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7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8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9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0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1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22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23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24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25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26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27.xml" ContentType="application/vnd.openxmlformats-officedocument.drawing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28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29.xml" ContentType="application/vnd.openxmlformats-officedocument.drawing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30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dgar/Desktop/"/>
    </mc:Choice>
  </mc:AlternateContent>
  <xr:revisionPtr revIDLastSave="0" documentId="8_{114F89B3-1D08-084F-8EF1-3F73E7CD0D77}" xr6:coauthVersionLast="47" xr6:coauthVersionMax="47" xr10:uidLastSave="{00000000-0000-0000-0000-000000000000}"/>
  <bookViews>
    <workbookView xWindow="2080" yWindow="640" windowWidth="43120" windowHeight="28200" activeTab="1" xr2:uid="{D4B57EB2-226E-D54C-B738-4DF9BEA9CD18}"/>
  </bookViews>
  <sheets>
    <sheet name="Ranking" sheetId="1" state="hidden" r:id="rId1"/>
    <sheet name="Poengsammendrag" sheetId="39" r:id="rId2"/>
    <sheet name="Deltakerliste" sheetId="3" r:id="rId3"/>
    <sheet name="Liste for tidtaking" sheetId="40" r:id="rId4"/>
    <sheet name="Poengtabell" sheetId="43" r:id="rId5"/>
    <sheet name="Løp 1" sheetId="5" r:id="rId6"/>
    <sheet name="Løp 2" sheetId="41" r:id="rId7"/>
    <sheet name="Løp 3" sheetId="42" r:id="rId8"/>
    <sheet name="Løp 4" sheetId="12" r:id="rId9"/>
    <sheet name="Løp 5" sheetId="7" r:id="rId10"/>
    <sheet name="Løp 6" sheetId="13" r:id="rId11"/>
    <sheet name="Løp 7" sheetId="16" r:id="rId12"/>
    <sheet name="Løp 8" sheetId="15" r:id="rId13"/>
    <sheet name="Løp 9" sheetId="17" r:id="rId14"/>
    <sheet name="Løp 10" sheetId="18" r:id="rId15"/>
    <sheet name="Løp 11" sheetId="19" r:id="rId16"/>
    <sheet name="Løp 12" sheetId="21" r:id="rId17"/>
    <sheet name="Løp 13" sheetId="22" r:id="rId18"/>
    <sheet name="Løp 14" sheetId="23" r:id="rId19"/>
    <sheet name="Løp 15" sheetId="24" r:id="rId20"/>
    <sheet name="Løp 16" sheetId="25" r:id="rId21"/>
    <sheet name="Løp 17" sheetId="26" r:id="rId22"/>
    <sheet name="Løp 18" sheetId="27" r:id="rId23"/>
    <sheet name="Løp 19" sheetId="29" r:id="rId24"/>
    <sheet name="Løp 20" sheetId="30" r:id="rId25"/>
    <sheet name="Løp 21" sheetId="31" r:id="rId26"/>
    <sheet name="Løp 22" sheetId="32" r:id="rId27"/>
    <sheet name="Løp 23" sheetId="34" r:id="rId28"/>
    <sheet name="Løp 24" sheetId="35" r:id="rId29"/>
    <sheet name="Løp 25" sheetId="36" r:id="rId30"/>
    <sheet name="Løp 26" sheetId="37" r:id="rId31"/>
    <sheet name="Løp 27" sheetId="38" r:id="rId32"/>
    <sheet name="Løp 28" sheetId="45" r:id="rId33"/>
    <sheet name="Løp 29" sheetId="47" r:id="rId34"/>
  </sheets>
  <definedNames>
    <definedName name="_xlnm._FilterDatabase" localSheetId="2" hidden="1">Deltakerliste!$C$5:$K$95</definedName>
    <definedName name="_xlnm._FilterDatabase" localSheetId="3" hidden="1">'Liste for tidtaking'!$C$5:$L$88</definedName>
    <definedName name="_xlnm._FilterDatabase" localSheetId="5" hidden="1">'Løp 1'!$C$9:$O$84</definedName>
    <definedName name="_xlnm._FilterDatabase" localSheetId="14" hidden="1">'Løp 10'!$C$9:$O$91</definedName>
    <definedName name="_xlnm._FilterDatabase" localSheetId="15" hidden="1">'Løp 11'!$C$9:$O$91</definedName>
    <definedName name="_xlnm._FilterDatabase" localSheetId="16" hidden="1">'Løp 12'!$B$9:$O$93</definedName>
    <definedName name="_xlnm._FilterDatabase" localSheetId="17" hidden="1">'Løp 13'!$C$9:$O$95</definedName>
    <definedName name="_xlnm._FilterDatabase" localSheetId="18" hidden="1">'Løp 14'!$C$9:$O$94</definedName>
    <definedName name="_xlnm._FilterDatabase" localSheetId="19" hidden="1">'Løp 15'!$C$9:$O$94</definedName>
    <definedName name="_xlnm._FilterDatabase" localSheetId="20" hidden="1">'Løp 16'!$B$9:$O$94</definedName>
    <definedName name="_xlnm._FilterDatabase" localSheetId="21" hidden="1">'Løp 17'!$B$9:$O$94</definedName>
    <definedName name="_xlnm._FilterDatabase" localSheetId="22" hidden="1">'Løp 18'!$C$9:$O$94</definedName>
    <definedName name="_xlnm._FilterDatabase" localSheetId="23" hidden="1">'Løp 19'!$B$9:$O$94</definedName>
    <definedName name="_xlnm._FilterDatabase" localSheetId="6" hidden="1">'Løp 2'!$C$9:$O$83</definedName>
    <definedName name="_xlnm._FilterDatabase" localSheetId="24" hidden="1">'Løp 20'!$B$9:$O$95</definedName>
    <definedName name="_xlnm._FilterDatabase" localSheetId="25" hidden="1">'Løp 21'!$C$9:$O$96</definedName>
    <definedName name="_xlnm._FilterDatabase" localSheetId="26" hidden="1">'Løp 22'!$B$9:$O$96</definedName>
    <definedName name="_xlnm._FilterDatabase" localSheetId="27" hidden="1">'Løp 23'!$C$9:$O$96</definedName>
    <definedName name="_xlnm._FilterDatabase" localSheetId="28" hidden="1">'Løp 24'!$C$9:$O$96</definedName>
    <definedName name="_xlnm._FilterDatabase" localSheetId="29" hidden="1">'Løp 25'!$C$9:$O$97</definedName>
    <definedName name="_xlnm._FilterDatabase" localSheetId="30" hidden="1">'Løp 26'!$C$9:$O$98</definedName>
    <definedName name="_xlnm._FilterDatabase" localSheetId="31" hidden="1">'Løp 27'!$C$9:$O$98</definedName>
    <definedName name="_xlnm._FilterDatabase" localSheetId="32" hidden="1">'Løp 28'!$C$9:$O$99</definedName>
    <definedName name="_xlnm._FilterDatabase" localSheetId="33" hidden="1">'Løp 29'!$C$9:$O$100</definedName>
    <definedName name="_xlnm._FilterDatabase" localSheetId="7" hidden="1">'Løp 3'!$C$9:$O$84</definedName>
    <definedName name="_xlnm._FilterDatabase" localSheetId="8" hidden="1">'Løp 4'!$B$9:$O$86</definedName>
    <definedName name="_xlnm._FilterDatabase" localSheetId="9" hidden="1">'Løp 5'!$C$9:$O$89</definedName>
    <definedName name="_xlnm._FilterDatabase" localSheetId="10" hidden="1">'Løp 6'!$B$9:$O$90</definedName>
    <definedName name="_xlnm._FilterDatabase" localSheetId="11" hidden="1">'Løp 7'!$C$9:$O$90</definedName>
    <definedName name="_xlnm._FilterDatabase" localSheetId="12" hidden="1">'Løp 8'!$C$9:$O$91</definedName>
    <definedName name="_xlnm._FilterDatabase" localSheetId="13" hidden="1">'Løp 9'!$C$9:$O$91</definedName>
    <definedName name="_xlnm._FilterDatabase" localSheetId="1" hidden="1">Poengsammendrag!$C$9:$DA$100</definedName>
    <definedName name="_xlnm._FilterDatabase" localSheetId="0" hidden="1">Ranking!$B$26:$FF$97</definedName>
    <definedName name="_xlnm.Print_Area" localSheetId="3">'Liste for tidtaking'!$B$3:$N$82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39" l="1"/>
  <c r="B47" i="39"/>
  <c r="E91" i="39"/>
  <c r="L33" i="47"/>
  <c r="L24" i="47"/>
  <c r="L23" i="47"/>
  <c r="L19" i="47"/>
  <c r="L14" i="47"/>
  <c r="L27" i="47"/>
  <c r="L32" i="47"/>
  <c r="L11" i="47"/>
  <c r="L28" i="47"/>
  <c r="L41" i="47"/>
  <c r="L25" i="47"/>
  <c r="L38" i="47"/>
  <c r="L15" i="47"/>
  <c r="L22" i="47"/>
  <c r="L42" i="47"/>
  <c r="L35" i="47"/>
  <c r="L37" i="47"/>
  <c r="L45" i="47"/>
  <c r="L34" i="47"/>
  <c r="L43" i="47"/>
  <c r="L49" i="47"/>
  <c r="L55" i="47"/>
  <c r="M55" i="47" s="1"/>
  <c r="L56" i="47"/>
  <c r="N56" i="47" s="1"/>
  <c r="O56" i="47" s="1"/>
  <c r="M56" i="47"/>
  <c r="L57" i="47"/>
  <c r="M57" i="47" s="1"/>
  <c r="L63" i="47"/>
  <c r="M63" i="47" s="1"/>
  <c r="L58" i="47"/>
  <c r="M58" i="47" s="1"/>
  <c r="N58" i="47"/>
  <c r="O58" i="47" s="1"/>
  <c r="L16" i="47"/>
  <c r="L36" i="47"/>
  <c r="L20" i="47"/>
  <c r="L18" i="47"/>
  <c r="L44" i="47"/>
  <c r="L12" i="47"/>
  <c r="L31" i="47"/>
  <c r="L26" i="47"/>
  <c r="L17" i="47"/>
  <c r="L21" i="47"/>
  <c r="L40" i="47"/>
  <c r="L13" i="47"/>
  <c r="L29" i="47"/>
  <c r="L50" i="47"/>
  <c r="L47" i="47"/>
  <c r="L39" i="47"/>
  <c r="L52" i="47"/>
  <c r="L53" i="47"/>
  <c r="L48" i="47"/>
  <c r="L51" i="47"/>
  <c r="L46" i="47"/>
  <c r="L54" i="47"/>
  <c r="L59" i="47"/>
  <c r="M59" i="47" s="1"/>
  <c r="L60" i="47"/>
  <c r="M60" i="47" s="1"/>
  <c r="L61" i="47"/>
  <c r="M61" i="47" s="1"/>
  <c r="N61" i="47"/>
  <c r="O61" i="47" s="1"/>
  <c r="L62" i="47"/>
  <c r="M62" i="47" s="1"/>
  <c r="N62" i="47"/>
  <c r="O62" i="47" s="1"/>
  <c r="L10" i="47"/>
  <c r="E52" i="47"/>
  <c r="G52" i="47" s="1"/>
  <c r="H41" i="3"/>
  <c r="B41" i="3"/>
  <c r="B42" i="3" s="1"/>
  <c r="E41" i="3"/>
  <c r="Z91" i="39" l="1"/>
  <c r="AJ91" i="39"/>
  <c r="AT91" i="39"/>
  <c r="BD91" i="39"/>
  <c r="BN91" i="39"/>
  <c r="BX91" i="39"/>
  <c r="CH91" i="39"/>
  <c r="CR91" i="39"/>
  <c r="AA91" i="39"/>
  <c r="AK91" i="39"/>
  <c r="BE91" i="39"/>
  <c r="BO91" i="39"/>
  <c r="CI91" i="39"/>
  <c r="AB91" i="39"/>
  <c r="BP91" i="39"/>
  <c r="CZ91" i="39"/>
  <c r="AC91" i="39"/>
  <c r="AW91" i="39"/>
  <c r="CA91" i="39"/>
  <c r="AD91" i="39"/>
  <c r="AX91" i="39"/>
  <c r="CB91" i="39"/>
  <c r="AU91" i="39"/>
  <c r="BY91" i="39"/>
  <c r="CS91" i="39"/>
  <c r="AV91" i="39"/>
  <c r="CJ91" i="39"/>
  <c r="AM91" i="39"/>
  <c r="BQ91" i="39"/>
  <c r="CK91" i="39"/>
  <c r="CY91" i="39"/>
  <c r="T91" i="39"/>
  <c r="BH91" i="39"/>
  <c r="CL91" i="39"/>
  <c r="DA91" i="39"/>
  <c r="AL91" i="39"/>
  <c r="BF91" i="39"/>
  <c r="BZ91" i="39"/>
  <c r="CT91" i="39"/>
  <c r="S91" i="39"/>
  <c r="BG91" i="39"/>
  <c r="CU91" i="39"/>
  <c r="AN91" i="39"/>
  <c r="BR91" i="39"/>
  <c r="CV91" i="39"/>
  <c r="AE91" i="39"/>
  <c r="BL91" i="39"/>
  <c r="AG91" i="39"/>
  <c r="AY91" i="39"/>
  <c r="CG91" i="39"/>
  <c r="AF91" i="39"/>
  <c r="BK91" i="39"/>
  <c r="BA91" i="39"/>
  <c r="AZ91" i="39"/>
  <c r="CM91" i="39"/>
  <c r="BM91" i="39"/>
  <c r="AR91" i="39"/>
  <c r="W91" i="39"/>
  <c r="BU91" i="39"/>
  <c r="BT91" i="39"/>
  <c r="BS91" i="39"/>
  <c r="Y91" i="39"/>
  <c r="CO91" i="39"/>
  <c r="CN91" i="39"/>
  <c r="AS91" i="39"/>
  <c r="CF91" i="39"/>
  <c r="X91" i="39"/>
  <c r="CE91" i="39"/>
  <c r="AQ91" i="39"/>
  <c r="CX91" i="39"/>
  <c r="CD91" i="39"/>
  <c r="BJ91" i="39"/>
  <c r="AP91" i="39"/>
  <c r="V91" i="39"/>
  <c r="CW91" i="39"/>
  <c r="CC91" i="39"/>
  <c r="BI91" i="39"/>
  <c r="AO91" i="39"/>
  <c r="U91" i="39"/>
  <c r="CQ91" i="39"/>
  <c r="BW91" i="39"/>
  <c r="BC91" i="39"/>
  <c r="AI91" i="39"/>
  <c r="CP91" i="39"/>
  <c r="BV91" i="39"/>
  <c r="BB91" i="39"/>
  <c r="AH91" i="39"/>
  <c r="N55" i="47"/>
  <c r="O55" i="47" s="1"/>
  <c r="N60" i="47"/>
  <c r="O60" i="47" s="1"/>
  <c r="N63" i="47"/>
  <c r="O63" i="47" s="1"/>
  <c r="N59" i="47"/>
  <c r="O59" i="47" s="1"/>
  <c r="N57" i="47"/>
  <c r="O57" i="47" s="1"/>
  <c r="CY7" i="39"/>
  <c r="CY5" i="39"/>
  <c r="CY107" i="39" s="1"/>
  <c r="CY108" i="39"/>
  <c r="I5" i="47"/>
  <c r="K109" i="47"/>
  <c r="J109" i="47"/>
  <c r="J103" i="47" s="1"/>
  <c r="I109" i="47"/>
  <c r="I103" i="47" s="1"/>
  <c r="K107" i="47"/>
  <c r="E98" i="47"/>
  <c r="E97" i="47"/>
  <c r="E96" i="47"/>
  <c r="E22" i="47"/>
  <c r="E95" i="47"/>
  <c r="E42" i="47"/>
  <c r="E94" i="47"/>
  <c r="E93" i="47"/>
  <c r="E92" i="47"/>
  <c r="E91" i="47"/>
  <c r="E90" i="47"/>
  <c r="E24" i="47"/>
  <c r="E89" i="47"/>
  <c r="E88" i="47"/>
  <c r="E87" i="47"/>
  <c r="E83" i="47"/>
  <c r="E82" i="47"/>
  <c r="E57" i="47"/>
  <c r="E81" i="47"/>
  <c r="E25" i="47"/>
  <c r="E44" i="47"/>
  <c r="E58" i="47"/>
  <c r="E50" i="47"/>
  <c r="E41" i="47"/>
  <c r="E78" i="47"/>
  <c r="E76" i="47"/>
  <c r="E75" i="47"/>
  <c r="E20" i="47"/>
  <c r="E74" i="47"/>
  <c r="E72" i="47"/>
  <c r="E46" i="47"/>
  <c r="E70" i="47"/>
  <c r="E69" i="47"/>
  <c r="E68" i="47"/>
  <c r="E67" i="47"/>
  <c r="E16" i="47"/>
  <c r="E33" i="47"/>
  <c r="E66" i="47"/>
  <c r="E10" i="47"/>
  <c r="E65" i="47"/>
  <c r="E64" i="47"/>
  <c r="E36" i="47"/>
  <c r="E35" i="47"/>
  <c r="E51" i="47"/>
  <c r="E61" i="47"/>
  <c r="E54" i="47"/>
  <c r="E48" i="47"/>
  <c r="E80" i="47"/>
  <c r="E60" i="47"/>
  <c r="E21" i="47"/>
  <c r="E59" i="47"/>
  <c r="E47" i="47"/>
  <c r="E62" i="47"/>
  <c r="E56" i="47"/>
  <c r="E45" i="47"/>
  <c r="E37" i="47"/>
  <c r="E85" i="47"/>
  <c r="E29" i="47"/>
  <c r="E43" i="47"/>
  <c r="E39" i="47"/>
  <c r="E12" i="47"/>
  <c r="E15" i="47"/>
  <c r="E17" i="47"/>
  <c r="E55" i="47"/>
  <c r="E13" i="47"/>
  <c r="E18" i="47"/>
  <c r="E34" i="47"/>
  <c r="E26" i="47"/>
  <c r="E31" i="47"/>
  <c r="E38" i="47"/>
  <c r="E77" i="47"/>
  <c r="E53" i="47"/>
  <c r="E40" i="47"/>
  <c r="E28" i="47"/>
  <c r="E100" i="47"/>
  <c r="E14" i="47"/>
  <c r="E71" i="47"/>
  <c r="E99" i="47"/>
  <c r="E79" i="47"/>
  <c r="E11" i="47"/>
  <c r="E86" i="47"/>
  <c r="E27" i="47"/>
  <c r="E49" i="47"/>
  <c r="E63" i="47"/>
  <c r="E32" i="47"/>
  <c r="E23" i="47"/>
  <c r="E84" i="47"/>
  <c r="E19" i="47"/>
  <c r="AB11" i="47"/>
  <c r="AB12" i="47" s="1"/>
  <c r="AB13" i="47" s="1"/>
  <c r="L30" i="47"/>
  <c r="M42" i="47" s="1"/>
  <c r="E30" i="47"/>
  <c r="B11" i="47"/>
  <c r="B12" i="47" s="1"/>
  <c r="E73" i="47"/>
  <c r="T7" i="47"/>
  <c r="S7" i="47"/>
  <c r="H91" i="39" l="1"/>
  <c r="J91" i="39"/>
  <c r="G91" i="39"/>
  <c r="N91" i="39" s="1"/>
  <c r="K91" i="39"/>
  <c r="M47" i="47"/>
  <c r="M32" i="47"/>
  <c r="M35" i="47"/>
  <c r="M50" i="47"/>
  <c r="M51" i="47"/>
  <c r="M17" i="47"/>
  <c r="M23" i="47"/>
  <c r="M10" i="47"/>
  <c r="M54" i="47"/>
  <c r="M40" i="47"/>
  <c r="M14" i="47"/>
  <c r="M16" i="47"/>
  <c r="M28" i="47"/>
  <c r="M34" i="47"/>
  <c r="M53" i="47"/>
  <c r="M27" i="47"/>
  <c r="M38" i="47"/>
  <c r="M20" i="47"/>
  <c r="M46" i="47"/>
  <c r="M25" i="47"/>
  <c r="M45" i="47"/>
  <c r="M18" i="47"/>
  <c r="M12" i="47"/>
  <c r="M22" i="47"/>
  <c r="M29" i="47"/>
  <c r="M37" i="47"/>
  <c r="M39" i="47"/>
  <c r="M15" i="47"/>
  <c r="M11" i="47"/>
  <c r="M13" i="47"/>
  <c r="M21" i="47"/>
  <c r="M48" i="47"/>
  <c r="M26" i="47"/>
  <c r="M24" i="47"/>
  <c r="M41" i="47"/>
  <c r="M36" i="47"/>
  <c r="M44" i="47"/>
  <c r="M52" i="47"/>
  <c r="M19" i="47"/>
  <c r="M31" i="47"/>
  <c r="M33" i="47"/>
  <c r="M49" i="47"/>
  <c r="M43" i="47"/>
  <c r="CY116" i="39"/>
  <c r="I104" i="47"/>
  <c r="I108" i="47" s="1"/>
  <c r="J104" i="47"/>
  <c r="J108" i="47" s="1"/>
  <c r="K108" i="47" s="1"/>
  <c r="CY6" i="39"/>
  <c r="F52" i="47"/>
  <c r="H52" i="47" s="1"/>
  <c r="N52" i="47" s="1"/>
  <c r="K103" i="47"/>
  <c r="CY109" i="39" s="1"/>
  <c r="M30" i="47"/>
  <c r="K110" i="47"/>
  <c r="CY117" i="39" s="1"/>
  <c r="AB14" i="47"/>
  <c r="L13" i="45"/>
  <c r="L15" i="45"/>
  <c r="L19" i="45"/>
  <c r="L23" i="45"/>
  <c r="L18" i="45"/>
  <c r="L26" i="45"/>
  <c r="L38" i="45"/>
  <c r="L24" i="45"/>
  <c r="L29" i="45"/>
  <c r="L44" i="45"/>
  <c r="L35" i="45"/>
  <c r="L25" i="45"/>
  <c r="L21" i="45"/>
  <c r="L30" i="45"/>
  <c r="L33" i="45"/>
  <c r="L46" i="45"/>
  <c r="L47" i="45"/>
  <c r="L45" i="45"/>
  <c r="L56" i="45"/>
  <c r="M56" i="45" s="1"/>
  <c r="L57" i="45"/>
  <c r="N57" i="45" s="1"/>
  <c r="O57" i="45" s="1"/>
  <c r="L58" i="45"/>
  <c r="M58" i="45" s="1"/>
  <c r="L27" i="45"/>
  <c r="L28" i="45"/>
  <c r="L31" i="45"/>
  <c r="L32" i="45"/>
  <c r="L34" i="45"/>
  <c r="L36" i="45"/>
  <c r="L37" i="45"/>
  <c r="L39" i="45"/>
  <c r="L40" i="45"/>
  <c r="L41" i="45"/>
  <c r="L42" i="45"/>
  <c r="L43" i="45"/>
  <c r="L48" i="45"/>
  <c r="L49" i="45"/>
  <c r="L52" i="45"/>
  <c r="L50" i="45"/>
  <c r="L51" i="45"/>
  <c r="L53" i="45"/>
  <c r="L54" i="45"/>
  <c r="L55" i="45"/>
  <c r="L10" i="45"/>
  <c r="E49" i="45"/>
  <c r="E86" i="39"/>
  <c r="H10" i="3"/>
  <c r="E10" i="3"/>
  <c r="I5" i="45"/>
  <c r="K108" i="45"/>
  <c r="CV116" i="39" s="1"/>
  <c r="J108" i="45"/>
  <c r="I108" i="45"/>
  <c r="K106" i="45"/>
  <c r="CV114" i="39" s="1"/>
  <c r="J103" i="45"/>
  <c r="J107" i="45" s="1"/>
  <c r="I103" i="45"/>
  <c r="J102" i="45"/>
  <c r="I102" i="45"/>
  <c r="E25" i="45"/>
  <c r="E18" i="45"/>
  <c r="E41" i="45"/>
  <c r="E99" i="45"/>
  <c r="E98" i="45"/>
  <c r="E97" i="45"/>
  <c r="E50" i="45"/>
  <c r="E94" i="45"/>
  <c r="E93" i="45"/>
  <c r="E92" i="45"/>
  <c r="E91" i="45"/>
  <c r="E90" i="45"/>
  <c r="E89" i="45"/>
  <c r="E87" i="45"/>
  <c r="E86" i="45"/>
  <c r="E85" i="45"/>
  <c r="E37" i="45"/>
  <c r="E19" i="45"/>
  <c r="E84" i="45"/>
  <c r="E35" i="45"/>
  <c r="E83" i="45"/>
  <c r="E82" i="45"/>
  <c r="E81" i="45"/>
  <c r="E55" i="45"/>
  <c r="E52" i="45"/>
  <c r="E76" i="45"/>
  <c r="E75" i="45"/>
  <c r="E29" i="45"/>
  <c r="E74" i="45"/>
  <c r="E72" i="45"/>
  <c r="E71" i="45"/>
  <c r="E10" i="45"/>
  <c r="E56" i="45"/>
  <c r="E70" i="45"/>
  <c r="E69" i="45"/>
  <c r="E68" i="45"/>
  <c r="E67" i="45"/>
  <c r="E66" i="45"/>
  <c r="E34" i="45"/>
  <c r="E27" i="45"/>
  <c r="E36" i="45"/>
  <c r="E65" i="45"/>
  <c r="E63" i="45"/>
  <c r="E44" i="45"/>
  <c r="E62" i="45"/>
  <c r="E45" i="45"/>
  <c r="E60" i="45"/>
  <c r="E59" i="45"/>
  <c r="E58" i="45"/>
  <c r="E79" i="45"/>
  <c r="E48" i="45"/>
  <c r="E54" i="45"/>
  <c r="E77" i="45"/>
  <c r="E31" i="45"/>
  <c r="L17" i="45"/>
  <c r="E17" i="45"/>
  <c r="E51" i="45"/>
  <c r="E53" i="45"/>
  <c r="E73" i="45"/>
  <c r="E96" i="45"/>
  <c r="E57" i="45"/>
  <c r="E26" i="45"/>
  <c r="E43" i="45"/>
  <c r="E78" i="45"/>
  <c r="E88" i="45"/>
  <c r="E15" i="45"/>
  <c r="L22" i="45"/>
  <c r="E22" i="45"/>
  <c r="E30" i="45"/>
  <c r="E28" i="45"/>
  <c r="E47" i="45"/>
  <c r="E23" i="45"/>
  <c r="E64" i="45"/>
  <c r="E40" i="45"/>
  <c r="E21" i="45"/>
  <c r="L11" i="45"/>
  <c r="E11" i="45"/>
  <c r="E95" i="45"/>
  <c r="E32" i="45"/>
  <c r="E24" i="45"/>
  <c r="L12" i="45"/>
  <c r="E12" i="45"/>
  <c r="E38" i="45"/>
  <c r="E33" i="45"/>
  <c r="E80" i="45"/>
  <c r="E13" i="45"/>
  <c r="E42" i="45"/>
  <c r="L14" i="45"/>
  <c r="E14" i="45"/>
  <c r="E39" i="45"/>
  <c r="E46" i="45"/>
  <c r="L16" i="45"/>
  <c r="E16" i="45"/>
  <c r="AB11" i="45"/>
  <c r="AB12" i="45" s="1"/>
  <c r="AB13" i="45" s="1"/>
  <c r="E61" i="45"/>
  <c r="B11" i="45"/>
  <c r="B12" i="45" s="1"/>
  <c r="B13" i="45" s="1"/>
  <c r="B14" i="45" s="1"/>
  <c r="B15" i="45" s="1"/>
  <c r="B16" i="45" s="1"/>
  <c r="L20" i="45"/>
  <c r="E20" i="45"/>
  <c r="T7" i="45"/>
  <c r="S7" i="45"/>
  <c r="Q91" i="39" l="1"/>
  <c r="P91" i="39"/>
  <c r="CQ86" i="39"/>
  <c r="DA86" i="39"/>
  <c r="CZ86" i="39"/>
  <c r="CY86" i="39"/>
  <c r="M91" i="39"/>
  <c r="K104" i="47"/>
  <c r="CY110" i="39" s="1"/>
  <c r="K105" i="47"/>
  <c r="AB15" i="47"/>
  <c r="CJ86" i="39"/>
  <c r="BZ86" i="39"/>
  <c r="N58" i="45"/>
  <c r="O58" i="45" s="1"/>
  <c r="M15" i="45"/>
  <c r="M13" i="45"/>
  <c r="M24" i="45"/>
  <c r="M48" i="45"/>
  <c r="M53" i="45"/>
  <c r="M39" i="45"/>
  <c r="M28" i="45"/>
  <c r="M29" i="45"/>
  <c r="M43" i="45"/>
  <c r="M30" i="45"/>
  <c r="M21" i="45"/>
  <c r="M51" i="45"/>
  <c r="M37" i="45"/>
  <c r="M31" i="45"/>
  <c r="M45" i="45"/>
  <c r="M46" i="45"/>
  <c r="M19" i="45"/>
  <c r="M54" i="45"/>
  <c r="M49" i="45"/>
  <c r="M40" i="45"/>
  <c r="M32" i="45"/>
  <c r="M57" i="45"/>
  <c r="M33" i="45"/>
  <c r="M44" i="45"/>
  <c r="M18" i="45"/>
  <c r="M36" i="45"/>
  <c r="M38" i="45"/>
  <c r="M50" i="45"/>
  <c r="M47" i="45"/>
  <c r="M25" i="45"/>
  <c r="M10" i="45"/>
  <c r="N56" i="45"/>
  <c r="O56" i="45" s="1"/>
  <c r="M23" i="45"/>
  <c r="M35" i="45"/>
  <c r="M27" i="45"/>
  <c r="M26" i="45"/>
  <c r="M42" i="45"/>
  <c r="M55" i="45"/>
  <c r="M52" i="45"/>
  <c r="M41" i="45"/>
  <c r="M34" i="45"/>
  <c r="BX86" i="39"/>
  <c r="BY86" i="39"/>
  <c r="CG86" i="39"/>
  <c r="Z86" i="39"/>
  <c r="CH86" i="39"/>
  <c r="AS86" i="39"/>
  <c r="AI86" i="39"/>
  <c r="AJ86" i="39"/>
  <c r="AT86" i="39"/>
  <c r="BC86" i="39"/>
  <c r="B17" i="45"/>
  <c r="B18" i="45" s="1"/>
  <c r="B19" i="45" s="1"/>
  <c r="B20" i="45" s="1"/>
  <c r="B21" i="45" s="1"/>
  <c r="B22" i="45" s="1"/>
  <c r="B23" i="45" s="1"/>
  <c r="B24" i="45" s="1"/>
  <c r="B25" i="45" s="1"/>
  <c r="B26" i="45" s="1"/>
  <c r="B27" i="45" s="1"/>
  <c r="B28" i="45" s="1"/>
  <c r="B29" i="45" s="1"/>
  <c r="B30" i="45" s="1"/>
  <c r="B31" i="45" s="1"/>
  <c r="B32" i="45" s="1"/>
  <c r="B33" i="45" s="1"/>
  <c r="B34" i="45" s="1"/>
  <c r="B35" i="45" s="1"/>
  <c r="B36" i="45" s="1"/>
  <c r="B37" i="45" s="1"/>
  <c r="B38" i="45" s="1"/>
  <c r="B39" i="45" s="1"/>
  <c r="B40" i="45" s="1"/>
  <c r="B41" i="45" s="1"/>
  <c r="B42" i="45" s="1"/>
  <c r="B43" i="45" s="1"/>
  <c r="B44" i="45" s="1"/>
  <c r="B45" i="45" s="1"/>
  <c r="B46" i="45" s="1"/>
  <c r="B47" i="45" s="1"/>
  <c r="B48" i="45" s="1"/>
  <c r="B49" i="45" s="1"/>
  <c r="B50" i="45" s="1"/>
  <c r="B51" i="45" s="1"/>
  <c r="B52" i="45" s="1"/>
  <c r="B53" i="45" s="1"/>
  <c r="B54" i="45" s="1"/>
  <c r="B55" i="45" s="1"/>
  <c r="B56" i="45" s="1"/>
  <c r="B57" i="45" s="1"/>
  <c r="B58" i="45" s="1"/>
  <c r="B59" i="45" s="1"/>
  <c r="B60" i="45" s="1"/>
  <c r="B61" i="45" s="1"/>
  <c r="B62" i="45" s="1"/>
  <c r="B63" i="45" s="1"/>
  <c r="B64" i="45" s="1"/>
  <c r="B65" i="45" s="1"/>
  <c r="B66" i="45" s="1"/>
  <c r="B67" i="45" s="1"/>
  <c r="B68" i="45" s="1"/>
  <c r="B69" i="45" s="1"/>
  <c r="B70" i="45" s="1"/>
  <c r="B71" i="45" s="1"/>
  <c r="B72" i="45" s="1"/>
  <c r="B73" i="45" s="1"/>
  <c r="B74" i="45" s="1"/>
  <c r="B75" i="45" s="1"/>
  <c r="B76" i="45" s="1"/>
  <c r="B77" i="45" s="1"/>
  <c r="B78" i="45" s="1"/>
  <c r="B79" i="45" s="1"/>
  <c r="B80" i="45" s="1"/>
  <c r="B81" i="45" s="1"/>
  <c r="B82" i="45" s="1"/>
  <c r="B83" i="45" s="1"/>
  <c r="B84" i="45" s="1"/>
  <c r="B85" i="45" s="1"/>
  <c r="B86" i="45" s="1"/>
  <c r="B87" i="45" s="1"/>
  <c r="B88" i="45" s="1"/>
  <c r="B89" i="45" s="1"/>
  <c r="B90" i="45" s="1"/>
  <c r="B91" i="45" s="1"/>
  <c r="B92" i="45" s="1"/>
  <c r="B93" i="45" s="1"/>
  <c r="B94" i="45" s="1"/>
  <c r="B95" i="45" s="1"/>
  <c r="B96" i="45" s="1"/>
  <c r="B97" i="45" s="1"/>
  <c r="B98" i="45" s="1"/>
  <c r="B99" i="45" s="1"/>
  <c r="BD86" i="39"/>
  <c r="CK86" i="39"/>
  <c r="BM86" i="39"/>
  <c r="CX86" i="39"/>
  <c r="BN86" i="39"/>
  <c r="CR86" i="39"/>
  <c r="Y86" i="39"/>
  <c r="BW86" i="39"/>
  <c r="CT86" i="39"/>
  <c r="AL86" i="39"/>
  <c r="W86" i="39"/>
  <c r="AG86" i="39"/>
  <c r="AQ86" i="39"/>
  <c r="BA86" i="39"/>
  <c r="BK86" i="39"/>
  <c r="BU86" i="39"/>
  <c r="CE86" i="39"/>
  <c r="CO86" i="39"/>
  <c r="X86" i="39"/>
  <c r="AH86" i="39"/>
  <c r="AR86" i="39"/>
  <c r="BB86" i="39"/>
  <c r="BL86" i="39"/>
  <c r="BV86" i="39"/>
  <c r="CF86" i="39"/>
  <c r="CP86" i="39"/>
  <c r="CS86" i="39"/>
  <c r="AA86" i="39"/>
  <c r="AK86" i="39"/>
  <c r="AU86" i="39"/>
  <c r="BE86" i="39"/>
  <c r="BO86" i="39"/>
  <c r="CI86" i="39"/>
  <c r="AB86" i="39"/>
  <c r="AV86" i="39"/>
  <c r="BF86" i="39"/>
  <c r="BP86" i="39"/>
  <c r="S86" i="39"/>
  <c r="AC86" i="39"/>
  <c r="AM86" i="39"/>
  <c r="AW86" i="39"/>
  <c r="BG86" i="39"/>
  <c r="BQ86" i="39"/>
  <c r="CA86" i="39"/>
  <c r="CU86" i="39"/>
  <c r="T86" i="39"/>
  <c r="AD86" i="39"/>
  <c r="AN86" i="39"/>
  <c r="AX86" i="39"/>
  <c r="BH86" i="39"/>
  <c r="BR86" i="39"/>
  <c r="CB86" i="39"/>
  <c r="CL86" i="39"/>
  <c r="CV86" i="39"/>
  <c r="U86" i="39"/>
  <c r="AE86" i="39"/>
  <c r="AO86" i="39"/>
  <c r="AY86" i="39"/>
  <c r="BI86" i="39"/>
  <c r="BS86" i="39"/>
  <c r="CC86" i="39"/>
  <c r="CM86" i="39"/>
  <c r="V86" i="39"/>
  <c r="AF86" i="39"/>
  <c r="AP86" i="39"/>
  <c r="AZ86" i="39"/>
  <c r="BJ86" i="39"/>
  <c r="BT86" i="39"/>
  <c r="CD86" i="39"/>
  <c r="CN86" i="39"/>
  <c r="K103" i="45"/>
  <c r="CV110" i="39" s="1"/>
  <c r="I107" i="45"/>
  <c r="K107" i="45" s="1"/>
  <c r="CV115" i="39" s="1"/>
  <c r="K109" i="45"/>
  <c r="CV117" i="39" s="1"/>
  <c r="K102" i="45"/>
  <c r="AB14" i="45"/>
  <c r="M12" i="45"/>
  <c r="M14" i="45"/>
  <c r="M11" i="45"/>
  <c r="M16" i="45"/>
  <c r="M22" i="45"/>
  <c r="M17" i="45"/>
  <c r="M20" i="45"/>
  <c r="CV7" i="39"/>
  <c r="CV108" i="39" s="1"/>
  <c r="CS7" i="39"/>
  <c r="CS108" i="39" s="1"/>
  <c r="L23" i="38"/>
  <c r="L31" i="38"/>
  <c r="L16" i="38"/>
  <c r="L48" i="38"/>
  <c r="L36" i="38"/>
  <c r="L37" i="38"/>
  <c r="L27" i="38"/>
  <c r="L39" i="38"/>
  <c r="L20" i="38"/>
  <c r="L43" i="38"/>
  <c r="L46" i="38"/>
  <c r="L45" i="38"/>
  <c r="L42" i="38"/>
  <c r="L47" i="38"/>
  <c r="L49" i="38"/>
  <c r="M49" i="38" s="1"/>
  <c r="L15" i="38"/>
  <c r="L12" i="38"/>
  <c r="L11" i="38"/>
  <c r="L24" i="38"/>
  <c r="L28" i="38"/>
  <c r="L25" i="38"/>
  <c r="L35" i="38"/>
  <c r="L13" i="38"/>
  <c r="L21" i="38"/>
  <c r="L29" i="38"/>
  <c r="L17" i="38"/>
  <c r="L18" i="38"/>
  <c r="L10" i="38"/>
  <c r="L26" i="38"/>
  <c r="L22" i="38"/>
  <c r="L30" i="38"/>
  <c r="L19" i="38"/>
  <c r="L32" i="38"/>
  <c r="L34" i="38"/>
  <c r="L33" i="38"/>
  <c r="L38" i="38"/>
  <c r="L44" i="38"/>
  <c r="L40" i="38"/>
  <c r="L50" i="38"/>
  <c r="M50" i="38" s="1"/>
  <c r="L41" i="38"/>
  <c r="B11" i="38"/>
  <c r="B12" i="38" s="1"/>
  <c r="B11" i="43"/>
  <c r="C11" i="43"/>
  <c r="B12" i="43"/>
  <c r="C12" i="43"/>
  <c r="B13" i="43"/>
  <c r="C13" i="43"/>
  <c r="B14" i="43"/>
  <c r="C14" i="43"/>
  <c r="B15" i="43"/>
  <c r="C15" i="43"/>
  <c r="B16" i="43"/>
  <c r="C16" i="43"/>
  <c r="B17" i="43"/>
  <c r="C17" i="43"/>
  <c r="B18" i="43"/>
  <c r="C18" i="43"/>
  <c r="B19" i="43"/>
  <c r="C19" i="43"/>
  <c r="B20" i="43"/>
  <c r="C20" i="43"/>
  <c r="B21" i="43"/>
  <c r="C21" i="43"/>
  <c r="B22" i="43"/>
  <c r="C22" i="43"/>
  <c r="B23" i="43"/>
  <c r="C23" i="43"/>
  <c r="B24" i="43"/>
  <c r="C24" i="43"/>
  <c r="B25" i="43"/>
  <c r="C25" i="43"/>
  <c r="B26" i="43"/>
  <c r="C26" i="43"/>
  <c r="B27" i="43"/>
  <c r="C27" i="43"/>
  <c r="B28" i="43"/>
  <c r="C28" i="43"/>
  <c r="B29" i="43"/>
  <c r="C29" i="43"/>
  <c r="B30" i="43"/>
  <c r="C30" i="43"/>
  <c r="B31" i="43"/>
  <c r="C31" i="43"/>
  <c r="B32" i="43"/>
  <c r="C32" i="43"/>
  <c r="B33" i="43"/>
  <c r="C33" i="43"/>
  <c r="B34" i="43"/>
  <c r="C34" i="43"/>
  <c r="B35" i="43"/>
  <c r="C35" i="43"/>
  <c r="B36" i="43"/>
  <c r="C36" i="43"/>
  <c r="B37" i="43"/>
  <c r="C37" i="43"/>
  <c r="B38" i="43"/>
  <c r="C38" i="43"/>
  <c r="B39" i="43"/>
  <c r="C39" i="43"/>
  <c r="B40" i="43"/>
  <c r="C40" i="43"/>
  <c r="B41" i="43"/>
  <c r="C41" i="43"/>
  <c r="B42" i="43"/>
  <c r="C42" i="43"/>
  <c r="B43" i="43"/>
  <c r="C43" i="43"/>
  <c r="B44" i="43"/>
  <c r="C44" i="43"/>
  <c r="B45" i="43"/>
  <c r="C45" i="43"/>
  <c r="B46" i="43"/>
  <c r="C46" i="43"/>
  <c r="B47" i="43"/>
  <c r="C47" i="43"/>
  <c r="B48" i="43"/>
  <c r="C48" i="43"/>
  <c r="B49" i="43"/>
  <c r="C49" i="43"/>
  <c r="B50" i="43"/>
  <c r="C50" i="43"/>
  <c r="B51" i="43"/>
  <c r="C51" i="43"/>
  <c r="B52" i="43"/>
  <c r="C52" i="43"/>
  <c r="B53" i="43"/>
  <c r="C53" i="43"/>
  <c r="B54" i="43"/>
  <c r="C54" i="43"/>
  <c r="B55" i="43"/>
  <c r="C55" i="43"/>
  <c r="B56" i="43"/>
  <c r="C56" i="43"/>
  <c r="B57" i="43"/>
  <c r="C57" i="43"/>
  <c r="B58" i="43"/>
  <c r="C58" i="43"/>
  <c r="B59" i="43"/>
  <c r="C59" i="43"/>
  <c r="B60" i="43"/>
  <c r="C60" i="43"/>
  <c r="B61" i="43"/>
  <c r="C61" i="43"/>
  <c r="B62" i="43"/>
  <c r="C62" i="43"/>
  <c r="B63" i="43"/>
  <c r="C63" i="43"/>
  <c r="B64" i="43"/>
  <c r="C64" i="43"/>
  <c r="B65" i="43"/>
  <c r="C65" i="43"/>
  <c r="B66" i="43"/>
  <c r="C66" i="43"/>
  <c r="B67" i="43"/>
  <c r="C67" i="43"/>
  <c r="B68" i="43"/>
  <c r="C68" i="43"/>
  <c r="B69" i="43"/>
  <c r="C69" i="43"/>
  <c r="B70" i="43"/>
  <c r="C70" i="43"/>
  <c r="B71" i="43"/>
  <c r="C71" i="43"/>
  <c r="B72" i="43"/>
  <c r="C72" i="43"/>
  <c r="B73" i="43"/>
  <c r="C73" i="43"/>
  <c r="B74" i="43"/>
  <c r="C74" i="43"/>
  <c r="B75" i="43"/>
  <c r="C75" i="43"/>
  <c r="B76" i="43"/>
  <c r="C76" i="43"/>
  <c r="B77" i="43"/>
  <c r="C77" i="43"/>
  <c r="B78" i="43"/>
  <c r="C78" i="43"/>
  <c r="B79" i="43"/>
  <c r="C79" i="43"/>
  <c r="B80" i="43"/>
  <c r="C80" i="43"/>
  <c r="B81" i="43"/>
  <c r="C81" i="43"/>
  <c r="B82" i="43"/>
  <c r="C82" i="43"/>
  <c r="B83" i="43"/>
  <c r="C83" i="43"/>
  <c r="B84" i="43"/>
  <c r="C84" i="43"/>
  <c r="B85" i="43"/>
  <c r="C85" i="43"/>
  <c r="B86" i="43"/>
  <c r="C86" i="43"/>
  <c r="B87" i="43"/>
  <c r="C87" i="43"/>
  <c r="B88" i="43"/>
  <c r="C88" i="43"/>
  <c r="B89" i="43"/>
  <c r="C89" i="43"/>
  <c r="B90" i="43"/>
  <c r="C90" i="43"/>
  <c r="B91" i="43"/>
  <c r="C91" i="43"/>
  <c r="B92" i="43"/>
  <c r="C92" i="43"/>
  <c r="B93" i="43"/>
  <c r="C93" i="43"/>
  <c r="B94" i="43"/>
  <c r="C94" i="43"/>
  <c r="B95" i="43"/>
  <c r="C95" i="43"/>
  <c r="B96" i="43"/>
  <c r="C96" i="43"/>
  <c r="B97" i="43"/>
  <c r="C97" i="43"/>
  <c r="B98" i="43"/>
  <c r="C98" i="43"/>
  <c r="B99" i="43"/>
  <c r="C99" i="43"/>
  <c r="E99" i="43"/>
  <c r="F99" i="43"/>
  <c r="H99" i="43"/>
  <c r="I99" i="43"/>
  <c r="K99" i="43"/>
  <c r="L99" i="43"/>
  <c r="N99" i="43"/>
  <c r="O99" i="43"/>
  <c r="J86" i="39" l="1"/>
  <c r="CY111" i="39"/>
  <c r="CY114" i="39"/>
  <c r="AB16" i="47"/>
  <c r="K104" i="45"/>
  <c r="CV111" i="39" s="1"/>
  <c r="CV109" i="39"/>
  <c r="AB15" i="45"/>
  <c r="N49" i="38"/>
  <c r="O49" i="38" s="1"/>
  <c r="N50" i="38"/>
  <c r="O50" i="38" s="1"/>
  <c r="L42" i="37"/>
  <c r="N42" i="37" s="1"/>
  <c r="O42" i="37" s="1"/>
  <c r="AB17" i="47" l="1"/>
  <c r="AB16" i="45"/>
  <c r="M42" i="37"/>
  <c r="B12" i="37"/>
  <c r="B11" i="37"/>
  <c r="I5" i="38"/>
  <c r="K108" i="38"/>
  <c r="CS116" i="39" s="1"/>
  <c r="J108" i="38"/>
  <c r="I108" i="38"/>
  <c r="K106" i="38"/>
  <c r="CS114" i="39" s="1"/>
  <c r="J103" i="38"/>
  <c r="J107" i="38" s="1"/>
  <c r="I103" i="38"/>
  <c r="J102" i="38"/>
  <c r="I102" i="38"/>
  <c r="E44" i="38"/>
  <c r="E98" i="38"/>
  <c r="E33" i="38"/>
  <c r="E25" i="38"/>
  <c r="E95" i="38"/>
  <c r="E94" i="38"/>
  <c r="E93" i="38"/>
  <c r="E91" i="38"/>
  <c r="E90" i="38"/>
  <c r="E89" i="38"/>
  <c r="E88" i="38"/>
  <c r="E87" i="38"/>
  <c r="E86" i="38"/>
  <c r="E10" i="38"/>
  <c r="E15" i="38"/>
  <c r="E85" i="38"/>
  <c r="E84" i="38"/>
  <c r="E83" i="38"/>
  <c r="E12" i="38"/>
  <c r="E20" i="38"/>
  <c r="E82" i="38"/>
  <c r="E81" i="38"/>
  <c r="E21" i="38"/>
  <c r="E17" i="38"/>
  <c r="E80" i="38"/>
  <c r="E79" i="38"/>
  <c r="E78" i="38"/>
  <c r="E77" i="38"/>
  <c r="E76" i="38"/>
  <c r="E75" i="38"/>
  <c r="E74" i="38"/>
  <c r="E49" i="38"/>
  <c r="E72" i="38"/>
  <c r="E70" i="38"/>
  <c r="E41" i="38"/>
  <c r="E34" i="38"/>
  <c r="E69" i="38"/>
  <c r="E47" i="38"/>
  <c r="E68" i="38"/>
  <c r="E31" i="38"/>
  <c r="E67" i="38"/>
  <c r="E66" i="38"/>
  <c r="E65" i="38"/>
  <c r="E64" i="38"/>
  <c r="E29" i="38"/>
  <c r="E63" i="38"/>
  <c r="E61" i="38"/>
  <c r="E59" i="38"/>
  <c r="E57" i="38"/>
  <c r="E28" i="38"/>
  <c r="E56" i="38"/>
  <c r="E55" i="38"/>
  <c r="E54" i="38"/>
  <c r="E53" i="38"/>
  <c r="E11" i="38"/>
  <c r="E51" i="38"/>
  <c r="E42" i="38"/>
  <c r="E27" i="38"/>
  <c r="E43" i="38"/>
  <c r="E16" i="38"/>
  <c r="E37" i="38"/>
  <c r="E48" i="38"/>
  <c r="E60" i="38"/>
  <c r="E46" i="38"/>
  <c r="E23" i="38"/>
  <c r="E39" i="38"/>
  <c r="E36" i="38"/>
  <c r="E45" i="38"/>
  <c r="E58" i="38"/>
  <c r="L14" i="38"/>
  <c r="E14" i="38"/>
  <c r="E96" i="38"/>
  <c r="E92" i="38"/>
  <c r="E62" i="38"/>
  <c r="E30" i="38"/>
  <c r="E19" i="38"/>
  <c r="E38" i="38"/>
  <c r="E22" i="38"/>
  <c r="E24" i="38"/>
  <c r="E26" i="38"/>
  <c r="E32" i="38"/>
  <c r="E40" i="38"/>
  <c r="E13" i="38"/>
  <c r="E18" i="38"/>
  <c r="E97" i="38"/>
  <c r="E35" i="38"/>
  <c r="E52" i="38"/>
  <c r="E73" i="38"/>
  <c r="AB11" i="38"/>
  <c r="E50" i="38"/>
  <c r="E71" i="38"/>
  <c r="B13" i="38"/>
  <c r="B14" i="38" s="1"/>
  <c r="B15" i="38" s="1"/>
  <c r="B16" i="38" s="1"/>
  <c r="B17" i="38" s="1"/>
  <c r="B18" i="38" s="1"/>
  <c r="B19" i="38" s="1"/>
  <c r="B20" i="38" s="1"/>
  <c r="B21" i="38" s="1"/>
  <c r="B22" i="38" s="1"/>
  <c r="B23" i="38" s="1"/>
  <c r="B24" i="38" s="1"/>
  <c r="B25" i="38" s="1"/>
  <c r="B26" i="38" s="1"/>
  <c r="B27" i="38" s="1"/>
  <c r="B28" i="38" s="1"/>
  <c r="B29" i="38" s="1"/>
  <c r="B30" i="38" s="1"/>
  <c r="B31" i="38" s="1"/>
  <c r="B32" i="38" s="1"/>
  <c r="B33" i="38" s="1"/>
  <c r="B34" i="38" s="1"/>
  <c r="B35" i="38" s="1"/>
  <c r="B36" i="38" s="1"/>
  <c r="B37" i="38" s="1"/>
  <c r="B38" i="38" s="1"/>
  <c r="B39" i="38" s="1"/>
  <c r="B40" i="38" s="1"/>
  <c r="B41" i="38" s="1"/>
  <c r="B42" i="38" s="1"/>
  <c r="B43" i="38" s="1"/>
  <c r="B44" i="38" s="1"/>
  <c r="B45" i="38" s="1"/>
  <c r="B46" i="38" s="1"/>
  <c r="B47" i="38" s="1"/>
  <c r="B48" i="38" s="1"/>
  <c r="B49" i="38" s="1"/>
  <c r="B50" i="38" s="1"/>
  <c r="B51" i="38" s="1"/>
  <c r="B52" i="38" s="1"/>
  <c r="B53" i="38" s="1"/>
  <c r="B54" i="38" s="1"/>
  <c r="B55" i="38" s="1"/>
  <c r="B56" i="38" s="1"/>
  <c r="B57" i="38" s="1"/>
  <c r="B58" i="38" s="1"/>
  <c r="B59" i="38" s="1"/>
  <c r="B60" i="38" s="1"/>
  <c r="B61" i="38" s="1"/>
  <c r="B62" i="38" s="1"/>
  <c r="B63" i="38" s="1"/>
  <c r="B64" i="38" s="1"/>
  <c r="B65" i="38" s="1"/>
  <c r="B66" i="38" s="1"/>
  <c r="B67" i="38" s="1"/>
  <c r="B68" i="38" s="1"/>
  <c r="B69" i="38" s="1"/>
  <c r="B70" i="38" s="1"/>
  <c r="B71" i="38" s="1"/>
  <c r="B72" i="38" s="1"/>
  <c r="B73" i="38" s="1"/>
  <c r="B74" i="38" s="1"/>
  <c r="B75" i="38" s="1"/>
  <c r="B76" i="38" s="1"/>
  <c r="B77" i="38" s="1"/>
  <c r="B78" i="38" s="1"/>
  <c r="B79" i="38" s="1"/>
  <c r="B80" i="38" s="1"/>
  <c r="B81" i="38" s="1"/>
  <c r="B82" i="38" s="1"/>
  <c r="B83" i="38" s="1"/>
  <c r="B84" i="38" s="1"/>
  <c r="B85" i="38" s="1"/>
  <c r="B86" i="38" s="1"/>
  <c r="B87" i="38" s="1"/>
  <c r="B88" i="38" s="1"/>
  <c r="B89" i="38" s="1"/>
  <c r="B90" i="38" s="1"/>
  <c r="B91" i="38" s="1"/>
  <c r="B92" i="38" s="1"/>
  <c r="B93" i="38" s="1"/>
  <c r="B94" i="38" s="1"/>
  <c r="B95" i="38" s="1"/>
  <c r="B96" i="38" s="1"/>
  <c r="B97" i="38" s="1"/>
  <c r="B98" i="38" s="1"/>
  <c r="T7" i="38"/>
  <c r="S7" i="38"/>
  <c r="CP114" i="39"/>
  <c r="L31" i="37"/>
  <c r="L27" i="37"/>
  <c r="L22" i="37"/>
  <c r="L16" i="37"/>
  <c r="L14" i="37"/>
  <c r="L12" i="37"/>
  <c r="L24" i="37"/>
  <c r="L28" i="37"/>
  <c r="L37" i="37"/>
  <c r="L15" i="37"/>
  <c r="L33" i="37"/>
  <c r="L13" i="37"/>
  <c r="L39" i="37"/>
  <c r="L40" i="37"/>
  <c r="M40" i="37" s="1"/>
  <c r="L41" i="37"/>
  <c r="M41" i="37" s="1"/>
  <c r="L43" i="37"/>
  <c r="M43" i="37" s="1"/>
  <c r="L10" i="37"/>
  <c r="L29" i="37"/>
  <c r="L23" i="37"/>
  <c r="L25" i="37"/>
  <c r="L21" i="37"/>
  <c r="L26" i="37"/>
  <c r="L38" i="37"/>
  <c r="L30" i="37"/>
  <c r="L36" i="37"/>
  <c r="L35" i="37"/>
  <c r="L17" i="37"/>
  <c r="L32" i="37"/>
  <c r="L18" i="37"/>
  <c r="L34" i="37"/>
  <c r="L19" i="37"/>
  <c r="E31" i="37"/>
  <c r="B11" i="39"/>
  <c r="B12" i="39" s="1"/>
  <c r="E81" i="39"/>
  <c r="B6" i="3"/>
  <c r="B7" i="3" s="1"/>
  <c r="H6" i="3"/>
  <c r="E6" i="3"/>
  <c r="C6" i="40"/>
  <c r="D6" i="40"/>
  <c r="C7" i="40"/>
  <c r="D7" i="40"/>
  <c r="C8" i="40"/>
  <c r="D8" i="40"/>
  <c r="C9" i="40"/>
  <c r="D9" i="40"/>
  <c r="C10" i="40"/>
  <c r="D10" i="40"/>
  <c r="C11" i="40"/>
  <c r="D11" i="40"/>
  <c r="C12" i="40"/>
  <c r="D12" i="40"/>
  <c r="C13" i="40"/>
  <c r="D13" i="40"/>
  <c r="C14" i="40"/>
  <c r="D14" i="40"/>
  <c r="C15" i="40"/>
  <c r="D15" i="40"/>
  <c r="C16" i="40"/>
  <c r="D16" i="40"/>
  <c r="C17" i="40"/>
  <c r="D17" i="40"/>
  <c r="C18" i="40"/>
  <c r="D18" i="40"/>
  <c r="C19" i="40"/>
  <c r="D19" i="40"/>
  <c r="C20" i="40"/>
  <c r="D20" i="40"/>
  <c r="C21" i="40"/>
  <c r="D21" i="40"/>
  <c r="C22" i="40"/>
  <c r="D22" i="40"/>
  <c r="C23" i="40"/>
  <c r="D23" i="40"/>
  <c r="C24" i="40"/>
  <c r="D24" i="40"/>
  <c r="C25" i="40"/>
  <c r="D25" i="40"/>
  <c r="C26" i="40"/>
  <c r="D26" i="40"/>
  <c r="C27" i="40"/>
  <c r="D27" i="40"/>
  <c r="C28" i="40"/>
  <c r="D28" i="40"/>
  <c r="C29" i="40"/>
  <c r="D29" i="40"/>
  <c r="C30" i="40"/>
  <c r="D30" i="40"/>
  <c r="C31" i="40"/>
  <c r="D31" i="40"/>
  <c r="C32" i="40"/>
  <c r="D32" i="40"/>
  <c r="C33" i="40"/>
  <c r="D33" i="40"/>
  <c r="C34" i="40"/>
  <c r="D34" i="40"/>
  <c r="C35" i="40"/>
  <c r="D35" i="40"/>
  <c r="C36" i="40"/>
  <c r="D36" i="40"/>
  <c r="C37" i="40"/>
  <c r="D37" i="40"/>
  <c r="C38" i="40"/>
  <c r="D38" i="40"/>
  <c r="C39" i="40"/>
  <c r="D39" i="40"/>
  <c r="C40" i="40"/>
  <c r="D40" i="40"/>
  <c r="C41" i="40"/>
  <c r="D41" i="40"/>
  <c r="C42" i="40"/>
  <c r="D42" i="40"/>
  <c r="C43" i="40"/>
  <c r="D43" i="40"/>
  <c r="C44" i="40"/>
  <c r="D44" i="40"/>
  <c r="C45" i="40"/>
  <c r="D45" i="40"/>
  <c r="C46" i="40"/>
  <c r="D46" i="40"/>
  <c r="C47" i="40"/>
  <c r="D47" i="40"/>
  <c r="C48" i="40"/>
  <c r="D48" i="40"/>
  <c r="C49" i="40"/>
  <c r="D49" i="40"/>
  <c r="C50" i="40"/>
  <c r="D50" i="40"/>
  <c r="C51" i="40"/>
  <c r="D51" i="40"/>
  <c r="C52" i="40"/>
  <c r="D52" i="40"/>
  <c r="C53" i="40"/>
  <c r="D53" i="40"/>
  <c r="C54" i="40"/>
  <c r="D54" i="40"/>
  <c r="C55" i="40"/>
  <c r="D55" i="40"/>
  <c r="C56" i="40"/>
  <c r="D56" i="40"/>
  <c r="C57" i="40"/>
  <c r="D57" i="40"/>
  <c r="C58" i="40"/>
  <c r="D58" i="40"/>
  <c r="C59" i="40"/>
  <c r="D59" i="40"/>
  <c r="C60" i="40"/>
  <c r="D60" i="40"/>
  <c r="C61" i="40"/>
  <c r="D61" i="40"/>
  <c r="C62" i="40"/>
  <c r="D62" i="40"/>
  <c r="C63" i="40"/>
  <c r="D63" i="40"/>
  <c r="C64" i="40"/>
  <c r="D64" i="40"/>
  <c r="C65" i="40"/>
  <c r="D65" i="40"/>
  <c r="C66" i="40"/>
  <c r="D66" i="40"/>
  <c r="C67" i="40"/>
  <c r="D67" i="40"/>
  <c r="C68" i="40"/>
  <c r="D68" i="40"/>
  <c r="C69" i="40"/>
  <c r="D69" i="40"/>
  <c r="C70" i="40"/>
  <c r="D70" i="40"/>
  <c r="C71" i="40"/>
  <c r="D71" i="40"/>
  <c r="C72" i="40"/>
  <c r="D72" i="40"/>
  <c r="C73" i="40"/>
  <c r="D73" i="40"/>
  <c r="C74" i="40"/>
  <c r="D74" i="40"/>
  <c r="C75" i="40"/>
  <c r="D75" i="40"/>
  <c r="C76" i="40"/>
  <c r="D76" i="40"/>
  <c r="C77" i="40"/>
  <c r="D77" i="40"/>
  <c r="C78" i="40"/>
  <c r="D78" i="40"/>
  <c r="C79" i="40"/>
  <c r="D79" i="40"/>
  <c r="C80" i="40"/>
  <c r="D80" i="40"/>
  <c r="C81" i="40"/>
  <c r="D81" i="40"/>
  <c r="C82" i="40"/>
  <c r="D82" i="40"/>
  <c r="C83" i="40"/>
  <c r="D83" i="40"/>
  <c r="C84" i="40"/>
  <c r="D84" i="40"/>
  <c r="C85" i="40"/>
  <c r="D85" i="40"/>
  <c r="C86" i="40"/>
  <c r="D86" i="40"/>
  <c r="C87" i="40"/>
  <c r="D87" i="40"/>
  <c r="C88" i="40"/>
  <c r="D88" i="40"/>
  <c r="C89" i="40"/>
  <c r="D89" i="40"/>
  <c r="C90" i="40"/>
  <c r="D90" i="40"/>
  <c r="C91" i="40"/>
  <c r="D91" i="40"/>
  <c r="C92" i="40"/>
  <c r="D92" i="40"/>
  <c r="D5" i="40"/>
  <c r="C5" i="40"/>
  <c r="K108" i="37"/>
  <c r="CP116" i="39" s="1"/>
  <c r="J108" i="37"/>
  <c r="I108" i="37"/>
  <c r="K106" i="37"/>
  <c r="J103" i="37"/>
  <c r="J107" i="37" s="1"/>
  <c r="I103" i="37"/>
  <c r="J102" i="37"/>
  <c r="I102" i="37"/>
  <c r="E97" i="37"/>
  <c r="E94" i="37"/>
  <c r="E93" i="37"/>
  <c r="E92" i="37"/>
  <c r="E41" i="37"/>
  <c r="E12" i="37"/>
  <c r="E91" i="37"/>
  <c r="E90" i="37"/>
  <c r="E89" i="37"/>
  <c r="E88" i="37"/>
  <c r="E87" i="37"/>
  <c r="E86" i="37"/>
  <c r="E27" i="37"/>
  <c r="E83" i="37"/>
  <c r="E82" i="37"/>
  <c r="E81" i="37"/>
  <c r="E74" i="37"/>
  <c r="E73" i="37"/>
  <c r="E71" i="37"/>
  <c r="E68" i="37"/>
  <c r="E67" i="37"/>
  <c r="E66" i="37"/>
  <c r="E19" i="37"/>
  <c r="E65" i="37"/>
  <c r="E64" i="37"/>
  <c r="E60" i="37"/>
  <c r="E58" i="37"/>
  <c r="E42" i="37"/>
  <c r="E57" i="37"/>
  <c r="E56" i="37"/>
  <c r="E54" i="37"/>
  <c r="E53" i="37"/>
  <c r="E52" i="37"/>
  <c r="E50" i="37"/>
  <c r="E49" i="37"/>
  <c r="E48" i="37"/>
  <c r="E47" i="37"/>
  <c r="E46" i="37"/>
  <c r="E44" i="37"/>
  <c r="E51" i="37"/>
  <c r="E45" i="37"/>
  <c r="E59" i="37"/>
  <c r="E32" i="37"/>
  <c r="E72" i="37"/>
  <c r="E95" i="37"/>
  <c r="E40" i="37"/>
  <c r="E23" i="37"/>
  <c r="E34" i="37"/>
  <c r="E61" i="37"/>
  <c r="E36" i="37"/>
  <c r="E35" i="37"/>
  <c r="E69" i="37"/>
  <c r="E39" i="37"/>
  <c r="E38" i="37"/>
  <c r="E18" i="37"/>
  <c r="E43" i="37"/>
  <c r="E21" i="37"/>
  <c r="E14" i="37"/>
  <c r="E17" i="37"/>
  <c r="E29" i="37"/>
  <c r="E26" i="37"/>
  <c r="E10" i="37"/>
  <c r="E62" i="37"/>
  <c r="E79" i="37"/>
  <c r="E25" i="37"/>
  <c r="E70" i="37"/>
  <c r="E33" i="37"/>
  <c r="E78" i="37"/>
  <c r="E13" i="37"/>
  <c r="E63" i="37"/>
  <c r="E28" i="37"/>
  <c r="E16" i="37"/>
  <c r="E24" i="37"/>
  <c r="E98" i="37"/>
  <c r="E15" i="37"/>
  <c r="E30" i="37"/>
  <c r="E22" i="37"/>
  <c r="E96" i="37"/>
  <c r="E55" i="37"/>
  <c r="L20" i="37"/>
  <c r="E20" i="37"/>
  <c r="E85" i="37"/>
  <c r="E84" i="37"/>
  <c r="L11" i="37"/>
  <c r="E11" i="37"/>
  <c r="E75" i="37"/>
  <c r="E76" i="37"/>
  <c r="E80" i="37"/>
  <c r="AB11" i="37"/>
  <c r="AB12" i="37" s="1"/>
  <c r="AB13" i="37" s="1"/>
  <c r="E37" i="37"/>
  <c r="E77" i="37"/>
  <c r="B10" i="37"/>
  <c r="B13" i="37" s="1"/>
  <c r="B14" i="37" s="1"/>
  <c r="B15" i="37" s="1"/>
  <c r="B16" i="37" s="1"/>
  <c r="B17" i="37" s="1"/>
  <c r="B18" i="37" s="1"/>
  <c r="B19" i="37" s="1"/>
  <c r="B20" i="37" s="1"/>
  <c r="B21" i="37" s="1"/>
  <c r="B22" i="37" s="1"/>
  <c r="B23" i="37" s="1"/>
  <c r="B24" i="37" s="1"/>
  <c r="B25" i="37" s="1"/>
  <c r="B26" i="37" s="1"/>
  <c r="B27" i="37" s="1"/>
  <c r="B28" i="37" s="1"/>
  <c r="B29" i="37" s="1"/>
  <c r="B30" i="37" s="1"/>
  <c r="B31" i="37" s="1"/>
  <c r="B32" i="37" s="1"/>
  <c r="B33" i="37" s="1"/>
  <c r="B34" i="37" s="1"/>
  <c r="B35" i="37" s="1"/>
  <c r="B36" i="37" s="1"/>
  <c r="B37" i="37" s="1"/>
  <c r="B38" i="37" s="1"/>
  <c r="B39" i="37" s="1"/>
  <c r="B40" i="37" s="1"/>
  <c r="B41" i="37" s="1"/>
  <c r="B42" i="37" s="1"/>
  <c r="B43" i="37" s="1"/>
  <c r="B44" i="37" s="1"/>
  <c r="B45" i="37" s="1"/>
  <c r="B46" i="37" s="1"/>
  <c r="B47" i="37" s="1"/>
  <c r="B48" i="37" s="1"/>
  <c r="B49" i="37" s="1"/>
  <c r="B50" i="37" s="1"/>
  <c r="B51" i="37" s="1"/>
  <c r="B52" i="37" s="1"/>
  <c r="B53" i="37" s="1"/>
  <c r="B54" i="37" s="1"/>
  <c r="B55" i="37" s="1"/>
  <c r="B56" i="37" s="1"/>
  <c r="B57" i="37" s="1"/>
  <c r="B58" i="37" s="1"/>
  <c r="B59" i="37" s="1"/>
  <c r="B60" i="37" s="1"/>
  <c r="B61" i="37" s="1"/>
  <c r="B62" i="37" s="1"/>
  <c r="B63" i="37" s="1"/>
  <c r="B64" i="37" s="1"/>
  <c r="B65" i="37" s="1"/>
  <c r="B66" i="37" s="1"/>
  <c r="B67" i="37" s="1"/>
  <c r="B68" i="37" s="1"/>
  <c r="B69" i="37" s="1"/>
  <c r="B70" i="37" s="1"/>
  <c r="B71" i="37" s="1"/>
  <c r="B72" i="37" s="1"/>
  <c r="B73" i="37" s="1"/>
  <c r="B74" i="37" s="1"/>
  <c r="B75" i="37" s="1"/>
  <c r="B76" i="37" s="1"/>
  <c r="B77" i="37" s="1"/>
  <c r="B78" i="37" s="1"/>
  <c r="B79" i="37" s="1"/>
  <c r="B80" i="37" s="1"/>
  <c r="B81" i="37" s="1"/>
  <c r="B82" i="37" s="1"/>
  <c r="B83" i="37" s="1"/>
  <c r="B84" i="37" s="1"/>
  <c r="B85" i="37" s="1"/>
  <c r="B86" i="37" s="1"/>
  <c r="B87" i="37" s="1"/>
  <c r="B88" i="37" s="1"/>
  <c r="B89" i="37" s="1"/>
  <c r="B90" i="37" s="1"/>
  <c r="B91" i="37" s="1"/>
  <c r="B92" i="37" s="1"/>
  <c r="B93" i="37" s="1"/>
  <c r="B94" i="37" s="1"/>
  <c r="B95" i="37" s="1"/>
  <c r="B96" i="37" s="1"/>
  <c r="B97" i="37" s="1"/>
  <c r="B98" i="37" s="1"/>
  <c r="T7" i="37"/>
  <c r="S7" i="37"/>
  <c r="CZ81" i="39" l="1"/>
  <c r="CY81" i="39"/>
  <c r="DA81" i="39"/>
  <c r="AB18" i="47"/>
  <c r="CW81" i="39"/>
  <c r="CX81" i="39"/>
  <c r="CV81" i="39"/>
  <c r="AB17" i="45"/>
  <c r="Z81" i="39"/>
  <c r="CU81" i="39"/>
  <c r="CT81" i="39"/>
  <c r="CS81" i="39"/>
  <c r="M30" i="38"/>
  <c r="M32" i="38"/>
  <c r="M18" i="38"/>
  <c r="M27" i="38"/>
  <c r="M15" i="38"/>
  <c r="M26" i="38"/>
  <c r="M46" i="38"/>
  <c r="M24" i="38"/>
  <c r="M25" i="38"/>
  <c r="M17" i="38"/>
  <c r="M20" i="38"/>
  <c r="M47" i="38"/>
  <c r="M41" i="38"/>
  <c r="M37" i="38"/>
  <c r="M33" i="38"/>
  <c r="M10" i="38"/>
  <c r="M35" i="38"/>
  <c r="M43" i="38"/>
  <c r="M28" i="38"/>
  <c r="M44" i="38"/>
  <c r="M36" i="38"/>
  <c r="M19" i="38"/>
  <c r="M12" i="38"/>
  <c r="M45" i="38"/>
  <c r="M21" i="38"/>
  <c r="M34" i="38"/>
  <c r="M48" i="38"/>
  <c r="M22" i="38"/>
  <c r="M38" i="38"/>
  <c r="M29" i="38"/>
  <c r="M13" i="38"/>
  <c r="M11" i="38"/>
  <c r="M42" i="38"/>
  <c r="M39" i="38"/>
  <c r="M16" i="38"/>
  <c r="M31" i="38"/>
  <c r="M23" i="38"/>
  <c r="M40" i="38"/>
  <c r="K103" i="38"/>
  <c r="CS110" i="39" s="1"/>
  <c r="BW81" i="39"/>
  <c r="BA81" i="39"/>
  <c r="AZ81" i="39"/>
  <c r="BC81" i="39"/>
  <c r="AS81" i="39"/>
  <c r="AG81" i="39"/>
  <c r="Y81" i="39"/>
  <c r="CE81" i="39"/>
  <c r="X81" i="39"/>
  <c r="BV81" i="39"/>
  <c r="BU81" i="39"/>
  <c r="N40" i="37"/>
  <c r="O40" i="37" s="1"/>
  <c r="CR81" i="39"/>
  <c r="M32" i="37"/>
  <c r="M26" i="37"/>
  <c r="M21" i="37"/>
  <c r="M24" i="37"/>
  <c r="M12" i="37"/>
  <c r="M35" i="37"/>
  <c r="M13" i="37"/>
  <c r="M25" i="37"/>
  <c r="M14" i="37"/>
  <c r="M36" i="37"/>
  <c r="M33" i="37"/>
  <c r="I107" i="38"/>
  <c r="K107" i="38" s="1"/>
  <c r="CS115" i="39" s="1"/>
  <c r="K102" i="38"/>
  <c r="M14" i="38"/>
  <c r="AB12" i="38"/>
  <c r="K109" i="38"/>
  <c r="CS117" i="39" s="1"/>
  <c r="M17" i="37"/>
  <c r="M10" i="37"/>
  <c r="M15" i="37"/>
  <c r="M16" i="37"/>
  <c r="M31" i="37"/>
  <c r="CP81" i="39" s="1"/>
  <c r="N41" i="37"/>
  <c r="O41" i="37" s="1"/>
  <c r="M38" i="37"/>
  <c r="M22" i="37"/>
  <c r="M34" i="37"/>
  <c r="M39" i="37"/>
  <c r="M27" i="37"/>
  <c r="M29" i="37"/>
  <c r="M30" i="37"/>
  <c r="M23" i="37"/>
  <c r="M28" i="37"/>
  <c r="M18" i="37"/>
  <c r="N43" i="37"/>
  <c r="O43" i="37" s="1"/>
  <c r="M37" i="37"/>
  <c r="M19" i="37"/>
  <c r="K103" i="37"/>
  <c r="CP110" i="39" s="1"/>
  <c r="CD81" i="39"/>
  <c r="BB81" i="39"/>
  <c r="AF81" i="39"/>
  <c r="AQ81" i="39"/>
  <c r="BL81" i="39"/>
  <c r="AP81" i="39"/>
  <c r="W81" i="39"/>
  <c r="BT81" i="39"/>
  <c r="AR81" i="39"/>
  <c r="V81" i="39"/>
  <c r="BM81" i="39"/>
  <c r="CG81" i="39"/>
  <c r="BK81" i="39"/>
  <c r="AI81" i="39"/>
  <c r="CF81" i="39"/>
  <c r="BJ81" i="39"/>
  <c r="AH81" i="39"/>
  <c r="AY81" i="39"/>
  <c r="CL81" i="39"/>
  <c r="CB81" i="39"/>
  <c r="BR81" i="39"/>
  <c r="BH81" i="39"/>
  <c r="AX81" i="39"/>
  <c r="AN81" i="39"/>
  <c r="AD81" i="39"/>
  <c r="T81" i="39"/>
  <c r="BS81" i="39"/>
  <c r="AA81" i="39"/>
  <c r="CC81" i="39"/>
  <c r="BI81" i="39"/>
  <c r="AO81" i="39"/>
  <c r="AE81" i="39"/>
  <c r="U81" i="39"/>
  <c r="CK81" i="39"/>
  <c r="CA81" i="39"/>
  <c r="BQ81" i="39"/>
  <c r="BG81" i="39"/>
  <c r="AW81" i="39"/>
  <c r="AM81" i="39"/>
  <c r="AC81" i="39"/>
  <c r="S81" i="39"/>
  <c r="CJ81" i="39"/>
  <c r="BZ81" i="39"/>
  <c r="BP81" i="39"/>
  <c r="BF81" i="39"/>
  <c r="AV81" i="39"/>
  <c r="AL81" i="39"/>
  <c r="AB81" i="39"/>
  <c r="CI81" i="39"/>
  <c r="BY81" i="39"/>
  <c r="BO81" i="39"/>
  <c r="BE81" i="39"/>
  <c r="AU81" i="39"/>
  <c r="AK81" i="39"/>
  <c r="CH81" i="39"/>
  <c r="BX81" i="39"/>
  <c r="BN81" i="39"/>
  <c r="BD81" i="39"/>
  <c r="AT81" i="39"/>
  <c r="AJ81" i="39"/>
  <c r="I107" i="37"/>
  <c r="K107" i="37" s="1"/>
  <c r="CP115" i="39" s="1"/>
  <c r="K102" i="37"/>
  <c r="AB14" i="37"/>
  <c r="M11" i="37"/>
  <c r="K109" i="37"/>
  <c r="CP117" i="39" s="1"/>
  <c r="M20" i="37"/>
  <c r="E69" i="39"/>
  <c r="L41" i="36"/>
  <c r="L50" i="36"/>
  <c r="E50" i="36"/>
  <c r="H84" i="3"/>
  <c r="E84" i="3"/>
  <c r="I5" i="36"/>
  <c r="I5" i="37" s="1"/>
  <c r="K108" i="36"/>
  <c r="J108" i="36"/>
  <c r="I108" i="36"/>
  <c r="K106" i="36"/>
  <c r="CM114" i="39" s="1"/>
  <c r="J103" i="36"/>
  <c r="J107" i="36" s="1"/>
  <c r="I103" i="36"/>
  <c r="I107" i="36" s="1"/>
  <c r="J102" i="36"/>
  <c r="I102" i="36"/>
  <c r="E96" i="36"/>
  <c r="E95" i="36"/>
  <c r="E94" i="36"/>
  <c r="E93" i="36"/>
  <c r="E91" i="36"/>
  <c r="E90" i="36"/>
  <c r="E89" i="36"/>
  <c r="E88" i="36"/>
  <c r="E87" i="36"/>
  <c r="E86" i="36"/>
  <c r="E85" i="36"/>
  <c r="E84" i="36"/>
  <c r="E83" i="36"/>
  <c r="E82" i="36"/>
  <c r="E47" i="36"/>
  <c r="E45" i="36"/>
  <c r="E79" i="36"/>
  <c r="E32" i="36"/>
  <c r="E78" i="36"/>
  <c r="E77" i="36"/>
  <c r="E76" i="36"/>
  <c r="E75" i="36"/>
  <c r="E74" i="36"/>
  <c r="E73" i="36"/>
  <c r="E51" i="36"/>
  <c r="E72" i="36"/>
  <c r="E71" i="36"/>
  <c r="E69" i="36"/>
  <c r="E68" i="36"/>
  <c r="E66" i="36"/>
  <c r="E65" i="36"/>
  <c r="E58" i="36"/>
  <c r="E63" i="36"/>
  <c r="E62" i="36"/>
  <c r="E61" i="36"/>
  <c r="E60" i="36"/>
  <c r="E57" i="36"/>
  <c r="E59" i="36"/>
  <c r="E52" i="36"/>
  <c r="E81" i="36"/>
  <c r="L52" i="36"/>
  <c r="E21" i="36"/>
  <c r="L56" i="36"/>
  <c r="E39" i="36"/>
  <c r="L49" i="36"/>
  <c r="E31" i="36"/>
  <c r="L48" i="36"/>
  <c r="E48" i="36"/>
  <c r="L47" i="36"/>
  <c r="E49" i="36"/>
  <c r="L46" i="36"/>
  <c r="E43" i="36"/>
  <c r="L45" i="36"/>
  <c r="E42" i="36"/>
  <c r="L44" i="36"/>
  <c r="E44" i="36"/>
  <c r="L43" i="36"/>
  <c r="E38" i="36"/>
  <c r="L42" i="36"/>
  <c r="E41" i="36"/>
  <c r="L55" i="36"/>
  <c r="E37" i="36"/>
  <c r="L39" i="36"/>
  <c r="E19" i="36"/>
  <c r="L38" i="36"/>
  <c r="E64" i="36"/>
  <c r="L37" i="36"/>
  <c r="E27" i="36"/>
  <c r="L36" i="36"/>
  <c r="E46" i="36"/>
  <c r="L35" i="36"/>
  <c r="E28" i="36"/>
  <c r="L34" i="36"/>
  <c r="E18" i="36"/>
  <c r="L33" i="36"/>
  <c r="E56" i="36"/>
  <c r="L30" i="36"/>
  <c r="E54" i="36"/>
  <c r="L23" i="36"/>
  <c r="E53" i="36"/>
  <c r="L57" i="36"/>
  <c r="E33" i="36"/>
  <c r="L51" i="36"/>
  <c r="E70" i="36"/>
  <c r="E25" i="36"/>
  <c r="L40" i="36"/>
  <c r="E30" i="36"/>
  <c r="L32" i="36"/>
  <c r="E55" i="36"/>
  <c r="L31" i="36"/>
  <c r="E35" i="36"/>
  <c r="L29" i="36"/>
  <c r="E24" i="36"/>
  <c r="L28" i="36"/>
  <c r="E11" i="36"/>
  <c r="L27" i="36"/>
  <c r="E16" i="36"/>
  <c r="L26" i="36"/>
  <c r="E22" i="36"/>
  <c r="L25" i="36"/>
  <c r="E26" i="36"/>
  <c r="L24" i="36"/>
  <c r="E34" i="36"/>
  <c r="L22" i="36"/>
  <c r="E20" i="36"/>
  <c r="L21" i="36"/>
  <c r="E13" i="36"/>
  <c r="L20" i="36"/>
  <c r="E14" i="36"/>
  <c r="L16" i="36"/>
  <c r="E10" i="36"/>
  <c r="CO81" i="39" s="1"/>
  <c r="L54" i="36"/>
  <c r="E67" i="36"/>
  <c r="L18" i="36"/>
  <c r="E23" i="36"/>
  <c r="L19" i="36"/>
  <c r="E29" i="36"/>
  <c r="L17" i="36"/>
  <c r="E15" i="36"/>
  <c r="L15" i="36"/>
  <c r="E92" i="36"/>
  <c r="L14" i="36"/>
  <c r="E36" i="36"/>
  <c r="L13" i="36"/>
  <c r="E12" i="36"/>
  <c r="L12" i="36"/>
  <c r="E40" i="36"/>
  <c r="L11" i="36"/>
  <c r="E17" i="36"/>
  <c r="AB11" i="36"/>
  <c r="AB12" i="36" s="1"/>
  <c r="L10" i="36"/>
  <c r="E97" i="36"/>
  <c r="L53" i="36"/>
  <c r="E80" i="36"/>
  <c r="B10" i="36"/>
  <c r="B11" i="36" s="1"/>
  <c r="B12" i="36" s="1"/>
  <c r="B13" i="36" s="1"/>
  <c r="B14" i="36" s="1"/>
  <c r="B15" i="36" s="1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T7" i="36"/>
  <c r="S7" i="36"/>
  <c r="CV6" i="39"/>
  <c r="CS6" i="39"/>
  <c r="CV5" i="39"/>
  <c r="CV107" i="39" s="1"/>
  <c r="CS5" i="39"/>
  <c r="CS107" i="39" s="1"/>
  <c r="CZ69" i="39" l="1"/>
  <c r="DA69" i="39"/>
  <c r="CY69" i="39"/>
  <c r="AB19" i="47"/>
  <c r="CX69" i="39"/>
  <c r="CV69" i="39"/>
  <c r="AB18" i="45"/>
  <c r="K104" i="38"/>
  <c r="CS111" i="39" s="1"/>
  <c r="CS109" i="39"/>
  <c r="CR69" i="39"/>
  <c r="CU69" i="39"/>
  <c r="CS69" i="39"/>
  <c r="CP69" i="39"/>
  <c r="K104" i="37"/>
  <c r="CP111" i="39" s="1"/>
  <c r="CP109" i="39"/>
  <c r="AB13" i="38"/>
  <c r="CN81" i="39"/>
  <c r="CM81" i="39"/>
  <c r="J81" i="39" s="1"/>
  <c r="AB15" i="37"/>
  <c r="CO69" i="39"/>
  <c r="CL69" i="39"/>
  <c r="CK69" i="39"/>
  <c r="CJ69" i="39"/>
  <c r="CI69" i="39"/>
  <c r="CH69" i="39"/>
  <c r="CG69" i="39"/>
  <c r="CF69" i="39"/>
  <c r="CE69" i="39"/>
  <c r="CD69" i="39"/>
  <c r="CC69" i="39"/>
  <c r="CB69" i="39"/>
  <c r="CA69" i="39"/>
  <c r="BZ69" i="39"/>
  <c r="BY69" i="39"/>
  <c r="BX69" i="39"/>
  <c r="BW69" i="39"/>
  <c r="BV69" i="39"/>
  <c r="BU69" i="39"/>
  <c r="BT69" i="39"/>
  <c r="BS69" i="39"/>
  <c r="BR69" i="39"/>
  <c r="BQ69" i="39"/>
  <c r="BP69" i="39"/>
  <c r="BO69" i="39"/>
  <c r="BN69" i="39"/>
  <c r="BM69" i="39"/>
  <c r="BL69" i="39"/>
  <c r="BK69" i="39"/>
  <c r="BJ69" i="39"/>
  <c r="BI69" i="39"/>
  <c r="BH69" i="39"/>
  <c r="BG69" i="39"/>
  <c r="BF69" i="39"/>
  <c r="BE69" i="39"/>
  <c r="BD69" i="39"/>
  <c r="BC69" i="39"/>
  <c r="BB69" i="39"/>
  <c r="BA69" i="39"/>
  <c r="AZ69" i="39"/>
  <c r="AY69" i="39"/>
  <c r="AX69" i="39"/>
  <c r="AW69" i="39"/>
  <c r="AV69" i="39"/>
  <c r="AU69" i="39"/>
  <c r="AT69" i="39"/>
  <c r="AS69" i="39"/>
  <c r="AR69" i="39"/>
  <c r="AQ69" i="39"/>
  <c r="AP69" i="39"/>
  <c r="AO69" i="39"/>
  <c r="AN69" i="39"/>
  <c r="AM69" i="39"/>
  <c r="AL69" i="39"/>
  <c r="AK69" i="39"/>
  <c r="AJ69" i="39"/>
  <c r="AI69" i="39"/>
  <c r="AH69" i="39"/>
  <c r="AG69" i="39"/>
  <c r="AF69" i="39"/>
  <c r="AE69" i="39"/>
  <c r="AD69" i="39"/>
  <c r="AC69" i="39"/>
  <c r="AB69" i="39"/>
  <c r="AA69" i="39"/>
  <c r="Z69" i="39"/>
  <c r="Y69" i="39"/>
  <c r="X69" i="39"/>
  <c r="W69" i="39"/>
  <c r="V69" i="39"/>
  <c r="U69" i="39"/>
  <c r="T69" i="39"/>
  <c r="S69" i="39"/>
  <c r="M41" i="36"/>
  <c r="M50" i="36"/>
  <c r="CM69" i="39" s="1"/>
  <c r="B95" i="36"/>
  <c r="B96" i="36" s="1"/>
  <c r="B97" i="36" s="1"/>
  <c r="CM116" i="39"/>
  <c r="K102" i="36"/>
  <c r="M52" i="36"/>
  <c r="K107" i="36"/>
  <c r="CM115" i="39" s="1"/>
  <c r="M16" i="36"/>
  <c r="M23" i="36"/>
  <c r="M43" i="36"/>
  <c r="M31" i="36"/>
  <c r="M47" i="36"/>
  <c r="M57" i="36"/>
  <c r="M10" i="36"/>
  <c r="M49" i="36"/>
  <c r="K103" i="36"/>
  <c r="CM110" i="39" s="1"/>
  <c r="M30" i="36"/>
  <c r="M56" i="36"/>
  <c r="M51" i="36"/>
  <c r="M42" i="36"/>
  <c r="M32" i="36"/>
  <c r="M39" i="36"/>
  <c r="K109" i="36"/>
  <c r="CM117" i="39" s="1"/>
  <c r="M37" i="36"/>
  <c r="M46" i="36"/>
  <c r="M20" i="36"/>
  <c r="M18" i="36"/>
  <c r="M36" i="36"/>
  <c r="AB13" i="36"/>
  <c r="M38" i="36"/>
  <c r="M17" i="36"/>
  <c r="M45" i="36"/>
  <c r="M53" i="36"/>
  <c r="M14" i="36"/>
  <c r="M28" i="36"/>
  <c r="M35" i="36"/>
  <c r="M40" i="36"/>
  <c r="M55" i="36"/>
  <c r="M29" i="36"/>
  <c r="M44" i="36"/>
  <c r="M48" i="36"/>
  <c r="M54" i="36"/>
  <c r="M34" i="36"/>
  <c r="M11" i="36"/>
  <c r="M24" i="36"/>
  <c r="M33" i="36"/>
  <c r="M15" i="36"/>
  <c r="M19" i="36"/>
  <c r="M12" i="36"/>
  <c r="M13" i="36"/>
  <c r="M25" i="36"/>
  <c r="M26" i="36"/>
  <c r="M27" i="36"/>
  <c r="M21" i="36"/>
  <c r="M22" i="36"/>
  <c r="J69" i="39" l="1"/>
  <c r="AB20" i="47"/>
  <c r="AB19" i="45"/>
  <c r="AB14" i="38"/>
  <c r="AB16" i="37"/>
  <c r="K104" i="36"/>
  <c r="CM111" i="39" s="1"/>
  <c r="CM109" i="39"/>
  <c r="N57" i="36"/>
  <c r="AB14" i="36"/>
  <c r="CJ117" i="39"/>
  <c r="CJ116" i="39"/>
  <c r="CJ115" i="39"/>
  <c r="CJ114" i="39"/>
  <c r="CJ111" i="39"/>
  <c r="CJ110" i="39"/>
  <c r="CJ109" i="39"/>
  <c r="L44" i="35"/>
  <c r="L36" i="35"/>
  <c r="L32" i="35"/>
  <c r="L33" i="35"/>
  <c r="L48" i="35"/>
  <c r="L49" i="35"/>
  <c r="L46" i="35"/>
  <c r="L52" i="35"/>
  <c r="L47" i="35"/>
  <c r="L42" i="35"/>
  <c r="L50" i="35"/>
  <c r="L35" i="35"/>
  <c r="L53" i="35"/>
  <c r="L51" i="35"/>
  <c r="L57" i="35"/>
  <c r="M57" i="35" s="1"/>
  <c r="L29" i="35"/>
  <c r="L14" i="35"/>
  <c r="L37" i="35"/>
  <c r="L21" i="35"/>
  <c r="L17" i="35"/>
  <c r="L23" i="35"/>
  <c r="L13" i="35"/>
  <c r="L20" i="35"/>
  <c r="L28" i="35"/>
  <c r="L24" i="35"/>
  <c r="L16" i="35"/>
  <c r="L40" i="35"/>
  <c r="L45" i="35"/>
  <c r="L38" i="35"/>
  <c r="L22" i="35"/>
  <c r="L11" i="35"/>
  <c r="L19" i="35"/>
  <c r="L12" i="35"/>
  <c r="L30" i="35"/>
  <c r="L34" i="35"/>
  <c r="L26" i="35"/>
  <c r="L43" i="35"/>
  <c r="L41" i="35"/>
  <c r="L10" i="35"/>
  <c r="L18" i="35"/>
  <c r="L54" i="35"/>
  <c r="M54" i="35" s="1"/>
  <c r="L55" i="35"/>
  <c r="M55" i="35" s="1"/>
  <c r="L56" i="35"/>
  <c r="N56" i="35" s="1"/>
  <c r="O56" i="35" s="1"/>
  <c r="L58" i="35"/>
  <c r="N58" i="35" s="1"/>
  <c r="O58" i="35" s="1"/>
  <c r="M58" i="35"/>
  <c r="I5" i="35"/>
  <c r="K108" i="35"/>
  <c r="J108" i="35"/>
  <c r="I108" i="35"/>
  <c r="K106" i="35"/>
  <c r="J103" i="35"/>
  <c r="J107" i="35" s="1"/>
  <c r="I103" i="35"/>
  <c r="J102" i="35"/>
  <c r="I102" i="35"/>
  <c r="E11" i="35"/>
  <c r="E24" i="35"/>
  <c r="E96" i="35"/>
  <c r="E95" i="35"/>
  <c r="E94" i="35"/>
  <c r="E29" i="35"/>
  <c r="E92" i="35"/>
  <c r="E91" i="35"/>
  <c r="E90" i="35"/>
  <c r="E89" i="35"/>
  <c r="E88" i="35"/>
  <c r="E87" i="35"/>
  <c r="E28" i="35"/>
  <c r="E86" i="35"/>
  <c r="E85" i="35"/>
  <c r="E84" i="35"/>
  <c r="E53" i="35"/>
  <c r="E83" i="35"/>
  <c r="E21" i="35"/>
  <c r="E22" i="35"/>
  <c r="E81" i="35"/>
  <c r="E57" i="35"/>
  <c r="E10" i="35"/>
  <c r="E38" i="35"/>
  <c r="E80" i="35"/>
  <c r="E42" i="35"/>
  <c r="E76" i="35"/>
  <c r="E74" i="35"/>
  <c r="E73" i="35"/>
  <c r="E51" i="35"/>
  <c r="E71" i="35"/>
  <c r="E70" i="35"/>
  <c r="E69" i="35"/>
  <c r="E68" i="35"/>
  <c r="E58" i="35"/>
  <c r="E67" i="35"/>
  <c r="E66" i="35"/>
  <c r="E48" i="35"/>
  <c r="E65" i="35"/>
  <c r="E44" i="35"/>
  <c r="E64" i="35"/>
  <c r="E34" i="35"/>
  <c r="E63" i="35"/>
  <c r="E61" i="35"/>
  <c r="E59" i="35"/>
  <c r="L15" i="35"/>
  <c r="E15" i="35"/>
  <c r="E35" i="35"/>
  <c r="E78" i="35"/>
  <c r="L27" i="35"/>
  <c r="E27" i="35"/>
  <c r="E52" i="35"/>
  <c r="E32" i="35"/>
  <c r="E93" i="35"/>
  <c r="E77" i="35"/>
  <c r="E50" i="35"/>
  <c r="E47" i="35"/>
  <c r="E49" i="35"/>
  <c r="L31" i="35"/>
  <c r="E31" i="35"/>
  <c r="E36" i="35"/>
  <c r="E82" i="35"/>
  <c r="E55" i="35"/>
  <c r="E46" i="35"/>
  <c r="E18" i="35"/>
  <c r="E33" i="35"/>
  <c r="E72" i="35"/>
  <c r="E40" i="35"/>
  <c r="L25" i="35"/>
  <c r="E25" i="35"/>
  <c r="E54" i="35"/>
  <c r="L39" i="35"/>
  <c r="E39" i="35"/>
  <c r="E62" i="35"/>
  <c r="E79" i="35"/>
  <c r="E19" i="35"/>
  <c r="E41" i="35"/>
  <c r="E26" i="35"/>
  <c r="E43" i="35"/>
  <c r="E16" i="35"/>
  <c r="E30" i="35"/>
  <c r="E12" i="35"/>
  <c r="E45" i="35"/>
  <c r="E13" i="35"/>
  <c r="E56" i="35"/>
  <c r="E20" i="35"/>
  <c r="E60" i="35"/>
  <c r="E17" i="35"/>
  <c r="E23" i="35"/>
  <c r="E14" i="35"/>
  <c r="AB11" i="35"/>
  <c r="AB12" i="35" s="1"/>
  <c r="AB13" i="35" s="1"/>
  <c r="E37" i="35"/>
  <c r="E75" i="35"/>
  <c r="B10" i="35"/>
  <c r="B11" i="35" s="1"/>
  <c r="B12" i="35" s="1"/>
  <c r="B13" i="35" s="1"/>
  <c r="B14" i="35" s="1"/>
  <c r="B15" i="35" s="1"/>
  <c r="B16" i="35" s="1"/>
  <c r="B17" i="35" s="1"/>
  <c r="B18" i="35" s="1"/>
  <c r="B19" i="35" s="1"/>
  <c r="B20" i="35" s="1"/>
  <c r="B21" i="35" s="1"/>
  <c r="B22" i="35" s="1"/>
  <c r="B23" i="35" s="1"/>
  <c r="B24" i="35" s="1"/>
  <c r="B25" i="35" s="1"/>
  <c r="B26" i="35" s="1"/>
  <c r="B27" i="35" s="1"/>
  <c r="B28" i="35" s="1"/>
  <c r="B29" i="35" s="1"/>
  <c r="B30" i="35" s="1"/>
  <c r="B31" i="35" s="1"/>
  <c r="B32" i="35" s="1"/>
  <c r="B33" i="35" s="1"/>
  <c r="B34" i="35" s="1"/>
  <c r="B35" i="35" s="1"/>
  <c r="B36" i="35" s="1"/>
  <c r="B37" i="35" s="1"/>
  <c r="B38" i="35" s="1"/>
  <c r="B39" i="35" s="1"/>
  <c r="B40" i="35" s="1"/>
  <c r="B41" i="35" s="1"/>
  <c r="B42" i="35" s="1"/>
  <c r="B43" i="35" s="1"/>
  <c r="B44" i="35" s="1"/>
  <c r="B45" i="35" s="1"/>
  <c r="B46" i="35" s="1"/>
  <c r="B47" i="35" s="1"/>
  <c r="B48" i="35" s="1"/>
  <c r="B49" i="35" s="1"/>
  <c r="B50" i="35" s="1"/>
  <c r="B51" i="35" s="1"/>
  <c r="B52" i="35" s="1"/>
  <c r="B53" i="35" s="1"/>
  <c r="B54" i="35" s="1"/>
  <c r="B55" i="35" s="1"/>
  <c r="B56" i="35" s="1"/>
  <c r="B57" i="35" s="1"/>
  <c r="B58" i="35" s="1"/>
  <c r="B59" i="35" s="1"/>
  <c r="B60" i="35" s="1"/>
  <c r="B61" i="35" s="1"/>
  <c r="B62" i="35" s="1"/>
  <c r="B63" i="35" s="1"/>
  <c r="B64" i="35" s="1"/>
  <c r="B65" i="35" s="1"/>
  <c r="B66" i="35" s="1"/>
  <c r="B67" i="35" s="1"/>
  <c r="B68" i="35" s="1"/>
  <c r="B69" i="35" s="1"/>
  <c r="B70" i="35" s="1"/>
  <c r="B71" i="35" s="1"/>
  <c r="B72" i="35" s="1"/>
  <c r="B73" i="35" s="1"/>
  <c r="B74" i="35" s="1"/>
  <c r="B75" i="35" s="1"/>
  <c r="B76" i="35" s="1"/>
  <c r="B77" i="35" s="1"/>
  <c r="B78" i="35" s="1"/>
  <c r="B79" i="35" s="1"/>
  <c r="B80" i="35" s="1"/>
  <c r="B81" i="35" s="1"/>
  <c r="B82" i="35" s="1"/>
  <c r="B83" i="35" s="1"/>
  <c r="B84" i="35" s="1"/>
  <c r="B85" i="35" s="1"/>
  <c r="B86" i="35" s="1"/>
  <c r="B87" i="35" s="1"/>
  <c r="B88" i="35" s="1"/>
  <c r="B89" i="35" s="1"/>
  <c r="B90" i="35" s="1"/>
  <c r="B91" i="35" s="1"/>
  <c r="B92" i="35" s="1"/>
  <c r="B93" i="35" s="1"/>
  <c r="B94" i="35" s="1"/>
  <c r="B95" i="35" s="1"/>
  <c r="B96" i="35" s="1"/>
  <c r="T7" i="35"/>
  <c r="S7" i="35"/>
  <c r="CG114" i="39"/>
  <c r="L36" i="34"/>
  <c r="L37" i="34"/>
  <c r="L38" i="34"/>
  <c r="L42" i="34"/>
  <c r="L39" i="34"/>
  <c r="L40" i="34"/>
  <c r="L44" i="34"/>
  <c r="L41" i="34"/>
  <c r="L49" i="34"/>
  <c r="L45" i="34"/>
  <c r="L50" i="34"/>
  <c r="M50" i="34" s="1"/>
  <c r="L24" i="34"/>
  <c r="L27" i="34"/>
  <c r="L11" i="34"/>
  <c r="L17" i="34"/>
  <c r="L13" i="34"/>
  <c r="L12" i="34"/>
  <c r="L18" i="34"/>
  <c r="L23" i="34"/>
  <c r="L14" i="34"/>
  <c r="L31" i="34"/>
  <c r="L10" i="34"/>
  <c r="L16" i="34"/>
  <c r="L29" i="34"/>
  <c r="L22" i="34"/>
  <c r="L28" i="34"/>
  <c r="L20" i="34"/>
  <c r="L32" i="34"/>
  <c r="L15" i="34"/>
  <c r="L43" i="34"/>
  <c r="L30" i="34"/>
  <c r="L19" i="34"/>
  <c r="L35" i="34"/>
  <c r="L26" i="34"/>
  <c r="L46" i="34"/>
  <c r="M46" i="34" s="1"/>
  <c r="L47" i="34"/>
  <c r="M47" i="34" s="1"/>
  <c r="L51" i="34"/>
  <c r="M51" i="34" s="1"/>
  <c r="I5" i="34"/>
  <c r="K108" i="34"/>
  <c r="CG116" i="39" s="1"/>
  <c r="J108" i="34"/>
  <c r="I108" i="34"/>
  <c r="K106" i="34"/>
  <c r="J103" i="34"/>
  <c r="J107" i="34" s="1"/>
  <c r="I103" i="34"/>
  <c r="I107" i="34" s="1"/>
  <c r="J102" i="34"/>
  <c r="I102" i="34"/>
  <c r="E96" i="34"/>
  <c r="E94" i="34"/>
  <c r="E93" i="34"/>
  <c r="E92" i="34"/>
  <c r="E41" i="34"/>
  <c r="E91" i="34"/>
  <c r="E90" i="34"/>
  <c r="E89" i="34"/>
  <c r="E88" i="34"/>
  <c r="E86" i="34"/>
  <c r="E85" i="34"/>
  <c r="E83" i="34"/>
  <c r="E82" i="34"/>
  <c r="E81" i="34"/>
  <c r="E79" i="34"/>
  <c r="E36" i="34"/>
  <c r="E76" i="34"/>
  <c r="E75" i="34"/>
  <c r="E74" i="34"/>
  <c r="E73" i="34"/>
  <c r="E72" i="34"/>
  <c r="E32" i="34"/>
  <c r="E47" i="34"/>
  <c r="E70" i="34"/>
  <c r="E69" i="34"/>
  <c r="E68" i="34"/>
  <c r="E28" i="34"/>
  <c r="E67" i="34"/>
  <c r="E45" i="34"/>
  <c r="E66" i="34"/>
  <c r="E65" i="34"/>
  <c r="E50" i="34"/>
  <c r="E64" i="34"/>
  <c r="E63" i="34"/>
  <c r="E18" i="34"/>
  <c r="E62" i="34"/>
  <c r="E61" i="34"/>
  <c r="E46" i="34"/>
  <c r="E60" i="34"/>
  <c r="E58" i="34"/>
  <c r="E57" i="34"/>
  <c r="E56" i="34"/>
  <c r="E54" i="34"/>
  <c r="E15" i="34"/>
  <c r="E53" i="34"/>
  <c r="E52" i="34"/>
  <c r="E43" i="34"/>
  <c r="E87" i="34"/>
  <c r="E44" i="34"/>
  <c r="E80" i="34"/>
  <c r="E55" i="34"/>
  <c r="E31" i="34"/>
  <c r="E59" i="34"/>
  <c r="E27" i="34"/>
  <c r="E30" i="34"/>
  <c r="E71" i="34"/>
  <c r="L25" i="34"/>
  <c r="E25" i="34"/>
  <c r="E40" i="34"/>
  <c r="E35" i="34"/>
  <c r="E42" i="34"/>
  <c r="E29" i="34"/>
  <c r="E23" i="34"/>
  <c r="E39" i="34"/>
  <c r="E78" i="34"/>
  <c r="E95" i="34"/>
  <c r="E22" i="34"/>
  <c r="E24" i="34"/>
  <c r="E84" i="34"/>
  <c r="L33" i="34"/>
  <c r="E33" i="34"/>
  <c r="E49" i="34"/>
  <c r="E37" i="34"/>
  <c r="E19" i="34"/>
  <c r="E17" i="34"/>
  <c r="E77" i="34"/>
  <c r="L34" i="34"/>
  <c r="E34" i="34"/>
  <c r="E38" i="34"/>
  <c r="E26" i="34"/>
  <c r="E13" i="34"/>
  <c r="E12" i="34"/>
  <c r="E16" i="34"/>
  <c r="E51" i="34"/>
  <c r="E11" i="34"/>
  <c r="E14" i="34"/>
  <c r="E20" i="34"/>
  <c r="AB12" i="34"/>
  <c r="L48" i="34"/>
  <c r="E48" i="34"/>
  <c r="AB11" i="34"/>
  <c r="E10" i="34"/>
  <c r="L21" i="34"/>
  <c r="E21" i="34"/>
  <c r="B10" i="34"/>
  <c r="B11" i="34" s="1"/>
  <c r="B12" i="34" s="1"/>
  <c r="B13" i="34" s="1"/>
  <c r="B14" i="34" s="1"/>
  <c r="B15" i="34" s="1"/>
  <c r="B16" i="34" s="1"/>
  <c r="B17" i="34" s="1"/>
  <c r="B18" i="34" s="1"/>
  <c r="B19" i="34" s="1"/>
  <c r="B20" i="34" s="1"/>
  <c r="B21" i="34" s="1"/>
  <c r="B22" i="34" s="1"/>
  <c r="B23" i="34" s="1"/>
  <c r="B24" i="34" s="1"/>
  <c r="B25" i="34" s="1"/>
  <c r="B26" i="34" s="1"/>
  <c r="B27" i="34" s="1"/>
  <c r="B28" i="34" s="1"/>
  <c r="B29" i="34" s="1"/>
  <c r="B30" i="34" s="1"/>
  <c r="B31" i="34" s="1"/>
  <c r="B32" i="34" s="1"/>
  <c r="B33" i="34" s="1"/>
  <c r="B34" i="34" s="1"/>
  <c r="B35" i="34" s="1"/>
  <c r="B36" i="34" s="1"/>
  <c r="B37" i="34" s="1"/>
  <c r="B38" i="34" s="1"/>
  <c r="B39" i="34" s="1"/>
  <c r="B40" i="34" s="1"/>
  <c r="B41" i="34" s="1"/>
  <c r="B42" i="34" s="1"/>
  <c r="B43" i="34" s="1"/>
  <c r="B44" i="34" s="1"/>
  <c r="B45" i="34" s="1"/>
  <c r="B46" i="34" s="1"/>
  <c r="B47" i="34" s="1"/>
  <c r="B48" i="34" s="1"/>
  <c r="B49" i="34" s="1"/>
  <c r="B50" i="34" s="1"/>
  <c r="B51" i="34" s="1"/>
  <c r="B52" i="34" s="1"/>
  <c r="B53" i="34" s="1"/>
  <c r="B54" i="34" s="1"/>
  <c r="B55" i="34" s="1"/>
  <c r="B56" i="34" s="1"/>
  <c r="B57" i="34" s="1"/>
  <c r="B58" i="34" s="1"/>
  <c r="B59" i="34" s="1"/>
  <c r="B60" i="34" s="1"/>
  <c r="B61" i="34" s="1"/>
  <c r="B62" i="34" s="1"/>
  <c r="B63" i="34" s="1"/>
  <c r="B64" i="34" s="1"/>
  <c r="B65" i="34" s="1"/>
  <c r="B66" i="34" s="1"/>
  <c r="B67" i="34" s="1"/>
  <c r="B68" i="34" s="1"/>
  <c r="B69" i="34" s="1"/>
  <c r="B70" i="34" s="1"/>
  <c r="B71" i="34" s="1"/>
  <c r="B72" i="34" s="1"/>
  <c r="B73" i="34" s="1"/>
  <c r="B74" i="34" s="1"/>
  <c r="B75" i="34" s="1"/>
  <c r="B76" i="34" s="1"/>
  <c r="B77" i="34" s="1"/>
  <c r="B78" i="34" s="1"/>
  <c r="B79" i="34" s="1"/>
  <c r="B80" i="34" s="1"/>
  <c r="B81" i="34" s="1"/>
  <c r="B82" i="34" s="1"/>
  <c r="B83" i="34" s="1"/>
  <c r="B84" i="34" s="1"/>
  <c r="B85" i="34" s="1"/>
  <c r="B86" i="34" s="1"/>
  <c r="B87" i="34" s="1"/>
  <c r="B88" i="34" s="1"/>
  <c r="B89" i="34" s="1"/>
  <c r="B90" i="34" s="1"/>
  <c r="B91" i="34" s="1"/>
  <c r="B92" i="34" s="1"/>
  <c r="B93" i="34" s="1"/>
  <c r="B94" i="34" s="1"/>
  <c r="B95" i="34" s="1"/>
  <c r="B96" i="34" s="1"/>
  <c r="T7" i="34"/>
  <c r="S7" i="34"/>
  <c r="CD114" i="39"/>
  <c r="AB21" i="47" l="1"/>
  <c r="AB20" i="45"/>
  <c r="AB15" i="38"/>
  <c r="AB17" i="37"/>
  <c r="N51" i="36"/>
  <c r="O51" i="36" s="1"/>
  <c r="AB15" i="36"/>
  <c r="O57" i="36"/>
  <c r="N55" i="35"/>
  <c r="O55" i="35" s="1"/>
  <c r="M40" i="35"/>
  <c r="M48" i="35"/>
  <c r="M18" i="35"/>
  <c r="M16" i="35"/>
  <c r="M24" i="35"/>
  <c r="M50" i="35"/>
  <c r="M11" i="35"/>
  <c r="M14" i="35"/>
  <c r="M56" i="35"/>
  <c r="M26" i="35"/>
  <c r="M13" i="35"/>
  <c r="M34" i="35"/>
  <c r="M23" i="35"/>
  <c r="M46" i="35"/>
  <c r="M17" i="35"/>
  <c r="M49" i="35"/>
  <c r="M35" i="35"/>
  <c r="M19" i="35"/>
  <c r="M42" i="35"/>
  <c r="M22" i="35"/>
  <c r="M29" i="35"/>
  <c r="M47" i="35"/>
  <c r="M43" i="35"/>
  <c r="M44" i="35"/>
  <c r="M12" i="35"/>
  <c r="M45" i="35"/>
  <c r="M20" i="35"/>
  <c r="M37" i="35"/>
  <c r="M53" i="35"/>
  <c r="M52" i="35"/>
  <c r="M32" i="35"/>
  <c r="N57" i="35"/>
  <c r="O57" i="35" s="1"/>
  <c r="M41" i="35"/>
  <c r="M36" i="35"/>
  <c r="M38" i="35"/>
  <c r="M21" i="35"/>
  <c r="M33" i="35"/>
  <c r="N54" i="35"/>
  <c r="O54" i="35" s="1"/>
  <c r="M10" i="35"/>
  <c r="M28" i="35"/>
  <c r="M51" i="35"/>
  <c r="M30" i="35"/>
  <c r="K102" i="35"/>
  <c r="K104" i="35" s="1"/>
  <c r="K103" i="35"/>
  <c r="M27" i="35"/>
  <c r="I107" i="35"/>
  <c r="K107" i="35" s="1"/>
  <c r="M25" i="35"/>
  <c r="AB14" i="35"/>
  <c r="M31" i="35"/>
  <c r="M15" i="35"/>
  <c r="K109" i="35"/>
  <c r="M39" i="35"/>
  <c r="N46" i="34"/>
  <c r="O46" i="34" s="1"/>
  <c r="N51" i="34"/>
  <c r="O51" i="34" s="1"/>
  <c r="M37" i="34"/>
  <c r="M28" i="34"/>
  <c r="M30" i="34"/>
  <c r="M45" i="34"/>
  <c r="M13" i="34"/>
  <c r="M40" i="34"/>
  <c r="M32" i="34"/>
  <c r="M31" i="34"/>
  <c r="M44" i="34"/>
  <c r="M36" i="34"/>
  <c r="M20" i="34"/>
  <c r="M24" i="34"/>
  <c r="M35" i="34"/>
  <c r="M16" i="34"/>
  <c r="M18" i="34"/>
  <c r="M27" i="34"/>
  <c r="M41" i="34"/>
  <c r="M38" i="34"/>
  <c r="M19" i="34"/>
  <c r="M12" i="34"/>
  <c r="M26" i="34"/>
  <c r="M15" i="34"/>
  <c r="M23" i="34"/>
  <c r="M42" i="34"/>
  <c r="N47" i="34"/>
  <c r="O47" i="34" s="1"/>
  <c r="N50" i="34"/>
  <c r="O50" i="34" s="1"/>
  <c r="M43" i="34"/>
  <c r="M22" i="34"/>
  <c r="M39" i="34"/>
  <c r="M29" i="34"/>
  <c r="M11" i="34"/>
  <c r="M49" i="34"/>
  <c r="M14" i="34"/>
  <c r="M17" i="34"/>
  <c r="M10" i="34"/>
  <c r="K103" i="34"/>
  <c r="CG110" i="39" s="1"/>
  <c r="K107" i="34"/>
  <c r="CG115" i="39" s="1"/>
  <c r="K102" i="34"/>
  <c r="M33" i="34"/>
  <c r="M48" i="34"/>
  <c r="AB13" i="34"/>
  <c r="M34" i="34"/>
  <c r="K109" i="34"/>
  <c r="CG117" i="39" s="1"/>
  <c r="M25" i="34"/>
  <c r="M21" i="34"/>
  <c r="L24" i="32"/>
  <c r="L43" i="32"/>
  <c r="L19" i="32"/>
  <c r="L33" i="32"/>
  <c r="L14" i="32"/>
  <c r="L11" i="32"/>
  <c r="L23" i="32"/>
  <c r="L38" i="32"/>
  <c r="L36" i="32"/>
  <c r="L35" i="32"/>
  <c r="L32" i="32"/>
  <c r="L17" i="32"/>
  <c r="L45" i="32"/>
  <c r="L31" i="32"/>
  <c r="L42" i="32"/>
  <c r="L25" i="32"/>
  <c r="L20" i="32"/>
  <c r="L46" i="32"/>
  <c r="L49" i="32"/>
  <c r="M49" i="32" s="1"/>
  <c r="L18" i="32"/>
  <c r="L50" i="32"/>
  <c r="M50" i="32" s="1"/>
  <c r="L13" i="32"/>
  <c r="L12" i="32"/>
  <c r="L21" i="32"/>
  <c r="L10" i="32"/>
  <c r="L28" i="32"/>
  <c r="L22" i="32"/>
  <c r="L26" i="32"/>
  <c r="L37" i="32"/>
  <c r="L40" i="32"/>
  <c r="L27" i="32"/>
  <c r="L16" i="32"/>
  <c r="L44" i="32"/>
  <c r="L48" i="32"/>
  <c r="L39" i="32"/>
  <c r="L34" i="32"/>
  <c r="L47" i="32"/>
  <c r="L41" i="32"/>
  <c r="I5" i="32"/>
  <c r="K108" i="32"/>
  <c r="CD116" i="39" s="1"/>
  <c r="J108" i="32"/>
  <c r="I108" i="32"/>
  <c r="K106" i="32"/>
  <c r="J103" i="32"/>
  <c r="J107" i="32" s="1"/>
  <c r="I103" i="32"/>
  <c r="I107" i="32" s="1"/>
  <c r="J102" i="32"/>
  <c r="I102" i="32"/>
  <c r="E96" i="32"/>
  <c r="E95" i="32"/>
  <c r="E94" i="32"/>
  <c r="E93" i="32"/>
  <c r="E92" i="32"/>
  <c r="E91" i="32"/>
  <c r="E90" i="32"/>
  <c r="E89" i="32"/>
  <c r="E49" i="32"/>
  <c r="E87" i="32"/>
  <c r="E86" i="32"/>
  <c r="E85" i="32"/>
  <c r="E84" i="32"/>
  <c r="E83" i="32"/>
  <c r="E47" i="32"/>
  <c r="E82" i="32"/>
  <c r="E33" i="32"/>
  <c r="E24" i="32"/>
  <c r="E79" i="32"/>
  <c r="E20" i="32"/>
  <c r="E78" i="32"/>
  <c r="E77" i="32"/>
  <c r="E76" i="32"/>
  <c r="E41" i="32"/>
  <c r="E48" i="32"/>
  <c r="E26" i="32"/>
  <c r="E37" i="32"/>
  <c r="E38" i="32"/>
  <c r="E73" i="32"/>
  <c r="E72" i="32"/>
  <c r="E71" i="32"/>
  <c r="E67" i="32"/>
  <c r="E66" i="32"/>
  <c r="E65" i="32"/>
  <c r="E64" i="32"/>
  <c r="E63" i="32"/>
  <c r="E62" i="32"/>
  <c r="E61" i="32"/>
  <c r="E60" i="32"/>
  <c r="E58" i="32"/>
  <c r="E44" i="32"/>
  <c r="E57" i="32"/>
  <c r="E42" i="32"/>
  <c r="E56" i="32"/>
  <c r="E55" i="32"/>
  <c r="E54" i="32"/>
  <c r="E53" i="32"/>
  <c r="E52" i="32"/>
  <c r="E51" i="32"/>
  <c r="L29" i="32"/>
  <c r="E29" i="32"/>
  <c r="E21" i="32"/>
  <c r="E31" i="32"/>
  <c r="E80" i="32"/>
  <c r="E70" i="32"/>
  <c r="E74" i="32"/>
  <c r="E68" i="32"/>
  <c r="E39" i="32"/>
  <c r="E28" i="32"/>
  <c r="E50" i="32"/>
  <c r="E75" i="32"/>
  <c r="E88" i="32"/>
  <c r="E45" i="32"/>
  <c r="E36" i="32"/>
  <c r="E81" i="32"/>
  <c r="E22" i="32"/>
  <c r="E43" i="32"/>
  <c r="E12" i="32"/>
  <c r="E46" i="32"/>
  <c r="L30" i="32"/>
  <c r="E30" i="32"/>
  <c r="E35" i="32"/>
  <c r="E34" i="32"/>
  <c r="E27" i="32"/>
  <c r="E59" i="32"/>
  <c r="E40" i="32"/>
  <c r="E32" i="32"/>
  <c r="E25" i="32"/>
  <c r="E19" i="32"/>
  <c r="E69" i="32"/>
  <c r="E17" i="32"/>
  <c r="E23" i="32"/>
  <c r="L15" i="32"/>
  <c r="E15" i="32"/>
  <c r="E13" i="32"/>
  <c r="E16" i="32"/>
  <c r="E18" i="32"/>
  <c r="E11" i="32"/>
  <c r="AB11" i="32"/>
  <c r="E14" i="32"/>
  <c r="E10" i="32"/>
  <c r="T7" i="32"/>
  <c r="S7" i="32"/>
  <c r="E83" i="39"/>
  <c r="L16" i="31"/>
  <c r="L13" i="31"/>
  <c r="L11" i="31"/>
  <c r="L20" i="31"/>
  <c r="L22" i="31"/>
  <c r="L17" i="31"/>
  <c r="L23" i="31"/>
  <c r="L18" i="31"/>
  <c r="L35" i="31"/>
  <c r="L27" i="31"/>
  <c r="L15" i="31"/>
  <c r="L12" i="31"/>
  <c r="L34" i="31"/>
  <c r="L37" i="31"/>
  <c r="L43" i="31"/>
  <c r="L45" i="31"/>
  <c r="M45" i="31" s="1"/>
  <c r="L47" i="31"/>
  <c r="M47" i="31" s="1"/>
  <c r="L29" i="31"/>
  <c r="L24" i="31"/>
  <c r="L10" i="31"/>
  <c r="L21" i="31"/>
  <c r="L14" i="31"/>
  <c r="L26" i="31"/>
  <c r="L38" i="31"/>
  <c r="L25" i="31"/>
  <c r="L33" i="31"/>
  <c r="L32" i="31"/>
  <c r="L19" i="31"/>
  <c r="L30" i="31"/>
  <c r="L39" i="31"/>
  <c r="L41" i="31"/>
  <c r="L40" i="31"/>
  <c r="L36" i="31"/>
  <c r="L46" i="31"/>
  <c r="L42" i="31"/>
  <c r="L28" i="31"/>
  <c r="E36" i="31"/>
  <c r="H76" i="3"/>
  <c r="E76" i="3"/>
  <c r="I5" i="31"/>
  <c r="K108" i="31"/>
  <c r="CA116" i="39" s="1"/>
  <c r="J108" i="31"/>
  <c r="I108" i="31"/>
  <c r="K106" i="31"/>
  <c r="CA114" i="39" s="1"/>
  <c r="J103" i="31"/>
  <c r="J107" i="31" s="1"/>
  <c r="I103" i="31"/>
  <c r="J102" i="31"/>
  <c r="I102" i="31"/>
  <c r="E96" i="31"/>
  <c r="E22" i="31"/>
  <c r="E40" i="31"/>
  <c r="E95" i="31"/>
  <c r="E94" i="31"/>
  <c r="E93" i="31"/>
  <c r="E92" i="31"/>
  <c r="E91" i="31"/>
  <c r="E90" i="31"/>
  <c r="E89" i="31"/>
  <c r="E88" i="31"/>
  <c r="E32" i="31"/>
  <c r="E87" i="31"/>
  <c r="E83" i="31"/>
  <c r="E81" i="31"/>
  <c r="E78" i="31"/>
  <c r="E77" i="31"/>
  <c r="E76" i="31"/>
  <c r="E74" i="31"/>
  <c r="E37" i="31"/>
  <c r="E68" i="31"/>
  <c r="E28" i="31"/>
  <c r="E67" i="31"/>
  <c r="E39" i="31"/>
  <c r="E46" i="31"/>
  <c r="E65" i="31"/>
  <c r="E64" i="31"/>
  <c r="E63" i="31"/>
  <c r="E62" i="31"/>
  <c r="E61" i="31"/>
  <c r="E60" i="31"/>
  <c r="E58" i="31"/>
  <c r="E57" i="31"/>
  <c r="E55" i="31"/>
  <c r="E53" i="31"/>
  <c r="E52" i="31"/>
  <c r="E29" i="31"/>
  <c r="E51" i="31"/>
  <c r="E50" i="31"/>
  <c r="E49" i="31"/>
  <c r="E48" i="31"/>
  <c r="E16" i="31"/>
  <c r="E11" i="31"/>
  <c r="E25" i="31"/>
  <c r="E30" i="31"/>
  <c r="E38" i="31"/>
  <c r="E59" i="31"/>
  <c r="E82" i="31"/>
  <c r="E69" i="31"/>
  <c r="E33" i="31"/>
  <c r="E66" i="31"/>
  <c r="E42" i="31"/>
  <c r="E70" i="31"/>
  <c r="E86" i="31"/>
  <c r="E41" i="31"/>
  <c r="E84" i="31"/>
  <c r="E72" i="31"/>
  <c r="E75" i="31"/>
  <c r="E54" i="31"/>
  <c r="E56" i="31"/>
  <c r="E85" i="31"/>
  <c r="E73" i="31"/>
  <c r="E34" i="31"/>
  <c r="E23" i="31"/>
  <c r="E35" i="31"/>
  <c r="E24" i="31"/>
  <c r="E27" i="31"/>
  <c r="L31" i="31"/>
  <c r="E31" i="31"/>
  <c r="E26" i="31"/>
  <c r="E43" i="31"/>
  <c r="E19" i="31"/>
  <c r="E71" i="31"/>
  <c r="L44" i="31"/>
  <c r="E44" i="31"/>
  <c r="E80" i="31"/>
  <c r="E47" i="31"/>
  <c r="E21" i="31"/>
  <c r="E79" i="31"/>
  <c r="E10" i="31"/>
  <c r="E20" i="31"/>
  <c r="E45" i="31"/>
  <c r="E14" i="31"/>
  <c r="E15" i="31"/>
  <c r="E17" i="31"/>
  <c r="E18" i="31"/>
  <c r="AB11" i="31"/>
  <c r="E13" i="31"/>
  <c r="E12" i="31"/>
  <c r="B10" i="31"/>
  <c r="B11" i="31" s="1"/>
  <c r="B12" i="31" s="1"/>
  <c r="B13" i="31" s="1"/>
  <c r="B14" i="31" s="1"/>
  <c r="B15" i="31" s="1"/>
  <c r="B16" i="31" s="1"/>
  <c r="B17" i="31" s="1"/>
  <c r="B18" i="31" s="1"/>
  <c r="B19" i="31" s="1"/>
  <c r="B20" i="31" s="1"/>
  <c r="B21" i="31" s="1"/>
  <c r="B22" i="31" s="1"/>
  <c r="B23" i="31" s="1"/>
  <c r="B24" i="31" s="1"/>
  <c r="B25" i="31" s="1"/>
  <c r="B26" i="31" s="1"/>
  <c r="B27" i="31" s="1"/>
  <c r="B28" i="31" s="1"/>
  <c r="B29" i="31" s="1"/>
  <c r="B30" i="31" s="1"/>
  <c r="B31" i="31" s="1"/>
  <c r="B32" i="31" s="1"/>
  <c r="B33" i="31" s="1"/>
  <c r="B34" i="31" s="1"/>
  <c r="B35" i="31" s="1"/>
  <c r="B36" i="31" s="1"/>
  <c r="B37" i="31" s="1"/>
  <c r="B38" i="31" s="1"/>
  <c r="B39" i="31" s="1"/>
  <c r="B40" i="31" s="1"/>
  <c r="B41" i="31" s="1"/>
  <c r="B42" i="31" s="1"/>
  <c r="B43" i="31" s="1"/>
  <c r="B44" i="31" s="1"/>
  <c r="B45" i="31" s="1"/>
  <c r="B46" i="31" s="1"/>
  <c r="B47" i="31" s="1"/>
  <c r="B48" i="31" s="1"/>
  <c r="B49" i="31" s="1"/>
  <c r="B50" i="31" s="1"/>
  <c r="B51" i="31" s="1"/>
  <c r="B52" i="31" s="1"/>
  <c r="B53" i="31" s="1"/>
  <c r="B54" i="31" s="1"/>
  <c r="B55" i="31" s="1"/>
  <c r="B56" i="31" s="1"/>
  <c r="B57" i="31" s="1"/>
  <c r="B58" i="31" s="1"/>
  <c r="B59" i="31" s="1"/>
  <c r="B60" i="31" s="1"/>
  <c r="B61" i="31" s="1"/>
  <c r="B62" i="31" s="1"/>
  <c r="B63" i="31" s="1"/>
  <c r="B64" i="31" s="1"/>
  <c r="B65" i="31" s="1"/>
  <c r="B66" i="31" s="1"/>
  <c r="B67" i="31" s="1"/>
  <c r="B68" i="31" s="1"/>
  <c r="B69" i="31" s="1"/>
  <c r="B70" i="31" s="1"/>
  <c r="B71" i="31" s="1"/>
  <c r="B72" i="31" s="1"/>
  <c r="B73" i="31" s="1"/>
  <c r="B74" i="31" s="1"/>
  <c r="B75" i="31" s="1"/>
  <c r="B76" i="31" s="1"/>
  <c r="B77" i="31" s="1"/>
  <c r="T7" i="31"/>
  <c r="S7" i="31"/>
  <c r="E89" i="39"/>
  <c r="H67" i="3"/>
  <c r="E67" i="3"/>
  <c r="L37" i="30"/>
  <c r="L36" i="30"/>
  <c r="L15" i="30"/>
  <c r="L30" i="30"/>
  <c r="L49" i="30"/>
  <c r="M49" i="30" s="1"/>
  <c r="L31" i="30"/>
  <c r="L14" i="30"/>
  <c r="L50" i="30"/>
  <c r="L41" i="30"/>
  <c r="L25" i="30"/>
  <c r="L26" i="30"/>
  <c r="L45" i="30"/>
  <c r="L47" i="30"/>
  <c r="N47" i="30" s="1"/>
  <c r="O47" i="30" s="1"/>
  <c r="L33" i="30"/>
  <c r="L43" i="30"/>
  <c r="L24" i="30"/>
  <c r="L39" i="30"/>
  <c r="L44" i="30"/>
  <c r="L16" i="30"/>
  <c r="L34" i="30"/>
  <c r="L38" i="30"/>
  <c r="L23" i="30"/>
  <c r="L13" i="30"/>
  <c r="L19" i="30"/>
  <c r="L46" i="30"/>
  <c r="L22" i="30"/>
  <c r="L51" i="30"/>
  <c r="L20" i="30"/>
  <c r="L54" i="30"/>
  <c r="N54" i="30" s="1"/>
  <c r="O54" i="30" s="1"/>
  <c r="L48" i="30"/>
  <c r="M48" i="30" s="1"/>
  <c r="L40" i="30"/>
  <c r="L35" i="30"/>
  <c r="L21" i="30"/>
  <c r="L10" i="30"/>
  <c r="L17" i="30"/>
  <c r="L42" i="30"/>
  <c r="L52" i="30"/>
  <c r="L12" i="30"/>
  <c r="L18" i="30"/>
  <c r="L29" i="30"/>
  <c r="L28" i="30"/>
  <c r="L53" i="30"/>
  <c r="L32" i="30"/>
  <c r="E40" i="30"/>
  <c r="DA89" i="39" l="1"/>
  <c r="CZ89" i="39"/>
  <c r="CY89" i="39"/>
  <c r="CZ83" i="39"/>
  <c r="DA83" i="39"/>
  <c r="CY83" i="39"/>
  <c r="AB22" i="47"/>
  <c r="CW83" i="39"/>
  <c r="CX83" i="39"/>
  <c r="CV83" i="39"/>
  <c r="CV89" i="39"/>
  <c r="CW89" i="39"/>
  <c r="CX89" i="39"/>
  <c r="AB21" i="45"/>
  <c r="CU89" i="39"/>
  <c r="CT89" i="39"/>
  <c r="CS89" i="39"/>
  <c r="CU83" i="39"/>
  <c r="CT83" i="39"/>
  <c r="CS83" i="39"/>
  <c r="CQ89" i="39"/>
  <c r="CR89" i="39"/>
  <c r="CP89" i="39"/>
  <c r="CQ83" i="39"/>
  <c r="CR83" i="39"/>
  <c r="CP83" i="39"/>
  <c r="AB16" i="38"/>
  <c r="AB18" i="37"/>
  <c r="CN83" i="39"/>
  <c r="CO83" i="39"/>
  <c r="CM83" i="39"/>
  <c r="CO89" i="39"/>
  <c r="CN89" i="39"/>
  <c r="CM89" i="39"/>
  <c r="AB16" i="36"/>
  <c r="AA89" i="39"/>
  <c r="CJ89" i="39"/>
  <c r="CL89" i="39"/>
  <c r="CK89" i="39"/>
  <c r="S83" i="39"/>
  <c r="CK83" i="39"/>
  <c r="CJ83" i="39"/>
  <c r="CL83" i="39"/>
  <c r="CI83" i="39"/>
  <c r="CI89" i="39"/>
  <c r="CG89" i="39"/>
  <c r="CG83" i="39"/>
  <c r="CH89" i="39"/>
  <c r="CH83" i="39"/>
  <c r="K104" i="34"/>
  <c r="CG111" i="39" s="1"/>
  <c r="CG109" i="39"/>
  <c r="AB15" i="35"/>
  <c r="BV83" i="39"/>
  <c r="X83" i="39"/>
  <c r="AB14" i="34"/>
  <c r="W83" i="39"/>
  <c r="BU83" i="39"/>
  <c r="CE89" i="39"/>
  <c r="CD89" i="39"/>
  <c r="CF83" i="39"/>
  <c r="CD83" i="39"/>
  <c r="CE83" i="39"/>
  <c r="CF89" i="39"/>
  <c r="M18" i="32"/>
  <c r="M16" i="32"/>
  <c r="M28" i="32"/>
  <c r="N49" i="32"/>
  <c r="O49" i="32" s="1"/>
  <c r="M23" i="32"/>
  <c r="M10" i="32"/>
  <c r="M47" i="32"/>
  <c r="M27" i="32"/>
  <c r="M17" i="32"/>
  <c r="M11" i="32"/>
  <c r="M40" i="32"/>
  <c r="M21" i="32"/>
  <c r="M14" i="32"/>
  <c r="M34" i="32"/>
  <c r="M20" i="32"/>
  <c r="M32" i="32"/>
  <c r="M39" i="32"/>
  <c r="M37" i="32"/>
  <c r="M35" i="32"/>
  <c r="M33" i="32"/>
  <c r="M13" i="32"/>
  <c r="M25" i="32"/>
  <c r="M48" i="32"/>
  <c r="N50" i="32"/>
  <c r="O50" i="32" s="1"/>
  <c r="M42" i="32"/>
  <c r="M36" i="32"/>
  <c r="M43" i="32"/>
  <c r="M22" i="32"/>
  <c r="M31" i="32"/>
  <c r="M24" i="32"/>
  <c r="M19" i="32"/>
  <c r="M41" i="32"/>
  <c r="M44" i="32"/>
  <c r="M26" i="32"/>
  <c r="M12" i="32"/>
  <c r="M46" i="32"/>
  <c r="M45" i="32"/>
  <c r="M38" i="32"/>
  <c r="K103" i="32"/>
  <c r="CD110" i="39" s="1"/>
  <c r="K102" i="32"/>
  <c r="K107" i="32"/>
  <c r="CD115" i="39" s="1"/>
  <c r="M29" i="32"/>
  <c r="K109" i="32"/>
  <c r="CD117" i="39" s="1"/>
  <c r="AB12" i="32"/>
  <c r="M15" i="32"/>
  <c r="M30" i="32"/>
  <c r="AJ83" i="39"/>
  <c r="BP83" i="39"/>
  <c r="BD83" i="39"/>
  <c r="BC83" i="39"/>
  <c r="BB83" i="39"/>
  <c r="V83" i="39"/>
  <c r="BO83" i="39"/>
  <c r="AL83" i="39"/>
  <c r="AK83" i="39"/>
  <c r="BM83" i="39"/>
  <c r="AG83" i="39"/>
  <c r="BW83" i="39"/>
  <c r="BE83" i="39"/>
  <c r="AQ83" i="39"/>
  <c r="Y83" i="39"/>
  <c r="BA83" i="39"/>
  <c r="AI83" i="39"/>
  <c r="BZ83" i="39"/>
  <c r="BL83" i="39"/>
  <c r="AB83" i="39"/>
  <c r="AV83" i="39"/>
  <c r="BK83" i="39"/>
  <c r="AS83" i="39"/>
  <c r="AA83" i="39"/>
  <c r="BN83" i="39"/>
  <c r="AH83" i="39"/>
  <c r="AU83" i="39"/>
  <c r="AT83" i="39"/>
  <c r="BY83" i="39"/>
  <c r="BX83" i="39"/>
  <c r="BF83" i="39"/>
  <c r="AR83" i="39"/>
  <c r="Z83" i="39"/>
  <c r="N47" i="31"/>
  <c r="O47" i="31" s="1"/>
  <c r="M17" i="31"/>
  <c r="M35" i="31"/>
  <c r="CC83" i="39"/>
  <c r="BS83" i="39"/>
  <c r="BI83" i="39"/>
  <c r="AY83" i="39"/>
  <c r="AO83" i="39"/>
  <c r="AE83" i="39"/>
  <c r="U83" i="39"/>
  <c r="BJ83" i="39"/>
  <c r="AF83" i="39"/>
  <c r="M18" i="31"/>
  <c r="BR83" i="39"/>
  <c r="BH83" i="39"/>
  <c r="AX83" i="39"/>
  <c r="AN83" i="39"/>
  <c r="AD83" i="39"/>
  <c r="T83" i="39"/>
  <c r="BT83" i="39"/>
  <c r="AZ83" i="39"/>
  <c r="AP83" i="39"/>
  <c r="BQ83" i="39"/>
  <c r="BG83" i="39"/>
  <c r="AW83" i="39"/>
  <c r="AM83" i="39"/>
  <c r="AC83" i="39"/>
  <c r="M39" i="31"/>
  <c r="M25" i="31"/>
  <c r="M34" i="31"/>
  <c r="M41" i="31"/>
  <c r="M29" i="31"/>
  <c r="M22" i="31"/>
  <c r="M15" i="31"/>
  <c r="M19" i="31"/>
  <c r="M23" i="31"/>
  <c r="M26" i="31"/>
  <c r="M42" i="31"/>
  <c r="M36" i="31"/>
  <c r="CA83" i="39" s="1"/>
  <c r="M21" i="31"/>
  <c r="M40" i="31"/>
  <c r="M13" i="31"/>
  <c r="M10" i="31"/>
  <c r="M33" i="31"/>
  <c r="M16" i="31"/>
  <c r="M11" i="31"/>
  <c r="M43" i="31"/>
  <c r="M27" i="31"/>
  <c r="M12" i="31"/>
  <c r="M38" i="31"/>
  <c r="M20" i="31"/>
  <c r="N45" i="31"/>
  <c r="O45" i="31" s="1"/>
  <c r="M32" i="31"/>
  <c r="M14" i="31"/>
  <c r="M46" i="31"/>
  <c r="M30" i="31"/>
  <c r="M24" i="31"/>
  <c r="M37" i="31"/>
  <c r="M28" i="31"/>
  <c r="B80" i="31"/>
  <c r="B81" i="31" s="1"/>
  <c r="B82" i="31" s="1"/>
  <c r="B83" i="31" s="1"/>
  <c r="B84" i="31" s="1"/>
  <c r="B85" i="31" s="1"/>
  <c r="B86" i="31" s="1"/>
  <c r="B87" i="31" s="1"/>
  <c r="B88" i="31" s="1"/>
  <c r="B89" i="31" s="1"/>
  <c r="B90" i="31" s="1"/>
  <c r="B91" i="31" s="1"/>
  <c r="B92" i="31" s="1"/>
  <c r="B93" i="31" s="1"/>
  <c r="B94" i="31" s="1"/>
  <c r="B95" i="31" s="1"/>
  <c r="B96" i="31" s="1"/>
  <c r="B78" i="31"/>
  <c r="B79" i="31" s="1"/>
  <c r="CC89" i="39"/>
  <c r="K102" i="31"/>
  <c r="CA109" i="39" s="1"/>
  <c r="K103" i="31"/>
  <c r="CA110" i="39" s="1"/>
  <c r="AB12" i="31"/>
  <c r="M31" i="31"/>
  <c r="CA89" i="39"/>
  <c r="M44" i="31"/>
  <c r="K109" i="31"/>
  <c r="CA117" i="39" s="1"/>
  <c r="I107" i="31"/>
  <c r="K107" i="31" s="1"/>
  <c r="CA115" i="39" s="1"/>
  <c r="X89" i="39"/>
  <c r="W89" i="39"/>
  <c r="T89" i="39"/>
  <c r="V89" i="39"/>
  <c r="BD89" i="39"/>
  <c r="BW89" i="39"/>
  <c r="BC89" i="39"/>
  <c r="AI89" i="39"/>
  <c r="BU89" i="39"/>
  <c r="BA89" i="39"/>
  <c r="AG89" i="39"/>
  <c r="BT89" i="39"/>
  <c r="AZ89" i="39"/>
  <c r="AF89" i="39"/>
  <c r="BN89" i="39"/>
  <c r="AT89" i="39"/>
  <c r="Z89" i="39"/>
  <c r="BM89" i="39"/>
  <c r="AS89" i="39"/>
  <c r="Y89" i="39"/>
  <c r="BL89" i="39"/>
  <c r="AR89" i="39"/>
  <c r="BK89" i="39"/>
  <c r="AQ89" i="39"/>
  <c r="BJ89" i="39"/>
  <c r="AP89" i="39"/>
  <c r="AJ89" i="39"/>
  <c r="BV89" i="39"/>
  <c r="BB89" i="39"/>
  <c r="AH89" i="39"/>
  <c r="BS89" i="39"/>
  <c r="BI89" i="39"/>
  <c r="AY89" i="39"/>
  <c r="AO89" i="39"/>
  <c r="AE89" i="39"/>
  <c r="U89" i="39"/>
  <c r="AW89" i="39"/>
  <c r="BP89" i="39"/>
  <c r="BF89" i="39"/>
  <c r="AV89" i="39"/>
  <c r="AL89" i="39"/>
  <c r="AB89" i="39"/>
  <c r="BR89" i="39"/>
  <c r="BH89" i="39"/>
  <c r="AX89" i="39"/>
  <c r="AN89" i="39"/>
  <c r="AD89" i="39"/>
  <c r="BQ89" i="39"/>
  <c r="BG89" i="39"/>
  <c r="AM89" i="39"/>
  <c r="AC89" i="39"/>
  <c r="S89" i="39"/>
  <c r="N49" i="30"/>
  <c r="O49" i="30" s="1"/>
  <c r="BO89" i="39"/>
  <c r="BE89" i="39"/>
  <c r="AU89" i="39"/>
  <c r="AK89" i="39"/>
  <c r="M54" i="30"/>
  <c r="N48" i="30"/>
  <c r="O48" i="30" s="1"/>
  <c r="M47" i="30"/>
  <c r="I5" i="30"/>
  <c r="K108" i="30"/>
  <c r="BX116" i="39" s="1"/>
  <c r="J108" i="30"/>
  <c r="I108" i="30"/>
  <c r="K106" i="30"/>
  <c r="BX114" i="39" s="1"/>
  <c r="J103" i="30"/>
  <c r="J107" i="30" s="1"/>
  <c r="I103" i="30"/>
  <c r="J102" i="30"/>
  <c r="I102" i="30"/>
  <c r="E32" i="30"/>
  <c r="E95" i="30"/>
  <c r="E28" i="30"/>
  <c r="E29" i="30"/>
  <c r="E92" i="30"/>
  <c r="E91" i="30"/>
  <c r="E90" i="30"/>
  <c r="E89" i="30"/>
  <c r="E88" i="30"/>
  <c r="E87" i="30"/>
  <c r="E86" i="30"/>
  <c r="E85" i="30"/>
  <c r="E83" i="30"/>
  <c r="E42" i="30"/>
  <c r="E35" i="30"/>
  <c r="E82" i="30"/>
  <c r="E81" i="30"/>
  <c r="E23" i="30"/>
  <c r="E80" i="30"/>
  <c r="E79" i="30"/>
  <c r="E78" i="30"/>
  <c r="E38" i="30"/>
  <c r="E77" i="30"/>
  <c r="E76" i="30"/>
  <c r="E39" i="30"/>
  <c r="E75" i="30"/>
  <c r="E73" i="30"/>
  <c r="E45" i="30"/>
  <c r="E41" i="30"/>
  <c r="E70" i="30"/>
  <c r="E69" i="30"/>
  <c r="E68" i="30"/>
  <c r="E67" i="30"/>
  <c r="E66" i="30"/>
  <c r="E65" i="30"/>
  <c r="E49" i="30"/>
  <c r="E64" i="30"/>
  <c r="E63" i="30"/>
  <c r="E36" i="30"/>
  <c r="E62" i="30"/>
  <c r="E61" i="30"/>
  <c r="E60" i="30"/>
  <c r="E58" i="30"/>
  <c r="E57" i="30"/>
  <c r="E56" i="30"/>
  <c r="E55" i="30"/>
  <c r="E26" i="30"/>
  <c r="E43" i="30"/>
  <c r="E25" i="30"/>
  <c r="E30" i="30"/>
  <c r="E15" i="30"/>
  <c r="E19" i="30"/>
  <c r="E33" i="30"/>
  <c r="E71" i="30"/>
  <c r="E46" i="30"/>
  <c r="E50" i="30"/>
  <c r="E24" i="30"/>
  <c r="E93" i="30"/>
  <c r="E52" i="30"/>
  <c r="E48" i="30"/>
  <c r="E34" i="30"/>
  <c r="E44" i="30"/>
  <c r="E20" i="30"/>
  <c r="E37" i="30"/>
  <c r="E59" i="30"/>
  <c r="E31" i="30"/>
  <c r="E47" i="30"/>
  <c r="E84" i="30"/>
  <c r="E72" i="30"/>
  <c r="E74" i="30"/>
  <c r="E51" i="30"/>
  <c r="E13" i="30"/>
  <c r="E22" i="30"/>
  <c r="L27" i="30"/>
  <c r="E27" i="30"/>
  <c r="E21" i="30"/>
  <c r="E12" i="30"/>
  <c r="E16" i="30"/>
  <c r="E14" i="30"/>
  <c r="L11" i="30"/>
  <c r="E11" i="30"/>
  <c r="E54" i="30"/>
  <c r="E94" i="30"/>
  <c r="E18" i="30"/>
  <c r="E17" i="30"/>
  <c r="AB11" i="30"/>
  <c r="AB12" i="30" s="1"/>
  <c r="E10" i="30"/>
  <c r="E53" i="30"/>
  <c r="T7" i="30"/>
  <c r="S7" i="30"/>
  <c r="L15" i="29"/>
  <c r="L10" i="29"/>
  <c r="L20" i="29"/>
  <c r="L14" i="29"/>
  <c r="L22" i="29"/>
  <c r="L16" i="29"/>
  <c r="L18" i="29"/>
  <c r="L29" i="29"/>
  <c r="L17" i="29"/>
  <c r="L28" i="29"/>
  <c r="L11" i="29"/>
  <c r="L19" i="29"/>
  <c r="L39" i="29"/>
  <c r="L30" i="29"/>
  <c r="L42" i="29"/>
  <c r="M42" i="29" s="1"/>
  <c r="L43" i="29"/>
  <c r="M43" i="29" s="1"/>
  <c r="L48" i="29"/>
  <c r="N48" i="29" s="1"/>
  <c r="O48" i="29" s="1"/>
  <c r="L23" i="29"/>
  <c r="L21" i="29"/>
  <c r="L31" i="29"/>
  <c r="L12" i="29"/>
  <c r="L13" i="29"/>
  <c r="L26" i="29"/>
  <c r="L24" i="29"/>
  <c r="L27" i="29"/>
  <c r="L35" i="29"/>
  <c r="L33" i="29"/>
  <c r="L32" i="29"/>
  <c r="L37" i="29"/>
  <c r="L34" i="29"/>
  <c r="L36" i="29"/>
  <c r="L38" i="29"/>
  <c r="L40" i="29"/>
  <c r="L41" i="29"/>
  <c r="L44" i="29"/>
  <c r="M44" i="29" s="1"/>
  <c r="L45" i="29"/>
  <c r="M45" i="29" s="1"/>
  <c r="L46" i="29"/>
  <c r="N46" i="29" s="1"/>
  <c r="O46" i="29" s="1"/>
  <c r="L47" i="29"/>
  <c r="N47" i="29" s="1"/>
  <c r="O47" i="29" s="1"/>
  <c r="BU114" i="39"/>
  <c r="I5" i="29"/>
  <c r="K108" i="29"/>
  <c r="BU116" i="39" s="1"/>
  <c r="J108" i="29"/>
  <c r="I108" i="29"/>
  <c r="K106" i="29"/>
  <c r="J103" i="29"/>
  <c r="J107" i="29" s="1"/>
  <c r="I103" i="29"/>
  <c r="J102" i="29"/>
  <c r="I102" i="29"/>
  <c r="E93" i="29"/>
  <c r="E14" i="29"/>
  <c r="E92" i="29"/>
  <c r="E90" i="29"/>
  <c r="E89" i="29"/>
  <c r="E88" i="29"/>
  <c r="E87" i="29"/>
  <c r="E19" i="29"/>
  <c r="E86" i="29"/>
  <c r="E85" i="29"/>
  <c r="E84" i="29"/>
  <c r="E36" i="29"/>
  <c r="E83" i="29"/>
  <c r="E82" i="29"/>
  <c r="E81" i="29"/>
  <c r="E80" i="29"/>
  <c r="E79" i="29"/>
  <c r="E78" i="29"/>
  <c r="E15" i="29"/>
  <c r="E22" i="29"/>
  <c r="E77" i="29"/>
  <c r="E76" i="29"/>
  <c r="E74" i="29"/>
  <c r="E73" i="29"/>
  <c r="E72" i="29"/>
  <c r="E33" i="29"/>
  <c r="E70" i="29"/>
  <c r="E28" i="29"/>
  <c r="E69" i="29"/>
  <c r="E68" i="29"/>
  <c r="E67" i="29"/>
  <c r="E41" i="29"/>
  <c r="E65" i="29"/>
  <c r="E39" i="29"/>
  <c r="E64" i="29"/>
  <c r="E62" i="29"/>
  <c r="E61" i="29"/>
  <c r="E60" i="29"/>
  <c r="E58" i="29"/>
  <c r="E57" i="29"/>
  <c r="E56" i="29"/>
  <c r="E55" i="29"/>
  <c r="E31" i="29"/>
  <c r="E54" i="29"/>
  <c r="E53" i="29"/>
  <c r="E30" i="29"/>
  <c r="E52" i="29"/>
  <c r="E51" i="29"/>
  <c r="E50" i="29"/>
  <c r="E49" i="29"/>
  <c r="E17" i="29"/>
  <c r="E59" i="29"/>
  <c r="E63" i="29"/>
  <c r="E35" i="29"/>
  <c r="E37" i="29"/>
  <c r="E66" i="29"/>
  <c r="E71" i="29"/>
  <c r="E40" i="29"/>
  <c r="E48" i="29"/>
  <c r="E47" i="29"/>
  <c r="E29" i="29"/>
  <c r="E34" i="29"/>
  <c r="E42" i="29"/>
  <c r="E94" i="29"/>
  <c r="E91" i="29"/>
  <c r="L25" i="29"/>
  <c r="E25" i="29"/>
  <c r="E26" i="29"/>
  <c r="E27" i="29"/>
  <c r="E43" i="29"/>
  <c r="E21" i="29"/>
  <c r="E38" i="29"/>
  <c r="E18" i="29"/>
  <c r="E12" i="29"/>
  <c r="E10" i="29"/>
  <c r="E20" i="29"/>
  <c r="E23" i="29"/>
  <c r="E24" i="29"/>
  <c r="E75" i="29"/>
  <c r="E45" i="29"/>
  <c r="E32" i="29"/>
  <c r="E46" i="29"/>
  <c r="E16" i="29"/>
  <c r="AB12" i="29"/>
  <c r="AB13" i="29" s="1"/>
  <c r="E13" i="29"/>
  <c r="AB11" i="29"/>
  <c r="E11" i="29"/>
  <c r="E44" i="29"/>
  <c r="T7" i="29"/>
  <c r="S7" i="29"/>
  <c r="C10" i="43"/>
  <c r="B10" i="43"/>
  <c r="N7" i="43"/>
  <c r="L20" i="27"/>
  <c r="L13" i="27"/>
  <c r="L26" i="27"/>
  <c r="L23" i="27"/>
  <c r="L30" i="27"/>
  <c r="L21" i="27"/>
  <c r="L34" i="27"/>
  <c r="L32" i="27"/>
  <c r="L11" i="27"/>
  <c r="L36" i="27"/>
  <c r="L38" i="27"/>
  <c r="L17" i="27"/>
  <c r="L42" i="27"/>
  <c r="N42" i="27" s="1"/>
  <c r="O42" i="27" s="1"/>
  <c r="L44" i="27"/>
  <c r="M44" i="27" s="1"/>
  <c r="L22" i="27"/>
  <c r="L19" i="27"/>
  <c r="L10" i="27"/>
  <c r="L16" i="27"/>
  <c r="L24" i="27"/>
  <c r="L31" i="27"/>
  <c r="L28" i="27"/>
  <c r="L15" i="27"/>
  <c r="L27" i="27"/>
  <c r="L25" i="27"/>
  <c r="L18" i="27"/>
  <c r="L35" i="27"/>
  <c r="L12" i="27"/>
  <c r="L14" i="27"/>
  <c r="L39" i="27"/>
  <c r="L37" i="27"/>
  <c r="L40" i="27"/>
  <c r="L41" i="27"/>
  <c r="L33" i="27"/>
  <c r="L43" i="27"/>
  <c r="M43" i="27" s="1"/>
  <c r="J83" i="39" l="1"/>
  <c r="AB23" i="47"/>
  <c r="AB22" i="45"/>
  <c r="AB17" i="38"/>
  <c r="AB19" i="37"/>
  <c r="AB17" i="36"/>
  <c r="AB16" i="35"/>
  <c r="AB15" i="34"/>
  <c r="K104" i="32"/>
  <c r="CD111" i="39" s="1"/>
  <c r="CD109" i="39"/>
  <c r="AB13" i="32"/>
  <c r="K104" i="31"/>
  <c r="CA111" i="39" s="1"/>
  <c r="AB13" i="31"/>
  <c r="BZ89" i="39"/>
  <c r="M35" i="30"/>
  <c r="M32" i="30"/>
  <c r="M43" i="30"/>
  <c r="M30" i="30"/>
  <c r="M44" i="30"/>
  <c r="M24" i="30"/>
  <c r="M31" i="30"/>
  <c r="M53" i="30"/>
  <c r="M41" i="30"/>
  <c r="M38" i="30"/>
  <c r="M51" i="30"/>
  <c r="M21" i="30"/>
  <c r="M34" i="30"/>
  <c r="M45" i="30"/>
  <c r="M13" i="30"/>
  <c r="M52" i="30"/>
  <c r="M46" i="30"/>
  <c r="M18" i="30"/>
  <c r="M28" i="30"/>
  <c r="M33" i="30"/>
  <c r="M20" i="30"/>
  <c r="M12" i="30"/>
  <c r="M37" i="30"/>
  <c r="M16" i="30"/>
  <c r="M17" i="30"/>
  <c r="M40" i="30"/>
  <c r="BX89" i="39" s="1"/>
  <c r="J89" i="39" s="1"/>
  <c r="M10" i="30"/>
  <c r="M36" i="30"/>
  <c r="M50" i="30"/>
  <c r="M42" i="30"/>
  <c r="M14" i="30"/>
  <c r="M39" i="30"/>
  <c r="M23" i="30"/>
  <c r="M25" i="30"/>
  <c r="M15" i="30"/>
  <c r="M19" i="30"/>
  <c r="M26" i="30"/>
  <c r="M29" i="30"/>
  <c r="M22" i="30"/>
  <c r="K103" i="30"/>
  <c r="BX110" i="39" s="1"/>
  <c r="K102" i="30"/>
  <c r="I107" i="30"/>
  <c r="K107" i="30" s="1"/>
  <c r="BX115" i="39" s="1"/>
  <c r="AB13" i="30"/>
  <c r="K109" i="30"/>
  <c r="BX117" i="39" s="1"/>
  <c r="M27" i="30"/>
  <c r="M11" i="30"/>
  <c r="M46" i="29"/>
  <c r="M48" i="29"/>
  <c r="M16" i="29"/>
  <c r="M18" i="29"/>
  <c r="M11" i="29"/>
  <c r="M47" i="29"/>
  <c r="N43" i="29"/>
  <c r="O43" i="29" s="1"/>
  <c r="M28" i="29"/>
  <c r="M12" i="29"/>
  <c r="M31" i="29"/>
  <c r="M35" i="29"/>
  <c r="M10" i="29"/>
  <c r="M27" i="29"/>
  <c r="M14" i="29"/>
  <c r="M36" i="29"/>
  <c r="N45" i="29"/>
  <c r="O45" i="29" s="1"/>
  <c r="M34" i="29"/>
  <c r="M15" i="29"/>
  <c r="M40" i="29"/>
  <c r="M32" i="29"/>
  <c r="M26" i="29"/>
  <c r="M23" i="29"/>
  <c r="M39" i="29"/>
  <c r="M20" i="29"/>
  <c r="M19" i="29"/>
  <c r="M29" i="29"/>
  <c r="N44" i="29"/>
  <c r="O44" i="29" s="1"/>
  <c r="N42" i="29"/>
  <c r="O42" i="29" s="1"/>
  <c r="M22" i="29"/>
  <c r="M41" i="29"/>
  <c r="M21" i="29"/>
  <c r="M30" i="29"/>
  <c r="M38" i="29"/>
  <c r="M13" i="29"/>
  <c r="M37" i="29"/>
  <c r="M24" i="29"/>
  <c r="M17" i="29"/>
  <c r="M33" i="29"/>
  <c r="K102" i="29"/>
  <c r="K103" i="29"/>
  <c r="BU110" i="39" s="1"/>
  <c r="K109" i="29"/>
  <c r="BU117" i="39" s="1"/>
  <c r="M25" i="29"/>
  <c r="AB14" i="29"/>
  <c r="I107" i="29"/>
  <c r="K107" i="29" s="1"/>
  <c r="BU115" i="39" s="1"/>
  <c r="N44" i="27"/>
  <c r="O44" i="27" s="1"/>
  <c r="N43" i="27"/>
  <c r="O43" i="27" s="1"/>
  <c r="M42" i="27"/>
  <c r="BR114" i="39"/>
  <c r="P7" i="39"/>
  <c r="L18" i="26"/>
  <c r="AB24" i="47" l="1"/>
  <c r="AB23" i="45"/>
  <c r="AB18" i="38"/>
  <c r="AB20" i="37"/>
  <c r="AB18" i="36"/>
  <c r="AB17" i="35"/>
  <c r="AB16" i="34"/>
  <c r="AB14" i="32"/>
  <c r="AB14" i="31"/>
  <c r="K104" i="30"/>
  <c r="BX111" i="39" s="1"/>
  <c r="BX109" i="39"/>
  <c r="AB14" i="30"/>
  <c r="K104" i="29"/>
  <c r="BU111" i="39" s="1"/>
  <c r="BU109" i="39"/>
  <c r="AB15" i="29"/>
  <c r="I5" i="27"/>
  <c r="K108" i="27"/>
  <c r="BR116" i="39" s="1"/>
  <c r="J108" i="27"/>
  <c r="I108" i="27"/>
  <c r="K106" i="27"/>
  <c r="J103" i="27"/>
  <c r="J107" i="27" s="1"/>
  <c r="I103" i="27"/>
  <c r="J102" i="27"/>
  <c r="I102" i="27"/>
  <c r="E94" i="27"/>
  <c r="E21" i="27"/>
  <c r="E93" i="27"/>
  <c r="E92" i="27"/>
  <c r="E91" i="27"/>
  <c r="E90" i="27"/>
  <c r="E89" i="27"/>
  <c r="E87" i="27"/>
  <c r="E86" i="27"/>
  <c r="E85" i="27"/>
  <c r="E84" i="27"/>
  <c r="E83" i="27"/>
  <c r="E82" i="27"/>
  <c r="E81" i="27"/>
  <c r="E80" i="27"/>
  <c r="E78" i="27"/>
  <c r="E77" i="27"/>
  <c r="E19" i="27"/>
  <c r="E74" i="27"/>
  <c r="E73" i="27"/>
  <c r="E72" i="27"/>
  <c r="E71" i="27"/>
  <c r="E70" i="27"/>
  <c r="E33" i="27"/>
  <c r="E69" i="27"/>
  <c r="E68" i="27"/>
  <c r="E67" i="27"/>
  <c r="E66" i="27"/>
  <c r="E65" i="27"/>
  <c r="E64" i="27"/>
  <c r="E36" i="27"/>
  <c r="E14" i="27"/>
  <c r="E63" i="27"/>
  <c r="E62" i="27"/>
  <c r="E60" i="27"/>
  <c r="E42" i="27"/>
  <c r="E59" i="27"/>
  <c r="E58" i="27"/>
  <c r="E57" i="27"/>
  <c r="E43" i="27"/>
  <c r="E56" i="27"/>
  <c r="E16" i="27"/>
  <c r="E55" i="27"/>
  <c r="E53" i="27"/>
  <c r="E51" i="27"/>
  <c r="E50" i="27"/>
  <c r="E48" i="27"/>
  <c r="E47" i="27"/>
  <c r="E46" i="27"/>
  <c r="E13" i="27"/>
  <c r="E45" i="27"/>
  <c r="E41" i="27"/>
  <c r="E88" i="27"/>
  <c r="E40" i="27"/>
  <c r="E37" i="27"/>
  <c r="E39" i="27"/>
  <c r="E12" i="27"/>
  <c r="E35" i="27"/>
  <c r="E18" i="27"/>
  <c r="E27" i="27"/>
  <c r="E25" i="27"/>
  <c r="E10" i="27"/>
  <c r="E61" i="27"/>
  <c r="E54" i="27"/>
  <c r="E24" i="27"/>
  <c r="E52" i="27"/>
  <c r="E28" i="27"/>
  <c r="E17" i="27"/>
  <c r="E15" i="27"/>
  <c r="E31" i="27"/>
  <c r="E38" i="27"/>
  <c r="E49" i="27"/>
  <c r="E30" i="27"/>
  <c r="E34" i="27"/>
  <c r="E32" i="27"/>
  <c r="E11" i="27"/>
  <c r="E23" i="27"/>
  <c r="E44" i="27"/>
  <c r="E22" i="27"/>
  <c r="E75" i="27"/>
  <c r="E79" i="27"/>
  <c r="E20" i="27"/>
  <c r="AB12" i="27"/>
  <c r="AB13" i="27" s="1"/>
  <c r="E76" i="27"/>
  <c r="AB11" i="27"/>
  <c r="L29" i="27"/>
  <c r="E29" i="27"/>
  <c r="E26" i="27"/>
  <c r="B10" i="27"/>
  <c r="B11" i="27" s="1"/>
  <c r="B12" i="27" s="1"/>
  <c r="B13" i="27" s="1"/>
  <c r="B14" i="27" s="1"/>
  <c r="B15" i="27" s="1"/>
  <c r="B16" i="27" s="1"/>
  <c r="B17" i="27" s="1"/>
  <c r="B18" i="27" s="1"/>
  <c r="B19" i="27" s="1"/>
  <c r="B20" i="27" s="1"/>
  <c r="B21" i="27" s="1"/>
  <c r="B22" i="27" s="1"/>
  <c r="B23" i="27" s="1"/>
  <c r="B24" i="27" s="1"/>
  <c r="B25" i="27" s="1"/>
  <c r="B26" i="27" s="1"/>
  <c r="B27" i="27" s="1"/>
  <c r="B28" i="27" s="1"/>
  <c r="B29" i="27" s="1"/>
  <c r="B30" i="27" s="1"/>
  <c r="B31" i="27" s="1"/>
  <c r="B32" i="27" s="1"/>
  <c r="B33" i="27" s="1"/>
  <c r="B34" i="27" s="1"/>
  <c r="B35" i="27" s="1"/>
  <c r="B36" i="27" s="1"/>
  <c r="B37" i="27" s="1"/>
  <c r="B38" i="27" s="1"/>
  <c r="B39" i="27" s="1"/>
  <c r="B40" i="27" s="1"/>
  <c r="B41" i="27" s="1"/>
  <c r="B42" i="27" s="1"/>
  <c r="B43" i="27" s="1"/>
  <c r="B44" i="27" s="1"/>
  <c r="B45" i="27" s="1"/>
  <c r="B46" i="27" s="1"/>
  <c r="B47" i="27" s="1"/>
  <c r="B48" i="27" s="1"/>
  <c r="B49" i="27" s="1"/>
  <c r="B50" i="27" s="1"/>
  <c r="B51" i="27" s="1"/>
  <c r="B52" i="27" s="1"/>
  <c r="B53" i="27" s="1"/>
  <c r="B54" i="27" s="1"/>
  <c r="B55" i="27" s="1"/>
  <c r="B56" i="27" s="1"/>
  <c r="B57" i="27" s="1"/>
  <c r="B58" i="27" s="1"/>
  <c r="B59" i="27" s="1"/>
  <c r="B60" i="27" s="1"/>
  <c r="B61" i="27" s="1"/>
  <c r="B62" i="27" s="1"/>
  <c r="B63" i="27" s="1"/>
  <c r="B64" i="27" s="1"/>
  <c r="B65" i="27" s="1"/>
  <c r="B66" i="27" s="1"/>
  <c r="B67" i="27" s="1"/>
  <c r="B68" i="27" s="1"/>
  <c r="B69" i="27" s="1"/>
  <c r="B70" i="27" s="1"/>
  <c r="B71" i="27" s="1"/>
  <c r="B72" i="27" s="1"/>
  <c r="B73" i="27" s="1"/>
  <c r="B74" i="27" s="1"/>
  <c r="B75" i="27" s="1"/>
  <c r="B76" i="27" s="1"/>
  <c r="B77" i="27" s="1"/>
  <c r="B78" i="27" s="1"/>
  <c r="B79" i="27" s="1"/>
  <c r="B80" i="27" s="1"/>
  <c r="B81" i="27" s="1"/>
  <c r="B82" i="27" s="1"/>
  <c r="B83" i="27" s="1"/>
  <c r="B84" i="27" s="1"/>
  <c r="B85" i="27" s="1"/>
  <c r="B86" i="27" s="1"/>
  <c r="B87" i="27" s="1"/>
  <c r="B88" i="27" s="1"/>
  <c r="B89" i="27" s="1"/>
  <c r="B90" i="27" s="1"/>
  <c r="B91" i="27" s="1"/>
  <c r="B92" i="27" s="1"/>
  <c r="B93" i="27" s="1"/>
  <c r="B94" i="27" s="1"/>
  <c r="T7" i="27"/>
  <c r="S7" i="27"/>
  <c r="BO114" i="39"/>
  <c r="L31" i="26"/>
  <c r="L28" i="26"/>
  <c r="L17" i="26"/>
  <c r="L12" i="26"/>
  <c r="L15" i="26"/>
  <c r="L42" i="26"/>
  <c r="L16" i="26"/>
  <c r="L13" i="26"/>
  <c r="L11" i="26"/>
  <c r="L43" i="26"/>
  <c r="L10" i="26"/>
  <c r="I5" i="26"/>
  <c r="K108" i="26"/>
  <c r="BO116" i="39" s="1"/>
  <c r="J108" i="26"/>
  <c r="I108" i="26"/>
  <c r="K106" i="26"/>
  <c r="J103" i="26"/>
  <c r="J107" i="26" s="1"/>
  <c r="I103" i="26"/>
  <c r="J102" i="26"/>
  <c r="I102" i="26"/>
  <c r="E94" i="26"/>
  <c r="E91" i="26"/>
  <c r="E90" i="26"/>
  <c r="E89" i="26"/>
  <c r="E88" i="26"/>
  <c r="E86" i="26"/>
  <c r="E85" i="26"/>
  <c r="E84" i="26"/>
  <c r="E83" i="26"/>
  <c r="E82" i="26"/>
  <c r="E81" i="26"/>
  <c r="E42" i="26"/>
  <c r="E79" i="26"/>
  <c r="E78" i="26"/>
  <c r="E31" i="26"/>
  <c r="E16" i="26"/>
  <c r="E28" i="26"/>
  <c r="E76" i="26"/>
  <c r="E75" i="26"/>
  <c r="E74" i="26"/>
  <c r="E72" i="26"/>
  <c r="E71" i="26"/>
  <c r="E43" i="26"/>
  <c r="E70" i="26"/>
  <c r="E68" i="26"/>
  <c r="E67" i="26"/>
  <c r="E17" i="26"/>
  <c r="E66" i="26"/>
  <c r="E65" i="26"/>
  <c r="E18" i="26"/>
  <c r="E63" i="26"/>
  <c r="E62" i="26"/>
  <c r="E61" i="26"/>
  <c r="E59" i="26"/>
  <c r="E58" i="26"/>
  <c r="E57" i="26"/>
  <c r="E55" i="26"/>
  <c r="E54" i="26"/>
  <c r="E53" i="26"/>
  <c r="E52" i="26"/>
  <c r="E51" i="26"/>
  <c r="E50" i="26"/>
  <c r="E49" i="26"/>
  <c r="E48" i="26"/>
  <c r="E47" i="26"/>
  <c r="E45" i="26"/>
  <c r="L38" i="26"/>
  <c r="E38" i="26"/>
  <c r="L37" i="26"/>
  <c r="E37" i="26"/>
  <c r="E92" i="26"/>
  <c r="L40" i="26"/>
  <c r="E40" i="26"/>
  <c r="L44" i="26"/>
  <c r="N44" i="26" s="1"/>
  <c r="E44" i="26"/>
  <c r="L36" i="26"/>
  <c r="E36" i="26"/>
  <c r="L26" i="26"/>
  <c r="E26" i="26"/>
  <c r="E80" i="26"/>
  <c r="L19" i="26"/>
  <c r="E19" i="26"/>
  <c r="L27" i="26"/>
  <c r="E27" i="26"/>
  <c r="L23" i="26"/>
  <c r="E23" i="26"/>
  <c r="E56" i="26"/>
  <c r="E69" i="26"/>
  <c r="L35" i="26"/>
  <c r="E35" i="26"/>
  <c r="L39" i="26"/>
  <c r="E39" i="26"/>
  <c r="L25" i="26"/>
  <c r="E25" i="26"/>
  <c r="L29" i="26"/>
  <c r="E29" i="26"/>
  <c r="L41" i="26"/>
  <c r="E41" i="26"/>
  <c r="L24" i="26"/>
  <c r="E24" i="26"/>
  <c r="E64" i="26"/>
  <c r="E73" i="26"/>
  <c r="L30" i="26"/>
  <c r="E30" i="26"/>
  <c r="L34" i="26"/>
  <c r="E34" i="26"/>
  <c r="L22" i="26"/>
  <c r="E22" i="26"/>
  <c r="L33" i="26"/>
  <c r="E33" i="26"/>
  <c r="E77" i="26"/>
  <c r="L21" i="26"/>
  <c r="E21" i="26"/>
  <c r="L32" i="26"/>
  <c r="E32" i="26"/>
  <c r="E60" i="26"/>
  <c r="E93" i="26"/>
  <c r="E15" i="26"/>
  <c r="L20" i="26"/>
  <c r="E20" i="26"/>
  <c r="E13" i="26"/>
  <c r="L14" i="26"/>
  <c r="E14" i="26"/>
  <c r="E87" i="26"/>
  <c r="E11" i="26"/>
  <c r="E12" i="26"/>
  <c r="AB11" i="26"/>
  <c r="E46" i="26"/>
  <c r="E10" i="26"/>
  <c r="T7" i="26"/>
  <c r="S7" i="26"/>
  <c r="J102" i="5"/>
  <c r="I102" i="5"/>
  <c r="J102" i="25"/>
  <c r="I102" i="25"/>
  <c r="AB25" i="47" l="1"/>
  <c r="AB24" i="45"/>
  <c r="AB19" i="38"/>
  <c r="AB21" i="37"/>
  <c r="AB19" i="36"/>
  <c r="AB18" i="35"/>
  <c r="AB17" i="34"/>
  <c r="AB15" i="32"/>
  <c r="AB15" i="31"/>
  <c r="AB15" i="30"/>
  <c r="AB16" i="29"/>
  <c r="M14" i="27"/>
  <c r="M17" i="27"/>
  <c r="M39" i="27"/>
  <c r="M32" i="27"/>
  <c r="M28" i="27"/>
  <c r="M26" i="27"/>
  <c r="M21" i="27"/>
  <c r="M13" i="27"/>
  <c r="M25" i="27"/>
  <c r="M35" i="27"/>
  <c r="M37" i="27"/>
  <c r="M11" i="27"/>
  <c r="M33" i="27"/>
  <c r="M41" i="27"/>
  <c r="M19" i="27"/>
  <c r="M23" i="27"/>
  <c r="M27" i="27"/>
  <c r="M30" i="27"/>
  <c r="M16" i="27"/>
  <c r="M15" i="27"/>
  <c r="M38" i="27"/>
  <c r="M10" i="27"/>
  <c r="M20" i="27"/>
  <c r="M24" i="27"/>
  <c r="M22" i="27"/>
  <c r="M12" i="27"/>
  <c r="M36" i="27"/>
  <c r="M34" i="27"/>
  <c r="M18" i="27"/>
  <c r="M31" i="27"/>
  <c r="M40" i="27"/>
  <c r="M18" i="26"/>
  <c r="M17" i="26"/>
  <c r="K103" i="27"/>
  <c r="BR110" i="39" s="1"/>
  <c r="I107" i="27"/>
  <c r="K107" i="27" s="1"/>
  <c r="BR115" i="39" s="1"/>
  <c r="K102" i="27"/>
  <c r="AB14" i="27"/>
  <c r="K109" i="27"/>
  <c r="BR117" i="39" s="1"/>
  <c r="M29" i="27"/>
  <c r="M42" i="26"/>
  <c r="M43" i="26"/>
  <c r="M28" i="26"/>
  <c r="M13" i="26"/>
  <c r="M31" i="26"/>
  <c r="M16" i="26"/>
  <c r="M11" i="26"/>
  <c r="M12" i="26"/>
  <c r="M10" i="26"/>
  <c r="M15" i="26"/>
  <c r="M36" i="26"/>
  <c r="K102" i="26"/>
  <c r="M38" i="26"/>
  <c r="K103" i="26"/>
  <c r="BO110" i="39" s="1"/>
  <c r="M23" i="26"/>
  <c r="M27" i="26"/>
  <c r="M39" i="26"/>
  <c r="M40" i="26"/>
  <c r="M20" i="26"/>
  <c r="M44" i="26"/>
  <c r="M37" i="26"/>
  <c r="I107" i="26"/>
  <c r="K107" i="26" s="1"/>
  <c r="BO115" i="39" s="1"/>
  <c r="M14" i="26"/>
  <c r="M35" i="26"/>
  <c r="N40" i="26"/>
  <c r="M19" i="26"/>
  <c r="M32" i="26"/>
  <c r="M34" i="26"/>
  <c r="M22" i="26"/>
  <c r="M41" i="26"/>
  <c r="AB12" i="26"/>
  <c r="M30" i="26"/>
  <c r="M33" i="26"/>
  <c r="K109" i="26"/>
  <c r="BO117" i="39" s="1"/>
  <c r="M25" i="26"/>
  <c r="M24" i="26"/>
  <c r="M21" i="26"/>
  <c r="M29" i="26"/>
  <c r="M26" i="26"/>
  <c r="BL114" i="39"/>
  <c r="N32" i="5"/>
  <c r="N33" i="5"/>
  <c r="N34" i="5"/>
  <c r="N35" i="5"/>
  <c r="N36" i="5"/>
  <c r="N37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10" i="5"/>
  <c r="L11" i="25"/>
  <c r="L18" i="25"/>
  <c r="L16" i="25"/>
  <c r="L13" i="25"/>
  <c r="L22" i="25"/>
  <c r="L14" i="25"/>
  <c r="L25" i="25"/>
  <c r="L28" i="25"/>
  <c r="L10" i="25"/>
  <c r="L32" i="25"/>
  <c r="L38" i="25"/>
  <c r="L19" i="25"/>
  <c r="L24" i="25"/>
  <c r="L29" i="25"/>
  <c r="L39" i="25"/>
  <c r="L23" i="25"/>
  <c r="L15" i="25"/>
  <c r="L40" i="25"/>
  <c r="L41" i="25"/>
  <c r="L42" i="25"/>
  <c r="L21" i="25"/>
  <c r="L31" i="25"/>
  <c r="L27" i="25"/>
  <c r="L33" i="25"/>
  <c r="L43" i="25"/>
  <c r="L26" i="25"/>
  <c r="L17" i="25"/>
  <c r="L36" i="25"/>
  <c r="L44" i="25"/>
  <c r="L34" i="25"/>
  <c r="L20" i="25"/>
  <c r="L35" i="25"/>
  <c r="L30" i="25"/>
  <c r="L37" i="25"/>
  <c r="N37" i="25" s="1"/>
  <c r="L45" i="25"/>
  <c r="N45" i="25" s="1"/>
  <c r="L46" i="25"/>
  <c r="N46" i="25" s="1"/>
  <c r="L47" i="25"/>
  <c r="N47" i="25" s="1"/>
  <c r="L48" i="25"/>
  <c r="N48" i="25" s="1"/>
  <c r="L12" i="25"/>
  <c r="I5" i="25"/>
  <c r="AB26" i="47" l="1"/>
  <c r="AB25" i="45"/>
  <c r="AB20" i="38"/>
  <c r="AB22" i="37"/>
  <c r="AB20" i="36"/>
  <c r="AB19" i="35"/>
  <c r="AB18" i="34"/>
  <c r="AB16" i="32"/>
  <c r="AB16" i="31"/>
  <c r="AB16" i="30"/>
  <c r="AB17" i="29"/>
  <c r="K104" i="27"/>
  <c r="BR111" i="39" s="1"/>
  <c r="BR109" i="39"/>
  <c r="K104" i="26"/>
  <c r="BO111" i="39" s="1"/>
  <c r="BO109" i="39"/>
  <c r="AB15" i="27"/>
  <c r="O44" i="26"/>
  <c r="O40" i="26"/>
  <c r="AB13" i="26"/>
  <c r="K108" i="25"/>
  <c r="BL116" i="39" s="1"/>
  <c r="J108" i="25"/>
  <c r="I108" i="25"/>
  <c r="K106" i="25"/>
  <c r="J103" i="25"/>
  <c r="J107" i="25" s="1"/>
  <c r="I103" i="25"/>
  <c r="E94" i="25"/>
  <c r="E92" i="25"/>
  <c r="E91" i="25"/>
  <c r="E90" i="25"/>
  <c r="E45" i="25"/>
  <c r="E89" i="25"/>
  <c r="E88" i="25"/>
  <c r="E87" i="25"/>
  <c r="E85" i="25"/>
  <c r="E84" i="25"/>
  <c r="E83" i="25"/>
  <c r="E82" i="25"/>
  <c r="E81" i="25"/>
  <c r="E35" i="25"/>
  <c r="E78" i="25"/>
  <c r="E77" i="25"/>
  <c r="E76" i="25"/>
  <c r="E75" i="25"/>
  <c r="E74" i="25"/>
  <c r="E39" i="25"/>
  <c r="E73" i="25"/>
  <c r="E72" i="25"/>
  <c r="E71" i="25"/>
  <c r="E69" i="25"/>
  <c r="E67" i="25"/>
  <c r="E66" i="25"/>
  <c r="E29" i="25"/>
  <c r="E42" i="25"/>
  <c r="E64" i="25"/>
  <c r="E63" i="25"/>
  <c r="E62" i="25"/>
  <c r="E20" i="25"/>
  <c r="E61" i="25"/>
  <c r="E60" i="25"/>
  <c r="E59" i="25"/>
  <c r="E37" i="25"/>
  <c r="E58" i="25"/>
  <c r="E31" i="25"/>
  <c r="E56" i="25"/>
  <c r="E55" i="25"/>
  <c r="E54" i="25"/>
  <c r="E53" i="25"/>
  <c r="E52" i="25"/>
  <c r="E51" i="25"/>
  <c r="E50" i="25"/>
  <c r="E49" i="25"/>
  <c r="E32" i="25"/>
  <c r="E86" i="25"/>
  <c r="E26" i="25"/>
  <c r="E57" i="25"/>
  <c r="E48" i="25"/>
  <c r="E44" i="25"/>
  <c r="E47" i="25"/>
  <c r="E36" i="25"/>
  <c r="E41" i="25"/>
  <c r="E34" i="25"/>
  <c r="E21" i="25"/>
  <c r="E65" i="25"/>
  <c r="E24" i="25"/>
  <c r="E27" i="25"/>
  <c r="E28" i="25"/>
  <c r="E38" i="25"/>
  <c r="E43" i="25"/>
  <c r="E80" i="25"/>
  <c r="E93" i="25"/>
  <c r="E25" i="25"/>
  <c r="E68" i="25"/>
  <c r="E70" i="25"/>
  <c r="E46" i="25"/>
  <c r="E30" i="25"/>
  <c r="E33" i="25"/>
  <c r="E16" i="25"/>
  <c r="E15" i="25"/>
  <c r="E22" i="25"/>
  <c r="E19" i="25"/>
  <c r="E18" i="25"/>
  <c r="E17" i="25"/>
  <c r="E79" i="25"/>
  <c r="E13" i="25"/>
  <c r="E40" i="25"/>
  <c r="E23" i="25"/>
  <c r="E14" i="25"/>
  <c r="E12" i="25"/>
  <c r="AB11" i="25"/>
  <c r="AB12" i="25" s="1"/>
  <c r="E11" i="25"/>
  <c r="E10" i="25"/>
  <c r="T7" i="25"/>
  <c r="S7" i="25"/>
  <c r="BI114" i="39"/>
  <c r="L30" i="24"/>
  <c r="L20" i="24"/>
  <c r="L39" i="24"/>
  <c r="L45" i="24"/>
  <c r="L33" i="24"/>
  <c r="L29" i="24"/>
  <c r="L36" i="24"/>
  <c r="L23" i="24"/>
  <c r="L40" i="24"/>
  <c r="L37" i="24"/>
  <c r="L38" i="24"/>
  <c r="L41" i="24"/>
  <c r="L35" i="24"/>
  <c r="L42" i="24"/>
  <c r="L46" i="24"/>
  <c r="M46" i="24" s="1"/>
  <c r="L47" i="24"/>
  <c r="M47" i="24" s="1"/>
  <c r="L12" i="24"/>
  <c r="L11" i="24"/>
  <c r="L28" i="24"/>
  <c r="L17" i="24"/>
  <c r="L26" i="24"/>
  <c r="L18" i="24"/>
  <c r="L10" i="24"/>
  <c r="L14" i="24"/>
  <c r="L25" i="24"/>
  <c r="L19" i="24"/>
  <c r="L13" i="24"/>
  <c r="L16" i="24"/>
  <c r="L27" i="24"/>
  <c r="L22" i="24"/>
  <c r="L32" i="24"/>
  <c r="L24" i="24"/>
  <c r="L44" i="24"/>
  <c r="L31" i="24"/>
  <c r="L15" i="24"/>
  <c r="L34" i="24"/>
  <c r="L43" i="24"/>
  <c r="M43" i="24" s="1"/>
  <c r="L48" i="24"/>
  <c r="N48" i="24" s="1"/>
  <c r="O48" i="24" s="1"/>
  <c r="AB27" i="47" l="1"/>
  <c r="AB26" i="45"/>
  <c r="AB21" i="38"/>
  <c r="AB23" i="37"/>
  <c r="AB21" i="36"/>
  <c r="AB20" i="35"/>
  <c r="AB19" i="34"/>
  <c r="AB17" i="32"/>
  <c r="AB17" i="31"/>
  <c r="AB17" i="30"/>
  <c r="AB18" i="29"/>
  <c r="AB16" i="27"/>
  <c r="AB14" i="26"/>
  <c r="N43" i="24"/>
  <c r="O43" i="24" s="1"/>
  <c r="N46" i="24"/>
  <c r="O46" i="24" s="1"/>
  <c r="M47" i="25"/>
  <c r="K103" i="25"/>
  <c r="BL110" i="39" s="1"/>
  <c r="I107" i="25"/>
  <c r="K107" i="25" s="1"/>
  <c r="BL115" i="39" s="1"/>
  <c r="M45" i="25"/>
  <c r="M46" i="25"/>
  <c r="M48" i="25"/>
  <c r="AB13" i="25"/>
  <c r="M37" i="25"/>
  <c r="K102" i="25"/>
  <c r="M48" i="24"/>
  <c r="N47" i="24"/>
  <c r="O47" i="24" s="1"/>
  <c r="I5" i="24"/>
  <c r="K108" i="24"/>
  <c r="BI116" i="39" s="1"/>
  <c r="J108" i="24"/>
  <c r="I108" i="24"/>
  <c r="K106" i="24"/>
  <c r="J103" i="24"/>
  <c r="J107" i="24" s="1"/>
  <c r="I103" i="24"/>
  <c r="J102" i="24"/>
  <c r="I102" i="24"/>
  <c r="E36" i="24"/>
  <c r="E94" i="24"/>
  <c r="E24" i="24"/>
  <c r="E93" i="24"/>
  <c r="E92" i="24"/>
  <c r="E91" i="24"/>
  <c r="E90" i="24"/>
  <c r="E89" i="24"/>
  <c r="E88" i="24"/>
  <c r="E87" i="24"/>
  <c r="E47" i="24"/>
  <c r="E86" i="24"/>
  <c r="E85" i="24"/>
  <c r="E38" i="24"/>
  <c r="E84" i="24"/>
  <c r="E83" i="24"/>
  <c r="E41" i="24"/>
  <c r="E82" i="24"/>
  <c r="E12" i="24"/>
  <c r="E81" i="24"/>
  <c r="E14" i="24"/>
  <c r="E79" i="24"/>
  <c r="E78" i="24"/>
  <c r="E77" i="24"/>
  <c r="E32" i="24"/>
  <c r="E76" i="24"/>
  <c r="E75" i="24"/>
  <c r="E74" i="24"/>
  <c r="E72" i="24"/>
  <c r="E39" i="24"/>
  <c r="E33" i="24"/>
  <c r="E26" i="24"/>
  <c r="E71" i="24"/>
  <c r="E70" i="24"/>
  <c r="E69" i="24"/>
  <c r="E68" i="24"/>
  <c r="E35" i="24"/>
  <c r="E66" i="24"/>
  <c r="E40" i="24"/>
  <c r="E65" i="24"/>
  <c r="E30" i="24"/>
  <c r="E64" i="24"/>
  <c r="E63" i="24"/>
  <c r="E62" i="24"/>
  <c r="E61" i="24"/>
  <c r="E60" i="24"/>
  <c r="E58" i="24"/>
  <c r="E43" i="24"/>
  <c r="E57" i="24"/>
  <c r="E56" i="24"/>
  <c r="E55" i="24"/>
  <c r="E54" i="24"/>
  <c r="E53" i="24"/>
  <c r="E52" i="24"/>
  <c r="E51" i="24"/>
  <c r="E50" i="24"/>
  <c r="E49" i="24"/>
  <c r="L21" i="24"/>
  <c r="M38" i="24" s="1"/>
  <c r="E21" i="24"/>
  <c r="E59" i="24"/>
  <c r="E22" i="24"/>
  <c r="E37" i="24"/>
  <c r="E42" i="24"/>
  <c r="E48" i="24"/>
  <c r="E31" i="24"/>
  <c r="E23" i="24"/>
  <c r="E67" i="24"/>
  <c r="E34" i="24"/>
  <c r="E19" i="24"/>
  <c r="E44" i="24"/>
  <c r="E25" i="24"/>
  <c r="E10" i="24"/>
  <c r="E27" i="24"/>
  <c r="E28" i="24"/>
  <c r="E46" i="24"/>
  <c r="E16" i="24"/>
  <c r="E18" i="24"/>
  <c r="E73" i="24"/>
  <c r="E20" i="24"/>
  <c r="E29" i="24"/>
  <c r="E17" i="24"/>
  <c r="E15" i="24"/>
  <c r="E80" i="24"/>
  <c r="E11" i="24"/>
  <c r="AB11" i="24"/>
  <c r="AB12" i="24" s="1"/>
  <c r="E13" i="24"/>
  <c r="B11" i="24"/>
  <c r="B12" i="24" s="1"/>
  <c r="B13" i="24" s="1"/>
  <c r="B14" i="24" s="1"/>
  <c r="B15" i="24" s="1"/>
  <c r="B16" i="24" s="1"/>
  <c r="B17" i="24" s="1"/>
  <c r="B18" i="24" s="1"/>
  <c r="B19" i="24" s="1"/>
  <c r="B20" i="24" s="1"/>
  <c r="B21" i="24" s="1"/>
  <c r="B22" i="24" s="1"/>
  <c r="B23" i="24" s="1"/>
  <c r="B24" i="24" s="1"/>
  <c r="B25" i="24" s="1"/>
  <c r="B26" i="24" s="1"/>
  <c r="B27" i="24" s="1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3" i="24" s="1"/>
  <c r="B54" i="24" s="1"/>
  <c r="B55" i="24" s="1"/>
  <c r="B56" i="24" s="1"/>
  <c r="B57" i="24" s="1"/>
  <c r="B58" i="24" s="1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2" i="24" s="1"/>
  <c r="B73" i="24" s="1"/>
  <c r="B74" i="24" s="1"/>
  <c r="B75" i="24" s="1"/>
  <c r="B76" i="24" s="1"/>
  <c r="B77" i="24" s="1"/>
  <c r="B78" i="24" s="1"/>
  <c r="B79" i="24" s="1"/>
  <c r="B80" i="24" s="1"/>
  <c r="B81" i="24" s="1"/>
  <c r="B82" i="24" s="1"/>
  <c r="B83" i="24" s="1"/>
  <c r="B84" i="24" s="1"/>
  <c r="B85" i="24" s="1"/>
  <c r="B86" i="24" s="1"/>
  <c r="B87" i="24" s="1"/>
  <c r="B88" i="24" s="1"/>
  <c r="B89" i="24" s="1"/>
  <c r="B90" i="24" s="1"/>
  <c r="B91" i="24" s="1"/>
  <c r="B92" i="24" s="1"/>
  <c r="B93" i="24" s="1"/>
  <c r="B94" i="24" s="1"/>
  <c r="E45" i="24"/>
  <c r="B10" i="24"/>
  <c r="T7" i="24"/>
  <c r="S7" i="24"/>
  <c r="L25" i="23"/>
  <c r="L32" i="23"/>
  <c r="L18" i="23"/>
  <c r="L27" i="23"/>
  <c r="L20" i="23"/>
  <c r="L14" i="23"/>
  <c r="L28" i="23"/>
  <c r="L31" i="23"/>
  <c r="L26" i="23"/>
  <c r="L24" i="23"/>
  <c r="L35" i="23"/>
  <c r="L36" i="23"/>
  <c r="L16" i="23"/>
  <c r="L21" i="23"/>
  <c r="L17" i="23"/>
  <c r="L33" i="23"/>
  <c r="L29" i="23"/>
  <c r="L34" i="23"/>
  <c r="L30" i="23"/>
  <c r="L22" i="23"/>
  <c r="L15" i="23"/>
  <c r="L13" i="23"/>
  <c r="L12" i="23"/>
  <c r="L19" i="23"/>
  <c r="L11" i="23"/>
  <c r="L23" i="23"/>
  <c r="L37" i="23"/>
  <c r="M37" i="23" s="1"/>
  <c r="B36" i="23"/>
  <c r="I5" i="23"/>
  <c r="K108" i="23"/>
  <c r="BF116" i="39" s="1"/>
  <c r="J108" i="23"/>
  <c r="I108" i="23"/>
  <c r="K106" i="23"/>
  <c r="BF114" i="39" s="1"/>
  <c r="J103" i="23"/>
  <c r="J107" i="23" s="1"/>
  <c r="I103" i="23"/>
  <c r="J102" i="23"/>
  <c r="I102" i="23"/>
  <c r="E94" i="23"/>
  <c r="E93" i="23"/>
  <c r="E92" i="23"/>
  <c r="E27" i="23"/>
  <c r="E30" i="23"/>
  <c r="E91" i="23"/>
  <c r="E90" i="23"/>
  <c r="E89" i="23"/>
  <c r="E88" i="23"/>
  <c r="E87" i="23"/>
  <c r="E86" i="23"/>
  <c r="E85" i="23"/>
  <c r="E83" i="23"/>
  <c r="E82" i="23"/>
  <c r="E81" i="23"/>
  <c r="E19" i="23"/>
  <c r="E79" i="23"/>
  <c r="E78" i="23"/>
  <c r="E77" i="23"/>
  <c r="E76" i="23"/>
  <c r="E17" i="23"/>
  <c r="E75" i="23"/>
  <c r="E74" i="23"/>
  <c r="E73" i="23"/>
  <c r="E72" i="23"/>
  <c r="E71" i="23"/>
  <c r="E70" i="23"/>
  <c r="E69" i="23"/>
  <c r="E68" i="23"/>
  <c r="E67" i="23"/>
  <c r="E18" i="23"/>
  <c r="E66" i="23"/>
  <c r="E65" i="23"/>
  <c r="E64" i="23"/>
  <c r="E25" i="23"/>
  <c r="E63" i="23"/>
  <c r="E61" i="23"/>
  <c r="E60" i="23"/>
  <c r="E59" i="23"/>
  <c r="E58" i="23"/>
  <c r="E29" i="23"/>
  <c r="E56" i="23"/>
  <c r="E55" i="23"/>
  <c r="E53" i="23"/>
  <c r="E52" i="23"/>
  <c r="E50" i="23"/>
  <c r="E48" i="23"/>
  <c r="E47" i="23"/>
  <c r="E46" i="23"/>
  <c r="E44" i="23"/>
  <c r="E43" i="23"/>
  <c r="E41" i="23"/>
  <c r="E40" i="23"/>
  <c r="E39" i="23"/>
  <c r="E38" i="23"/>
  <c r="E37" i="23"/>
  <c r="E36" i="23"/>
  <c r="L10" i="23"/>
  <c r="E10" i="23"/>
  <c r="E51" i="23"/>
  <c r="E21" i="23"/>
  <c r="E33" i="23"/>
  <c r="E34" i="23"/>
  <c r="E84" i="23"/>
  <c r="E57" i="23"/>
  <c r="E16" i="23"/>
  <c r="E45" i="23"/>
  <c r="E28" i="23"/>
  <c r="E14" i="23"/>
  <c r="E54" i="23"/>
  <c r="E31" i="23"/>
  <c r="E23" i="23"/>
  <c r="E35" i="23"/>
  <c r="E11" i="23"/>
  <c r="E24" i="23"/>
  <c r="E26" i="23"/>
  <c r="E20" i="23"/>
  <c r="E80" i="23"/>
  <c r="E32" i="23"/>
  <c r="E49" i="23"/>
  <c r="E15" i="23"/>
  <c r="E12" i="23"/>
  <c r="E13" i="23"/>
  <c r="E22" i="23"/>
  <c r="AB11" i="23"/>
  <c r="AB12" i="23" s="1"/>
  <c r="E42" i="23"/>
  <c r="E62" i="23"/>
  <c r="B10" i="23"/>
  <c r="B11" i="23" s="1"/>
  <c r="B12" i="23" s="1"/>
  <c r="B13" i="23" s="1"/>
  <c r="B14" i="23" s="1"/>
  <c r="B15" i="23" s="1"/>
  <c r="B16" i="23" s="1"/>
  <c r="B17" i="23" s="1"/>
  <c r="B18" i="23" s="1"/>
  <c r="B19" i="23" s="1"/>
  <c r="B20" i="23" s="1"/>
  <c r="B21" i="23" s="1"/>
  <c r="B22" i="23" s="1"/>
  <c r="B23" i="23" s="1"/>
  <c r="B24" i="23" s="1"/>
  <c r="B25" i="23" s="1"/>
  <c r="B26" i="23" s="1"/>
  <c r="B27" i="23" s="1"/>
  <c r="B28" i="23" s="1"/>
  <c r="B29" i="23" s="1"/>
  <c r="B30" i="23" s="1"/>
  <c r="B31" i="23" s="1"/>
  <c r="B32" i="23" s="1"/>
  <c r="B33" i="23" s="1"/>
  <c r="B34" i="23" s="1"/>
  <c r="B35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2" i="23" s="1"/>
  <c r="B53" i="23" s="1"/>
  <c r="B54" i="23" s="1"/>
  <c r="B55" i="23" s="1"/>
  <c r="B56" i="23" s="1"/>
  <c r="B57" i="23" s="1"/>
  <c r="B58" i="23" s="1"/>
  <c r="B59" i="23" s="1"/>
  <c r="B60" i="23" s="1"/>
  <c r="B61" i="23" s="1"/>
  <c r="B62" i="23" s="1"/>
  <c r="B63" i="23" s="1"/>
  <c r="B64" i="23" s="1"/>
  <c r="B65" i="23" s="1"/>
  <c r="B66" i="23" s="1"/>
  <c r="B67" i="23" s="1"/>
  <c r="B68" i="23" s="1"/>
  <c r="B69" i="23" s="1"/>
  <c r="B70" i="23" s="1"/>
  <c r="B71" i="23" s="1"/>
  <c r="B72" i="23" s="1"/>
  <c r="B73" i="23" s="1"/>
  <c r="B74" i="23" s="1"/>
  <c r="B75" i="23" s="1"/>
  <c r="B76" i="23" s="1"/>
  <c r="B77" i="23" s="1"/>
  <c r="B78" i="23" s="1"/>
  <c r="B79" i="23" s="1"/>
  <c r="B80" i="23" s="1"/>
  <c r="B81" i="23" s="1"/>
  <c r="B82" i="23" s="1"/>
  <c r="B83" i="23" s="1"/>
  <c r="B84" i="23" s="1"/>
  <c r="B85" i="23" s="1"/>
  <c r="B86" i="23" s="1"/>
  <c r="B87" i="23" s="1"/>
  <c r="B88" i="23" s="1"/>
  <c r="B89" i="23" s="1"/>
  <c r="B90" i="23" s="1"/>
  <c r="B91" i="23" s="1"/>
  <c r="B92" i="23" s="1"/>
  <c r="B93" i="23" s="1"/>
  <c r="B94" i="23" s="1"/>
  <c r="T7" i="23"/>
  <c r="S7" i="23"/>
  <c r="AB28" i="47" l="1"/>
  <c r="AB27" i="45"/>
  <c r="AB22" i="38"/>
  <c r="AB24" i="37"/>
  <c r="AB22" i="36"/>
  <c r="AB21" i="35"/>
  <c r="AB20" i="34"/>
  <c r="AB18" i="32"/>
  <c r="AB18" i="31"/>
  <c r="AB18" i="30"/>
  <c r="AB19" i="29"/>
  <c r="AB17" i="27"/>
  <c r="AB15" i="26"/>
  <c r="BL109" i="39"/>
  <c r="K104" i="25"/>
  <c r="AB14" i="25"/>
  <c r="M13" i="24"/>
  <c r="M31" i="24"/>
  <c r="M35" i="24"/>
  <c r="M14" i="24"/>
  <c r="M19" i="24"/>
  <c r="M16" i="24"/>
  <c r="M29" i="24"/>
  <c r="M33" i="24"/>
  <c r="M36" i="24"/>
  <c r="M45" i="24"/>
  <c r="M34" i="24"/>
  <c r="M11" i="24"/>
  <c r="M37" i="24"/>
  <c r="M12" i="24"/>
  <c r="M28" i="24"/>
  <c r="M32" i="24"/>
  <c r="M22" i="24"/>
  <c r="M24" i="24"/>
  <c r="M27" i="24"/>
  <c r="M41" i="24"/>
  <c r="M17" i="24"/>
  <c r="M15" i="24"/>
  <c r="M44" i="24"/>
  <c r="M25" i="24"/>
  <c r="M20" i="24"/>
  <c r="M18" i="24"/>
  <c r="M10" i="24"/>
  <c r="M40" i="24"/>
  <c r="M39" i="24"/>
  <c r="M30" i="24"/>
  <c r="M26" i="24"/>
  <c r="M42" i="24"/>
  <c r="M23" i="24"/>
  <c r="K103" i="24"/>
  <c r="BI110" i="39" s="1"/>
  <c r="I107" i="24"/>
  <c r="K107" i="24" s="1"/>
  <c r="BI115" i="39" s="1"/>
  <c r="AB13" i="24"/>
  <c r="K102" i="24"/>
  <c r="K109" i="24"/>
  <c r="BI117" i="39" s="1"/>
  <c r="M21" i="24"/>
  <c r="M14" i="23"/>
  <c r="M35" i="23"/>
  <c r="M28" i="23"/>
  <c r="M25" i="23"/>
  <c r="M32" i="23"/>
  <c r="M31" i="23"/>
  <c r="M24" i="23"/>
  <c r="M36" i="23"/>
  <c r="M26" i="23"/>
  <c r="M27" i="23"/>
  <c r="M18" i="23"/>
  <c r="M20" i="23"/>
  <c r="M21" i="23"/>
  <c r="M34" i="23"/>
  <c r="M12" i="23"/>
  <c r="M15" i="23"/>
  <c r="M16" i="23"/>
  <c r="M11" i="23"/>
  <c r="M29" i="23"/>
  <c r="M19" i="23"/>
  <c r="N37" i="23"/>
  <c r="O37" i="23" s="1"/>
  <c r="M23" i="23"/>
  <c r="M33" i="23"/>
  <c r="M17" i="23"/>
  <c r="M13" i="23"/>
  <c r="M22" i="23"/>
  <c r="M30" i="23"/>
  <c r="K102" i="23"/>
  <c r="K103" i="23"/>
  <c r="BF110" i="39" s="1"/>
  <c r="AB13" i="23"/>
  <c r="M10" i="23"/>
  <c r="K109" i="23"/>
  <c r="BF117" i="39" s="1"/>
  <c r="I107" i="23"/>
  <c r="K107" i="23" s="1"/>
  <c r="BF115" i="39" s="1"/>
  <c r="L36" i="22"/>
  <c r="L38" i="22"/>
  <c r="M38" i="22" s="1"/>
  <c r="E36" i="22"/>
  <c r="E78" i="39"/>
  <c r="H13" i="3"/>
  <c r="E13" i="3"/>
  <c r="L26" i="22"/>
  <c r="L29" i="22"/>
  <c r="L33" i="22"/>
  <c r="L30" i="22"/>
  <c r="L31" i="22"/>
  <c r="L32" i="22"/>
  <c r="L34" i="22"/>
  <c r="L35" i="22"/>
  <c r="L10" i="22"/>
  <c r="L11" i="22"/>
  <c r="L12" i="22"/>
  <c r="L13" i="22"/>
  <c r="L14" i="22"/>
  <c r="L15" i="22"/>
  <c r="L16" i="22"/>
  <c r="L17" i="22"/>
  <c r="L18" i="22"/>
  <c r="L19" i="22"/>
  <c r="L20" i="22"/>
  <c r="L21" i="22"/>
  <c r="L22" i="22"/>
  <c r="L23" i="22"/>
  <c r="L25" i="22"/>
  <c r="L27" i="22"/>
  <c r="L28" i="22"/>
  <c r="L37" i="22"/>
  <c r="M37" i="22" s="1"/>
  <c r="L39" i="22"/>
  <c r="M39" i="22" s="1"/>
  <c r="L40" i="22"/>
  <c r="N40" i="22" s="1"/>
  <c r="O40" i="22" s="1"/>
  <c r="E11" i="22"/>
  <c r="I5" i="22"/>
  <c r="K108" i="22"/>
  <c r="BC116" i="39" s="1"/>
  <c r="J108" i="22"/>
  <c r="I108" i="22"/>
  <c r="K106" i="22"/>
  <c r="BC114" i="39" s="1"/>
  <c r="J103" i="22"/>
  <c r="J107" i="22" s="1"/>
  <c r="I103" i="22"/>
  <c r="J102" i="22"/>
  <c r="I102" i="22"/>
  <c r="E94" i="22"/>
  <c r="E93" i="22"/>
  <c r="E91" i="22"/>
  <c r="E90" i="22"/>
  <c r="E89" i="22"/>
  <c r="E88" i="22"/>
  <c r="E87" i="22"/>
  <c r="E86" i="22"/>
  <c r="E85" i="22"/>
  <c r="E84" i="22"/>
  <c r="E32" i="22"/>
  <c r="E83" i="22"/>
  <c r="E35" i="22"/>
  <c r="E82" i="22"/>
  <c r="E81" i="22"/>
  <c r="E79" i="22"/>
  <c r="E78" i="22"/>
  <c r="E77" i="22"/>
  <c r="E74" i="22"/>
  <c r="E73" i="22"/>
  <c r="E72" i="22"/>
  <c r="E71" i="22"/>
  <c r="E27" i="22"/>
  <c r="E70" i="22"/>
  <c r="E69" i="22"/>
  <c r="E68" i="22"/>
  <c r="E67" i="22"/>
  <c r="E64" i="22"/>
  <c r="E63" i="22"/>
  <c r="E61" i="22"/>
  <c r="E59" i="22"/>
  <c r="E58" i="22"/>
  <c r="E57" i="22"/>
  <c r="E56" i="22"/>
  <c r="E55" i="22"/>
  <c r="E31" i="22"/>
  <c r="E53" i="22"/>
  <c r="E26" i="22"/>
  <c r="E52" i="22"/>
  <c r="E50" i="22"/>
  <c r="E17" i="22"/>
  <c r="E49" i="22"/>
  <c r="E48" i="22"/>
  <c r="E29" i="22"/>
  <c r="E46" i="22"/>
  <c r="E45" i="22"/>
  <c r="E44" i="22"/>
  <c r="E43" i="22"/>
  <c r="E41" i="22"/>
  <c r="E40" i="22"/>
  <c r="E37" i="22"/>
  <c r="E39" i="22"/>
  <c r="E54" i="22"/>
  <c r="E47" i="22"/>
  <c r="E18" i="22"/>
  <c r="E34" i="22"/>
  <c r="E28" i="22"/>
  <c r="E42" i="22"/>
  <c r="E33" i="22"/>
  <c r="E23" i="22"/>
  <c r="L24" i="22"/>
  <c r="E24" i="22"/>
  <c r="E92" i="22"/>
  <c r="E25" i="22"/>
  <c r="E30" i="22"/>
  <c r="E66" i="22"/>
  <c r="E12" i="22"/>
  <c r="E51" i="22"/>
  <c r="E95" i="22"/>
  <c r="E13" i="22"/>
  <c r="E60" i="22"/>
  <c r="E62" i="22"/>
  <c r="E75" i="22"/>
  <c r="E20" i="22"/>
  <c r="E80" i="22"/>
  <c r="E76" i="22"/>
  <c r="E65" i="22"/>
  <c r="E15" i="22"/>
  <c r="E16" i="22"/>
  <c r="E14" i="22"/>
  <c r="E10" i="22"/>
  <c r="E22" i="22"/>
  <c r="E19" i="22"/>
  <c r="AB11" i="22"/>
  <c r="E21" i="22"/>
  <c r="E38" i="22"/>
  <c r="B10" i="22"/>
  <c r="B11" i="22" s="1"/>
  <c r="B12" i="22" s="1"/>
  <c r="B13" i="22" s="1"/>
  <c r="B14" i="22" s="1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T7" i="22"/>
  <c r="S7" i="22"/>
  <c r="L28" i="21"/>
  <c r="E77" i="39"/>
  <c r="E34" i="39"/>
  <c r="L16" i="21"/>
  <c r="L12" i="21"/>
  <c r="L18" i="21"/>
  <c r="L21" i="21"/>
  <c r="L11" i="21"/>
  <c r="L33" i="21"/>
  <c r="L32" i="21"/>
  <c r="L31" i="21"/>
  <c r="L39" i="21"/>
  <c r="L34" i="21"/>
  <c r="L36" i="21"/>
  <c r="L37" i="21"/>
  <c r="L43" i="21"/>
  <c r="N43" i="21" s="1"/>
  <c r="O43" i="21" s="1"/>
  <c r="L44" i="21"/>
  <c r="M44" i="21" s="1"/>
  <c r="L25" i="21"/>
  <c r="L13" i="21"/>
  <c r="L10" i="21"/>
  <c r="L23" i="21"/>
  <c r="L14" i="21"/>
  <c r="L22" i="21"/>
  <c r="L26" i="21"/>
  <c r="L38" i="21"/>
  <c r="L35" i="21"/>
  <c r="L30" i="21"/>
  <c r="L40" i="21"/>
  <c r="L29" i="21"/>
  <c r="L41" i="21"/>
  <c r="L27" i="21"/>
  <c r="L42" i="21"/>
  <c r="L24" i="21"/>
  <c r="H40" i="3"/>
  <c r="H39" i="3"/>
  <c r="E40" i="3"/>
  <c r="E39" i="3"/>
  <c r="E14" i="21"/>
  <c r="E24" i="21"/>
  <c r="CY34" i="39" l="1"/>
  <c r="DA34" i="39"/>
  <c r="CZ34" i="39"/>
  <c r="DA77" i="39"/>
  <c r="CY77" i="39"/>
  <c r="CZ77" i="39"/>
  <c r="CY78" i="39"/>
  <c r="DA78" i="39"/>
  <c r="CZ78" i="39"/>
  <c r="AB29" i="47"/>
  <c r="CX34" i="39"/>
  <c r="CV34" i="39"/>
  <c r="CV77" i="39"/>
  <c r="CW77" i="39"/>
  <c r="CX77" i="39"/>
  <c r="CX78" i="39"/>
  <c r="CV78" i="39"/>
  <c r="CW78" i="39"/>
  <c r="AB28" i="45"/>
  <c r="CS34" i="39"/>
  <c r="CU34" i="39"/>
  <c r="CT34" i="39"/>
  <c r="CT77" i="39"/>
  <c r="CU77" i="39"/>
  <c r="CS77" i="39"/>
  <c r="CT78" i="39"/>
  <c r="CS78" i="39"/>
  <c r="CU78" i="39"/>
  <c r="CP77" i="39"/>
  <c r="CR77" i="39"/>
  <c r="CQ77" i="39"/>
  <c r="CR34" i="39"/>
  <c r="CP34" i="39"/>
  <c r="CR78" i="39"/>
  <c r="CP78" i="39"/>
  <c r="CQ78" i="39"/>
  <c r="AB23" i="38"/>
  <c r="AB25" i="37"/>
  <c r="CO78" i="39"/>
  <c r="CM78" i="39"/>
  <c r="CN78" i="39"/>
  <c r="CO77" i="39"/>
  <c r="CM77" i="39"/>
  <c r="CO34" i="39"/>
  <c r="CM34" i="39"/>
  <c r="AB23" i="36"/>
  <c r="CK34" i="39"/>
  <c r="CL34" i="39"/>
  <c r="CJ34" i="39"/>
  <c r="CK77" i="39"/>
  <c r="CJ77" i="39"/>
  <c r="CL77" i="39"/>
  <c r="CL78" i="39"/>
  <c r="CK78" i="39"/>
  <c r="CJ78" i="39"/>
  <c r="CI34" i="39"/>
  <c r="CG34" i="39"/>
  <c r="CI77" i="39"/>
  <c r="CH77" i="39"/>
  <c r="CG77" i="39"/>
  <c r="CG78" i="39"/>
  <c r="CI78" i="39"/>
  <c r="CH78" i="39"/>
  <c r="AB22" i="35"/>
  <c r="AB21" i="34"/>
  <c r="CF34" i="39"/>
  <c r="CD34" i="39"/>
  <c r="CD78" i="39"/>
  <c r="CF78" i="39"/>
  <c r="CE78" i="39"/>
  <c r="CD77" i="39"/>
  <c r="CF77" i="39"/>
  <c r="CE77" i="39"/>
  <c r="AB19" i="32"/>
  <c r="CA34" i="39"/>
  <c r="CC34" i="39"/>
  <c r="CB78" i="39"/>
  <c r="CA78" i="39"/>
  <c r="CC78" i="39"/>
  <c r="CC77" i="39"/>
  <c r="CA77" i="39"/>
  <c r="CB77" i="39"/>
  <c r="AB19" i="31"/>
  <c r="BX77" i="39"/>
  <c r="BZ77" i="39"/>
  <c r="BY77" i="39"/>
  <c r="BX34" i="39"/>
  <c r="BZ34" i="39"/>
  <c r="BY34" i="39"/>
  <c r="BX78" i="39"/>
  <c r="BZ78" i="39"/>
  <c r="BY78" i="39"/>
  <c r="AB19" i="30"/>
  <c r="BV78" i="39"/>
  <c r="BU78" i="39"/>
  <c r="BW78" i="39"/>
  <c r="BW34" i="39"/>
  <c r="BU34" i="39"/>
  <c r="BU77" i="39"/>
  <c r="BV77" i="39"/>
  <c r="BW77" i="39"/>
  <c r="AB20" i="29"/>
  <c r="BS77" i="39"/>
  <c r="BR77" i="39"/>
  <c r="BT77" i="39"/>
  <c r="BS78" i="39"/>
  <c r="BR78" i="39"/>
  <c r="BT78" i="39"/>
  <c r="BR34" i="39"/>
  <c r="BT34" i="39"/>
  <c r="BQ34" i="39"/>
  <c r="BO34" i="39"/>
  <c r="BP77" i="39"/>
  <c r="BQ77" i="39"/>
  <c r="BO77" i="39"/>
  <c r="BQ78" i="39"/>
  <c r="BP78" i="39"/>
  <c r="BO78" i="39"/>
  <c r="AB18" i="27"/>
  <c r="AB16" i="26"/>
  <c r="BL78" i="39"/>
  <c r="BM78" i="39"/>
  <c r="BN78" i="39"/>
  <c r="BL34" i="39"/>
  <c r="BM34" i="39"/>
  <c r="BN34" i="39"/>
  <c r="BM77" i="39"/>
  <c r="BN77" i="39"/>
  <c r="BL77" i="39"/>
  <c r="K104" i="24"/>
  <c r="BI111" i="39" s="1"/>
  <c r="BI109" i="39"/>
  <c r="BJ77" i="39"/>
  <c r="BI77" i="39"/>
  <c r="BK77" i="39"/>
  <c r="BJ78" i="39"/>
  <c r="BI78" i="39"/>
  <c r="BK78" i="39"/>
  <c r="BI34" i="39"/>
  <c r="BK34" i="39"/>
  <c r="O46" i="25"/>
  <c r="AB15" i="25"/>
  <c r="AB14" i="24"/>
  <c r="BG34" i="39"/>
  <c r="BF34" i="39"/>
  <c r="BH34" i="39"/>
  <c r="AA78" i="39"/>
  <c r="BF78" i="39"/>
  <c r="BH78" i="39"/>
  <c r="BG78" i="39"/>
  <c r="BH77" i="39"/>
  <c r="BG77" i="39"/>
  <c r="BF77" i="39"/>
  <c r="K104" i="23"/>
  <c r="BF111" i="39" s="1"/>
  <c r="BF109" i="39"/>
  <c r="AB14" i="23"/>
  <c r="AB34" i="39"/>
  <c r="BE34" i="39"/>
  <c r="BD34" i="39"/>
  <c r="BC34" i="39"/>
  <c r="Y77" i="39"/>
  <c r="BE77" i="39"/>
  <c r="AD78" i="39"/>
  <c r="Y78" i="39"/>
  <c r="BA78" i="39"/>
  <c r="AQ78" i="39"/>
  <c r="BE78" i="39"/>
  <c r="AG78" i="39"/>
  <c r="W78" i="39"/>
  <c r="M36" i="22"/>
  <c r="N38" i="22"/>
  <c r="O38" i="22" s="1"/>
  <c r="M40" i="22"/>
  <c r="M29" i="22"/>
  <c r="N39" i="22"/>
  <c r="O39" i="22" s="1"/>
  <c r="B51" i="22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AT78" i="39"/>
  <c r="AJ78" i="39"/>
  <c r="Z78" i="39"/>
  <c r="AS78" i="39"/>
  <c r="AI78" i="39"/>
  <c r="BB78" i="39"/>
  <c r="AR78" i="39"/>
  <c r="AH78" i="39"/>
  <c r="X78" i="39"/>
  <c r="AZ78" i="39"/>
  <c r="AP78" i="39"/>
  <c r="AF78" i="39"/>
  <c r="V78" i="39"/>
  <c r="AY78" i="39"/>
  <c r="AO78" i="39"/>
  <c r="AE78" i="39"/>
  <c r="U78" i="39"/>
  <c r="T78" i="39"/>
  <c r="AW78" i="39"/>
  <c r="AM78" i="39"/>
  <c r="AC78" i="39"/>
  <c r="S78" i="39"/>
  <c r="AV78" i="39"/>
  <c r="AL78" i="39"/>
  <c r="AB78" i="39"/>
  <c r="AX78" i="39"/>
  <c r="AN78" i="39"/>
  <c r="AU78" i="39"/>
  <c r="AK78" i="39"/>
  <c r="AX77" i="39"/>
  <c r="AD77" i="39"/>
  <c r="T77" i="39"/>
  <c r="AN77" i="39"/>
  <c r="AQ34" i="39"/>
  <c r="M12" i="22"/>
  <c r="AG34" i="39"/>
  <c r="M32" i="22"/>
  <c r="M31" i="22"/>
  <c r="M11" i="22"/>
  <c r="BC78" i="39" s="1"/>
  <c r="M10" i="22"/>
  <c r="BC77" i="39" s="1"/>
  <c r="M21" i="22"/>
  <c r="M26" i="22"/>
  <c r="M17" i="22"/>
  <c r="M16" i="22"/>
  <c r="M22" i="22"/>
  <c r="M28" i="22"/>
  <c r="M33" i="22"/>
  <c r="M35" i="22"/>
  <c r="M19" i="22"/>
  <c r="M23" i="22"/>
  <c r="M18" i="22"/>
  <c r="M13" i="22"/>
  <c r="M34" i="22"/>
  <c r="M27" i="22"/>
  <c r="M15" i="22"/>
  <c r="N37" i="22"/>
  <c r="O37" i="22" s="1"/>
  <c r="M25" i="22"/>
  <c r="M14" i="22"/>
  <c r="M30" i="22"/>
  <c r="M20" i="22"/>
  <c r="K103" i="22"/>
  <c r="BC110" i="39" s="1"/>
  <c r="I107" i="22"/>
  <c r="K107" i="22" s="1"/>
  <c r="BC115" i="39" s="1"/>
  <c r="K102" i="22"/>
  <c r="BC109" i="39" s="1"/>
  <c r="M24" i="22"/>
  <c r="K109" i="22"/>
  <c r="BC117" i="39" s="1"/>
  <c r="AB12" i="22"/>
  <c r="AR77" i="39"/>
  <c r="AH77" i="39"/>
  <c r="X77" i="39"/>
  <c r="AU34" i="39"/>
  <c r="AK34" i="39"/>
  <c r="AA34" i="39"/>
  <c r="AQ77" i="39"/>
  <c r="AG77" i="39"/>
  <c r="W77" i="39"/>
  <c r="AT34" i="39"/>
  <c r="AJ34" i="39"/>
  <c r="Z34" i="39"/>
  <c r="AP77" i="39"/>
  <c r="AF77" i="39"/>
  <c r="V77" i="39"/>
  <c r="AS34" i="39"/>
  <c r="AI34" i="39"/>
  <c r="Y34" i="39"/>
  <c r="AY77" i="39"/>
  <c r="AO77" i="39"/>
  <c r="AE77" i="39"/>
  <c r="U77" i="39"/>
  <c r="AR34" i="39"/>
  <c r="AH34" i="39"/>
  <c r="X34" i="39"/>
  <c r="W34" i="39"/>
  <c r="AW77" i="39"/>
  <c r="AM77" i="39"/>
  <c r="AC77" i="39"/>
  <c r="S77" i="39"/>
  <c r="AP34" i="39"/>
  <c r="AF34" i="39"/>
  <c r="V34" i="39"/>
  <c r="AV77" i="39"/>
  <c r="AL77" i="39"/>
  <c r="AB77" i="39"/>
  <c r="AY34" i="39"/>
  <c r="AO34" i="39"/>
  <c r="AE34" i="39"/>
  <c r="U34" i="39"/>
  <c r="AU77" i="39"/>
  <c r="AK77" i="39"/>
  <c r="AA77" i="39"/>
  <c r="AX34" i="39"/>
  <c r="AN34" i="39"/>
  <c r="AD34" i="39"/>
  <c r="T34" i="39"/>
  <c r="AT77" i="39"/>
  <c r="AJ77" i="39"/>
  <c r="Z77" i="39"/>
  <c r="AW34" i="39"/>
  <c r="AM34" i="39"/>
  <c r="AC34" i="39"/>
  <c r="S34" i="39"/>
  <c r="AS77" i="39"/>
  <c r="AI77" i="39"/>
  <c r="AV34" i="39"/>
  <c r="AL34" i="39"/>
  <c r="N44" i="21"/>
  <c r="O44" i="21" s="1"/>
  <c r="M43" i="21"/>
  <c r="I5" i="21"/>
  <c r="K108" i="21"/>
  <c r="AZ116" i="39" s="1"/>
  <c r="J108" i="21"/>
  <c r="I108" i="21"/>
  <c r="K106" i="21"/>
  <c r="AZ114" i="39" s="1"/>
  <c r="J103" i="21"/>
  <c r="J107" i="21" s="1"/>
  <c r="I103" i="21"/>
  <c r="J102" i="21"/>
  <c r="I102" i="21"/>
  <c r="E93" i="21"/>
  <c r="E92" i="21"/>
  <c r="E32" i="21"/>
  <c r="E90" i="21"/>
  <c r="E89" i="21"/>
  <c r="E88" i="21"/>
  <c r="E87" i="21"/>
  <c r="E86" i="21"/>
  <c r="E85" i="21"/>
  <c r="E84" i="21"/>
  <c r="E82" i="21"/>
  <c r="E80" i="21"/>
  <c r="E78" i="21"/>
  <c r="E76" i="21"/>
  <c r="E75" i="21"/>
  <c r="E72" i="21"/>
  <c r="E70" i="21"/>
  <c r="E68" i="21"/>
  <c r="E67" i="21"/>
  <c r="E29" i="21"/>
  <c r="E66" i="21"/>
  <c r="E64" i="21"/>
  <c r="E63" i="21"/>
  <c r="E62" i="21"/>
  <c r="E57" i="21"/>
  <c r="E55" i="21"/>
  <c r="E27" i="21"/>
  <c r="E54" i="21"/>
  <c r="E16" i="21"/>
  <c r="E42" i="21"/>
  <c r="E52" i="21"/>
  <c r="E51" i="21"/>
  <c r="E50" i="21"/>
  <c r="E49" i="21"/>
  <c r="E48" i="21"/>
  <c r="E31" i="21"/>
  <c r="E47" i="21"/>
  <c r="E46" i="21"/>
  <c r="E36" i="21"/>
  <c r="E45" i="21"/>
  <c r="E44" i="21"/>
  <c r="E39" i="21"/>
  <c r="E81" i="21"/>
  <c r="E43" i="21"/>
  <c r="E41" i="21"/>
  <c r="E77" i="21"/>
  <c r="E53" i="21"/>
  <c r="E35" i="21"/>
  <c r="E65" i="21"/>
  <c r="E23" i="21"/>
  <c r="E59" i="21"/>
  <c r="E73" i="21"/>
  <c r="E38" i="21"/>
  <c r="E37" i="21"/>
  <c r="E71" i="21"/>
  <c r="E40" i="21"/>
  <c r="E79" i="21"/>
  <c r="E33" i="21"/>
  <c r="E28" i="21"/>
  <c r="E69" i="21"/>
  <c r="E61" i="21"/>
  <c r="E58" i="21"/>
  <c r="E34" i="21"/>
  <c r="L17" i="21"/>
  <c r="E17" i="21"/>
  <c r="E56" i="21"/>
  <c r="E26" i="21"/>
  <c r="L20" i="21"/>
  <c r="E20" i="21"/>
  <c r="E30" i="21"/>
  <c r="E18" i="21"/>
  <c r="E12" i="21"/>
  <c r="E22" i="21"/>
  <c r="E74" i="21"/>
  <c r="E25" i="21"/>
  <c r="E83" i="21"/>
  <c r="E13" i="21"/>
  <c r="E11" i="21"/>
  <c r="E91" i="21"/>
  <c r="E60" i="21"/>
  <c r="E21" i="21"/>
  <c r="L15" i="21"/>
  <c r="E15" i="21"/>
  <c r="AB11" i="21"/>
  <c r="AB12" i="21" s="1"/>
  <c r="AB13" i="21" s="1"/>
  <c r="L19" i="21"/>
  <c r="E19" i="21"/>
  <c r="E10" i="21"/>
  <c r="BB77" i="39" s="1"/>
  <c r="T7" i="21"/>
  <c r="S7" i="21"/>
  <c r="J78" i="39" l="1"/>
  <c r="AB30" i="47"/>
  <c r="AB29" i="45"/>
  <c r="AB24" i="38"/>
  <c r="AB26" i="37"/>
  <c r="AB24" i="36"/>
  <c r="AB23" i="35"/>
  <c r="AB22" i="34"/>
  <c r="AB20" i="32"/>
  <c r="AB20" i="31"/>
  <c r="AB20" i="30"/>
  <c r="AB21" i="29"/>
  <c r="AB19" i="27"/>
  <c r="AB17" i="26"/>
  <c r="O48" i="25"/>
  <c r="O45" i="25"/>
  <c r="O37" i="25"/>
  <c r="O47" i="25"/>
  <c r="AB16" i="25"/>
  <c r="AB15" i="24"/>
  <c r="AB15" i="23"/>
  <c r="B77" i="22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K104" i="22"/>
  <c r="BC111" i="39" s="1"/>
  <c r="AB13" i="22"/>
  <c r="BB34" i="39"/>
  <c r="M30" i="21"/>
  <c r="M28" i="21"/>
  <c r="M31" i="21"/>
  <c r="M38" i="21"/>
  <c r="M21" i="21"/>
  <c r="M42" i="21"/>
  <c r="M16" i="21"/>
  <c r="M27" i="21"/>
  <c r="M32" i="21"/>
  <c r="M39" i="21"/>
  <c r="M33" i="21"/>
  <c r="M18" i="21"/>
  <c r="M11" i="21"/>
  <c r="M14" i="21"/>
  <c r="AZ77" i="39" s="1"/>
  <c r="J77" i="39" s="1"/>
  <c r="M35" i="21"/>
  <c r="M36" i="21"/>
  <c r="M23" i="21"/>
  <c r="M34" i="21"/>
  <c r="M29" i="21"/>
  <c r="M13" i="21"/>
  <c r="M41" i="21"/>
  <c r="M25" i="21"/>
  <c r="M37" i="21"/>
  <c r="M24" i="21"/>
  <c r="AZ34" i="39" s="1"/>
  <c r="J34" i="39" s="1"/>
  <c r="M26" i="21"/>
  <c r="M12" i="21"/>
  <c r="M22" i="21"/>
  <c r="M10" i="21"/>
  <c r="M40" i="21"/>
  <c r="K103" i="21"/>
  <c r="AZ110" i="39" s="1"/>
  <c r="I107" i="21"/>
  <c r="K107" i="21" s="1"/>
  <c r="AZ115" i="39" s="1"/>
  <c r="K102" i="21"/>
  <c r="AZ109" i="39" s="1"/>
  <c r="M15" i="21"/>
  <c r="M19" i="21"/>
  <c r="K109" i="21"/>
  <c r="AZ117" i="39" s="1"/>
  <c r="AB14" i="21"/>
  <c r="M17" i="21"/>
  <c r="M20" i="21"/>
  <c r="L36" i="19"/>
  <c r="L10" i="19"/>
  <c r="L39" i="19"/>
  <c r="L18" i="19"/>
  <c r="L30" i="19"/>
  <c r="L26" i="19"/>
  <c r="L21" i="19"/>
  <c r="L35" i="19"/>
  <c r="L24" i="19"/>
  <c r="L15" i="19"/>
  <c r="L49" i="19"/>
  <c r="L14" i="19"/>
  <c r="L41" i="19"/>
  <c r="L44" i="19"/>
  <c r="L42" i="19"/>
  <c r="L47" i="19"/>
  <c r="L46" i="19"/>
  <c r="L40" i="19"/>
  <c r="L11" i="19"/>
  <c r="L33" i="19"/>
  <c r="L12" i="19"/>
  <c r="L19" i="19"/>
  <c r="L25" i="19"/>
  <c r="L28" i="19"/>
  <c r="L13" i="19"/>
  <c r="L32" i="19"/>
  <c r="L20" i="19"/>
  <c r="L50" i="19"/>
  <c r="N50" i="19" s="1"/>
  <c r="L31" i="19"/>
  <c r="L29" i="19"/>
  <c r="L34" i="19"/>
  <c r="L23" i="19"/>
  <c r="L17" i="19"/>
  <c r="L22" i="19"/>
  <c r="L45" i="19"/>
  <c r="L38" i="19"/>
  <c r="L16" i="19"/>
  <c r="L37" i="19"/>
  <c r="L48" i="19"/>
  <c r="M48" i="19" s="1"/>
  <c r="L51" i="19"/>
  <c r="N51" i="19" s="1"/>
  <c r="O51" i="19" s="1"/>
  <c r="AB31" i="47" l="1"/>
  <c r="AB30" i="45"/>
  <c r="AB25" i="38"/>
  <c r="AB27" i="37"/>
  <c r="AB25" i="36"/>
  <c r="AB24" i="35"/>
  <c r="AB23" i="34"/>
  <c r="AB21" i="32"/>
  <c r="AB21" i="31"/>
  <c r="AB21" i="30"/>
  <c r="AB22" i="29"/>
  <c r="AB20" i="27"/>
  <c r="AB18" i="26"/>
  <c r="AB17" i="25"/>
  <c r="AB16" i="24"/>
  <c r="AB16" i="23"/>
  <c r="AB14" i="22"/>
  <c r="K104" i="21"/>
  <c r="AZ111" i="39" s="1"/>
  <c r="AB15" i="21"/>
  <c r="N48" i="19"/>
  <c r="O48" i="19" s="1"/>
  <c r="M51" i="19"/>
  <c r="M50" i="19"/>
  <c r="E67" i="39"/>
  <c r="AW114" i="39"/>
  <c r="I5" i="19"/>
  <c r="K108" i="19"/>
  <c r="AW116" i="39" s="1"/>
  <c r="J108" i="19"/>
  <c r="I108" i="19"/>
  <c r="K106" i="19"/>
  <c r="J103" i="19"/>
  <c r="J107" i="19" s="1"/>
  <c r="I103" i="19"/>
  <c r="J102" i="19"/>
  <c r="I102" i="19"/>
  <c r="E29" i="19"/>
  <c r="E91" i="19"/>
  <c r="E90" i="19"/>
  <c r="E33" i="19"/>
  <c r="E44" i="19"/>
  <c r="E88" i="19"/>
  <c r="E87" i="19"/>
  <c r="E86" i="19"/>
  <c r="E17" i="19"/>
  <c r="E84" i="19"/>
  <c r="E83" i="19"/>
  <c r="E82" i="19"/>
  <c r="E81" i="19"/>
  <c r="E80" i="19"/>
  <c r="E50" i="19"/>
  <c r="E79" i="19"/>
  <c r="E46" i="19"/>
  <c r="E78" i="19"/>
  <c r="E77" i="19"/>
  <c r="E76" i="19"/>
  <c r="E75" i="19"/>
  <c r="E32" i="19"/>
  <c r="E74" i="19"/>
  <c r="E73" i="19"/>
  <c r="E71" i="19"/>
  <c r="E42" i="19"/>
  <c r="E69" i="19"/>
  <c r="E68" i="19"/>
  <c r="E31" i="19"/>
  <c r="E41" i="19"/>
  <c r="E47" i="19"/>
  <c r="E67" i="19"/>
  <c r="E66" i="19"/>
  <c r="E65" i="19"/>
  <c r="E22" i="19"/>
  <c r="E48" i="19"/>
  <c r="E64" i="19"/>
  <c r="E63" i="19"/>
  <c r="E62" i="19"/>
  <c r="E61" i="19"/>
  <c r="E59" i="19"/>
  <c r="E36" i="19"/>
  <c r="E58" i="19"/>
  <c r="E57" i="19"/>
  <c r="E55" i="19"/>
  <c r="E54" i="19"/>
  <c r="E53" i="19"/>
  <c r="E52" i="19"/>
  <c r="E20" i="19"/>
  <c r="E40" i="19"/>
  <c r="L43" i="19"/>
  <c r="E43" i="19"/>
  <c r="E18" i="19"/>
  <c r="E70" i="19"/>
  <c r="E56" i="19"/>
  <c r="E39" i="19"/>
  <c r="E35" i="19"/>
  <c r="E38" i="19"/>
  <c r="L27" i="19"/>
  <c r="E27" i="19"/>
  <c r="E51" i="19"/>
  <c r="E45" i="19"/>
  <c r="E85" i="19"/>
  <c r="E49" i="19"/>
  <c r="E72" i="19"/>
  <c r="E89" i="19"/>
  <c r="E13" i="19"/>
  <c r="E34" i="19"/>
  <c r="E30" i="19"/>
  <c r="E26" i="19"/>
  <c r="E21" i="19"/>
  <c r="E24" i="19"/>
  <c r="E19" i="19"/>
  <c r="E60" i="19"/>
  <c r="E25" i="19"/>
  <c r="E37" i="19"/>
  <c r="E14" i="19"/>
  <c r="E28" i="19"/>
  <c r="E23" i="19"/>
  <c r="E15" i="19"/>
  <c r="E12" i="19"/>
  <c r="AB12" i="19"/>
  <c r="AB13" i="19" s="1"/>
  <c r="E11" i="19"/>
  <c r="B12" i="19"/>
  <c r="B13" i="19" s="1"/>
  <c r="B14" i="19" s="1"/>
  <c r="B15" i="19" s="1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AB11" i="19"/>
  <c r="E16" i="19"/>
  <c r="E10" i="19"/>
  <c r="B10" i="19"/>
  <c r="B11" i="19" s="1"/>
  <c r="T7" i="19"/>
  <c r="S7" i="19"/>
  <c r="L42" i="18"/>
  <c r="N42" i="18" s="1"/>
  <c r="O42" i="18" s="1"/>
  <c r="L29" i="18"/>
  <c r="L14" i="18"/>
  <c r="L31" i="18"/>
  <c r="L36" i="18"/>
  <c r="L43" i="18"/>
  <c r="N43" i="18" s="1"/>
  <c r="O43" i="18" s="1"/>
  <c r="L41" i="18"/>
  <c r="M41" i="18" s="1"/>
  <c r="L40" i="18"/>
  <c r="N40" i="18" s="1"/>
  <c r="O40" i="18" s="1"/>
  <c r="L39" i="18"/>
  <c r="M39" i="18" s="1"/>
  <c r="L23" i="18"/>
  <c r="L16" i="18"/>
  <c r="I5" i="18"/>
  <c r="K108" i="18"/>
  <c r="AT116" i="39" s="1"/>
  <c r="J108" i="18"/>
  <c r="I108" i="18"/>
  <c r="K106" i="18"/>
  <c r="AT114" i="39" s="1"/>
  <c r="J103" i="18"/>
  <c r="J107" i="18" s="1"/>
  <c r="I103" i="18"/>
  <c r="J102" i="18"/>
  <c r="I102" i="18"/>
  <c r="E91" i="18"/>
  <c r="E90" i="18"/>
  <c r="E89" i="18"/>
  <c r="E88" i="18"/>
  <c r="E87" i="18"/>
  <c r="E86" i="18"/>
  <c r="E85" i="18"/>
  <c r="E84" i="18"/>
  <c r="E31" i="18"/>
  <c r="E83" i="18"/>
  <c r="E82" i="18"/>
  <c r="E81" i="18"/>
  <c r="E80" i="18"/>
  <c r="E79" i="18"/>
  <c r="E78" i="18"/>
  <c r="E36" i="18"/>
  <c r="E77" i="18"/>
  <c r="E76" i="18"/>
  <c r="E74" i="18"/>
  <c r="E23" i="18"/>
  <c r="E16" i="18"/>
  <c r="E73" i="18"/>
  <c r="E42" i="18"/>
  <c r="E72" i="18"/>
  <c r="E71" i="18"/>
  <c r="E70" i="18"/>
  <c r="E69" i="18"/>
  <c r="E68" i="18"/>
  <c r="E29" i="18"/>
  <c r="E41" i="18"/>
  <c r="E66" i="18"/>
  <c r="E39" i="18"/>
  <c r="E65" i="18"/>
  <c r="E64" i="18"/>
  <c r="E62" i="18"/>
  <c r="E61" i="18"/>
  <c r="E60" i="18"/>
  <c r="E59" i="18"/>
  <c r="E58" i="18"/>
  <c r="E57" i="18"/>
  <c r="E56" i="18"/>
  <c r="E55" i="18"/>
  <c r="E54" i="18"/>
  <c r="E52" i="18"/>
  <c r="E51" i="18"/>
  <c r="E50" i="18"/>
  <c r="E49" i="18"/>
  <c r="E48" i="18"/>
  <c r="E47" i="18"/>
  <c r="E46" i="18"/>
  <c r="E45" i="18"/>
  <c r="E44" i="18"/>
  <c r="L12" i="18"/>
  <c r="E12" i="18"/>
  <c r="E75" i="18"/>
  <c r="E67" i="18"/>
  <c r="E53" i="18"/>
  <c r="L18" i="18"/>
  <c r="E18" i="18"/>
  <c r="L24" i="18"/>
  <c r="E24" i="18"/>
  <c r="L17" i="18"/>
  <c r="E17" i="18"/>
  <c r="L33" i="18"/>
  <c r="E33" i="18"/>
  <c r="L11" i="18"/>
  <c r="E11" i="18"/>
  <c r="L30" i="18"/>
  <c r="E30" i="18"/>
  <c r="E14" i="18"/>
  <c r="E40" i="18"/>
  <c r="L22" i="18"/>
  <c r="E22" i="18"/>
  <c r="L35" i="18"/>
  <c r="E35" i="18"/>
  <c r="L32" i="18"/>
  <c r="E32" i="18"/>
  <c r="L37" i="18"/>
  <c r="E37" i="18"/>
  <c r="L20" i="18"/>
  <c r="E20" i="18"/>
  <c r="L15" i="18"/>
  <c r="E15" i="18"/>
  <c r="L25" i="18"/>
  <c r="E25" i="18"/>
  <c r="E63" i="18"/>
  <c r="L38" i="18"/>
  <c r="E38" i="18"/>
  <c r="L10" i="18"/>
  <c r="E10" i="18"/>
  <c r="L26" i="18"/>
  <c r="E26" i="18"/>
  <c r="L34" i="18"/>
  <c r="E34" i="18"/>
  <c r="E43" i="18"/>
  <c r="L28" i="18"/>
  <c r="E28" i="18"/>
  <c r="L27" i="18"/>
  <c r="E27" i="18"/>
  <c r="L21" i="18"/>
  <c r="E21" i="18"/>
  <c r="AB11" i="18"/>
  <c r="AB12" i="18" s="1"/>
  <c r="L19" i="18"/>
  <c r="E19" i="18"/>
  <c r="L13" i="18"/>
  <c r="E13" i="18"/>
  <c r="B10" i="18"/>
  <c r="B11" i="18" s="1"/>
  <c r="B12" i="18" s="1"/>
  <c r="B13" i="18" s="1"/>
  <c r="B14" i="18" s="1"/>
  <c r="B15" i="18" s="1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T7" i="18"/>
  <c r="S7" i="18"/>
  <c r="L37" i="17"/>
  <c r="M37" i="17" s="1"/>
  <c r="L38" i="17"/>
  <c r="M38" i="17" s="1"/>
  <c r="L39" i="17"/>
  <c r="M39" i="17" s="1"/>
  <c r="L18" i="17"/>
  <c r="L21" i="17"/>
  <c r="L23" i="17"/>
  <c r="L24" i="17"/>
  <c r="L27" i="17"/>
  <c r="L28" i="17"/>
  <c r="L29" i="17"/>
  <c r="L30" i="17"/>
  <c r="L32" i="17"/>
  <c r="L33" i="17"/>
  <c r="L34" i="17"/>
  <c r="L36" i="17"/>
  <c r="L10" i="17"/>
  <c r="L11" i="17"/>
  <c r="L17" i="17"/>
  <c r="I5" i="17"/>
  <c r="K108" i="17"/>
  <c r="AQ116" i="39" s="1"/>
  <c r="J108" i="17"/>
  <c r="I108" i="17"/>
  <c r="K106" i="17"/>
  <c r="AQ114" i="39" s="1"/>
  <c r="J103" i="17"/>
  <c r="J107" i="17" s="1"/>
  <c r="I103" i="17"/>
  <c r="J102" i="17"/>
  <c r="I102" i="17"/>
  <c r="E91" i="17"/>
  <c r="E87" i="17"/>
  <c r="E86" i="17"/>
  <c r="E85" i="17"/>
  <c r="E83" i="17"/>
  <c r="E81" i="17"/>
  <c r="E80" i="17"/>
  <c r="E79" i="17"/>
  <c r="E28" i="17"/>
  <c r="E78" i="17"/>
  <c r="E77" i="17"/>
  <c r="E76" i="17"/>
  <c r="E75" i="17"/>
  <c r="E74" i="17"/>
  <c r="E73" i="17"/>
  <c r="E72" i="17"/>
  <c r="E27" i="17"/>
  <c r="E71" i="17"/>
  <c r="E70" i="17"/>
  <c r="E69" i="17"/>
  <c r="E68" i="17"/>
  <c r="E67" i="17"/>
  <c r="E66" i="17"/>
  <c r="E64" i="17"/>
  <c r="E37" i="17"/>
  <c r="E62" i="17"/>
  <c r="E17" i="17"/>
  <c r="E60" i="17"/>
  <c r="E58" i="17"/>
  <c r="E21" i="17"/>
  <c r="E56" i="17"/>
  <c r="E55" i="17"/>
  <c r="E54" i="17"/>
  <c r="E53" i="17"/>
  <c r="E52" i="17"/>
  <c r="E51" i="17"/>
  <c r="E50" i="17"/>
  <c r="E48" i="17"/>
  <c r="E45" i="17"/>
  <c r="E44" i="17"/>
  <c r="E43" i="17"/>
  <c r="E42" i="17"/>
  <c r="E41" i="17"/>
  <c r="E10" i="17"/>
  <c r="E40" i="17"/>
  <c r="E47" i="17"/>
  <c r="E90" i="17"/>
  <c r="E36" i="17"/>
  <c r="E38" i="17"/>
  <c r="L14" i="17"/>
  <c r="E14" i="17"/>
  <c r="E29" i="17"/>
  <c r="L26" i="17"/>
  <c r="E26" i="17"/>
  <c r="E34" i="17"/>
  <c r="E65" i="17"/>
  <c r="E61" i="17"/>
  <c r="E24" i="17"/>
  <c r="E57" i="17"/>
  <c r="E63" i="17"/>
  <c r="E30" i="17"/>
  <c r="L25" i="17"/>
  <c r="E25" i="17"/>
  <c r="L13" i="17"/>
  <c r="E13" i="17"/>
  <c r="E59" i="17"/>
  <c r="E88" i="17"/>
  <c r="E46" i="17"/>
  <c r="L16" i="17"/>
  <c r="E16" i="17"/>
  <c r="E11" i="17"/>
  <c r="L19" i="17"/>
  <c r="E19" i="17"/>
  <c r="E32" i="17"/>
  <c r="E89" i="17"/>
  <c r="L12" i="17"/>
  <c r="E12" i="17"/>
  <c r="L15" i="17"/>
  <c r="E15" i="17"/>
  <c r="E49" i="17"/>
  <c r="E33" i="17"/>
  <c r="L20" i="17"/>
  <c r="E20" i="17"/>
  <c r="L35" i="17"/>
  <c r="E35" i="17"/>
  <c r="E82" i="17"/>
  <c r="E23" i="17"/>
  <c r="L22" i="17"/>
  <c r="E22" i="17"/>
  <c r="E39" i="17"/>
  <c r="E18" i="17"/>
  <c r="AB11" i="17"/>
  <c r="AB12" i="17" s="1"/>
  <c r="AB13" i="17" s="1"/>
  <c r="L31" i="17"/>
  <c r="E31" i="17"/>
  <c r="E84" i="17"/>
  <c r="B10" i="17"/>
  <c r="B11" i="17" s="1"/>
  <c r="B12" i="17" s="1"/>
  <c r="B13" i="17" s="1"/>
  <c r="B14" i="17" s="1"/>
  <c r="B15" i="17" s="1"/>
  <c r="B16" i="17" s="1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69" i="17" s="1"/>
  <c r="B70" i="17" s="1"/>
  <c r="B71" i="17" s="1"/>
  <c r="B72" i="17" s="1"/>
  <c r="B73" i="17" s="1"/>
  <c r="B74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6" i="17" s="1"/>
  <c r="B87" i="17" s="1"/>
  <c r="B88" i="17" s="1"/>
  <c r="B89" i="17" s="1"/>
  <c r="B90" i="17" s="1"/>
  <c r="B91" i="17" s="1"/>
  <c r="T7" i="17"/>
  <c r="S7" i="17"/>
  <c r="E20" i="39"/>
  <c r="L43" i="15"/>
  <c r="M43" i="15" s="1"/>
  <c r="L39" i="15"/>
  <c r="L34" i="15"/>
  <c r="L37" i="15"/>
  <c r="L35" i="15"/>
  <c r="L33" i="15"/>
  <c r="L19" i="15"/>
  <c r="L30" i="15"/>
  <c r="L36" i="15"/>
  <c r="L27" i="15"/>
  <c r="L12" i="15"/>
  <c r="L44" i="15"/>
  <c r="M44" i="15" s="1"/>
  <c r="L42" i="15"/>
  <c r="M42" i="15" s="1"/>
  <c r="L41" i="15"/>
  <c r="N41" i="15" s="1"/>
  <c r="O41" i="15" s="1"/>
  <c r="L40" i="15"/>
  <c r="M40" i="15" s="1"/>
  <c r="L38" i="15"/>
  <c r="L31" i="15"/>
  <c r="L17" i="15"/>
  <c r="L28" i="15"/>
  <c r="L16" i="15"/>
  <c r="L15" i="15"/>
  <c r="L25" i="15"/>
  <c r="L23" i="15"/>
  <c r="L24" i="15"/>
  <c r="L21" i="15"/>
  <c r="L32" i="15"/>
  <c r="L20" i="15"/>
  <c r="L11" i="15"/>
  <c r="L26" i="15"/>
  <c r="L22" i="15"/>
  <c r="L14" i="15"/>
  <c r="L18" i="15"/>
  <c r="L10" i="15"/>
  <c r="L29" i="15"/>
  <c r="E20" i="15"/>
  <c r="H22" i="3"/>
  <c r="E22" i="3"/>
  <c r="AK114" i="39"/>
  <c r="L38" i="16"/>
  <c r="M38" i="16" s="1"/>
  <c r="L11" i="16"/>
  <c r="L12" i="16"/>
  <c r="L13" i="16"/>
  <c r="L14" i="16"/>
  <c r="L15" i="16"/>
  <c r="L28" i="16"/>
  <c r="L29" i="16"/>
  <c r="I5" i="15"/>
  <c r="I5" i="16"/>
  <c r="K108" i="15"/>
  <c r="AN116" i="39" s="1"/>
  <c r="J108" i="15"/>
  <c r="I108" i="15"/>
  <c r="K106" i="15"/>
  <c r="AN114" i="39" s="1"/>
  <c r="J103" i="15"/>
  <c r="J107" i="15" s="1"/>
  <c r="I103" i="15"/>
  <c r="J102" i="15"/>
  <c r="I102" i="15"/>
  <c r="E39" i="15"/>
  <c r="E91" i="15"/>
  <c r="E45" i="15"/>
  <c r="E31" i="15"/>
  <c r="E23" i="15"/>
  <c r="E29" i="15"/>
  <c r="E42" i="15"/>
  <c r="E90" i="15"/>
  <c r="E41" i="15"/>
  <c r="E89" i="15"/>
  <c r="E88" i="15"/>
  <c r="E10" i="15"/>
  <c r="E87" i="15"/>
  <c r="E16" i="15"/>
  <c r="E86" i="15"/>
  <c r="E85" i="15"/>
  <c r="E84" i="15"/>
  <c r="E83" i="15"/>
  <c r="E82" i="15"/>
  <c r="E33" i="15"/>
  <c r="E81" i="15"/>
  <c r="E80" i="15"/>
  <c r="E11" i="15"/>
  <c r="E24" i="15"/>
  <c r="E26" i="15"/>
  <c r="E79" i="15"/>
  <c r="E78" i="15"/>
  <c r="E43" i="15"/>
  <c r="E77" i="15"/>
  <c r="L13" i="15"/>
  <c r="E13" i="15"/>
  <c r="E76" i="15"/>
  <c r="E75" i="15"/>
  <c r="E74" i="15"/>
  <c r="E73" i="15"/>
  <c r="E22" i="15"/>
  <c r="E21" i="15"/>
  <c r="E72" i="15"/>
  <c r="E71" i="15"/>
  <c r="E17" i="15"/>
  <c r="E70" i="15"/>
  <c r="E69" i="15"/>
  <c r="E38" i="15"/>
  <c r="E68" i="15"/>
  <c r="E34" i="15"/>
  <c r="E14" i="15"/>
  <c r="E67" i="15"/>
  <c r="E66" i="15"/>
  <c r="E37" i="15"/>
  <c r="E36" i="15"/>
  <c r="E65" i="15"/>
  <c r="E64" i="15"/>
  <c r="E30" i="15"/>
  <c r="E63" i="15"/>
  <c r="E18" i="15"/>
  <c r="E19" i="15"/>
  <c r="E35" i="15"/>
  <c r="E62" i="15"/>
  <c r="E61" i="15"/>
  <c r="E60" i="15"/>
  <c r="E27" i="15"/>
  <c r="E59" i="15"/>
  <c r="E58" i="15"/>
  <c r="E57" i="15"/>
  <c r="E56" i="15"/>
  <c r="E55" i="15"/>
  <c r="E32" i="15"/>
  <c r="E44" i="15"/>
  <c r="E54" i="15"/>
  <c r="E15" i="15"/>
  <c r="E12" i="15"/>
  <c r="E46" i="15"/>
  <c r="E28" i="15"/>
  <c r="E53" i="15"/>
  <c r="E40" i="15"/>
  <c r="E52" i="15"/>
  <c r="E25" i="15"/>
  <c r="E51" i="15"/>
  <c r="E50" i="15"/>
  <c r="E49" i="15"/>
  <c r="AB11" i="15"/>
  <c r="AB12" i="15" s="1"/>
  <c r="E48" i="15"/>
  <c r="E47" i="15"/>
  <c r="B10" i="15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T7" i="15"/>
  <c r="S7" i="15"/>
  <c r="S3" i="3"/>
  <c r="K108" i="16"/>
  <c r="AK116" i="39" s="1"/>
  <c r="J108" i="16"/>
  <c r="I108" i="16"/>
  <c r="K106" i="16"/>
  <c r="J103" i="16"/>
  <c r="J107" i="16" s="1"/>
  <c r="I103" i="16"/>
  <c r="J102" i="16"/>
  <c r="I102" i="16"/>
  <c r="E90" i="16"/>
  <c r="E15" i="16"/>
  <c r="E87" i="16"/>
  <c r="E86" i="16"/>
  <c r="E85" i="16"/>
  <c r="E83" i="16"/>
  <c r="E82" i="16"/>
  <c r="E81" i="16"/>
  <c r="E80" i="16"/>
  <c r="E79" i="16"/>
  <c r="E78" i="16"/>
  <c r="E76" i="16"/>
  <c r="E75" i="16"/>
  <c r="E74" i="16"/>
  <c r="E72" i="16"/>
  <c r="E11" i="16"/>
  <c r="E38" i="16"/>
  <c r="E69" i="16"/>
  <c r="E68" i="16"/>
  <c r="E65" i="16"/>
  <c r="E64" i="16"/>
  <c r="E63" i="16"/>
  <c r="E61" i="16"/>
  <c r="E60" i="16"/>
  <c r="E28" i="16"/>
  <c r="E58" i="16"/>
  <c r="E57" i="16"/>
  <c r="E56" i="16"/>
  <c r="E53" i="16"/>
  <c r="E52" i="16"/>
  <c r="E51" i="16"/>
  <c r="E50" i="16"/>
  <c r="E49" i="16"/>
  <c r="E48" i="16"/>
  <c r="E47" i="16"/>
  <c r="E46" i="16"/>
  <c r="E45" i="16"/>
  <c r="E43" i="16"/>
  <c r="E41" i="16"/>
  <c r="E40" i="16"/>
  <c r="E14" i="16"/>
  <c r="L26" i="16"/>
  <c r="E26" i="16"/>
  <c r="L35" i="16"/>
  <c r="E35" i="16"/>
  <c r="E54" i="16"/>
  <c r="E62" i="16"/>
  <c r="E59" i="16"/>
  <c r="E71" i="16"/>
  <c r="E29" i="16"/>
  <c r="L27" i="16"/>
  <c r="E27" i="16"/>
  <c r="E44" i="16"/>
  <c r="E77" i="16"/>
  <c r="E88" i="16"/>
  <c r="L21" i="16"/>
  <c r="E21" i="16"/>
  <c r="L19" i="16"/>
  <c r="E19" i="16"/>
  <c r="E67" i="16"/>
  <c r="E66" i="16"/>
  <c r="E12" i="16"/>
  <c r="L33" i="16"/>
  <c r="E33" i="16"/>
  <c r="L17" i="16"/>
  <c r="E17" i="16"/>
  <c r="L16" i="16"/>
  <c r="E16" i="16"/>
  <c r="L25" i="16"/>
  <c r="E25" i="16"/>
  <c r="L31" i="16"/>
  <c r="E31" i="16"/>
  <c r="L34" i="16"/>
  <c r="E34" i="16"/>
  <c r="L22" i="16"/>
  <c r="E22" i="16"/>
  <c r="E13" i="16"/>
  <c r="L30" i="16"/>
  <c r="E30" i="16"/>
  <c r="E73" i="16"/>
  <c r="E84" i="16"/>
  <c r="E70" i="16"/>
  <c r="L24" i="16"/>
  <c r="E24" i="16"/>
  <c r="L32" i="16"/>
  <c r="E32" i="16"/>
  <c r="L23" i="16"/>
  <c r="E23" i="16"/>
  <c r="E89" i="16"/>
  <c r="L39" i="16"/>
  <c r="E39" i="16"/>
  <c r="L36" i="16"/>
  <c r="E36" i="16"/>
  <c r="L18" i="16"/>
  <c r="E18" i="16"/>
  <c r="E55" i="16"/>
  <c r="L10" i="16"/>
  <c r="E10" i="16"/>
  <c r="AB12" i="16"/>
  <c r="AB13" i="16" s="1"/>
  <c r="L37" i="16"/>
  <c r="E37" i="16"/>
  <c r="AB11" i="16"/>
  <c r="L20" i="16"/>
  <c r="E20" i="16"/>
  <c r="E42" i="16"/>
  <c r="B10" i="16"/>
  <c r="B11" i="16" s="1"/>
  <c r="B12" i="16" s="1"/>
  <c r="B13" i="16" s="1"/>
  <c r="B14" i="16" s="1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T7" i="16"/>
  <c r="S7" i="16"/>
  <c r="AH117" i="39"/>
  <c r="AH116" i="39"/>
  <c r="AH115" i="39"/>
  <c r="AH114" i="39"/>
  <c r="L47" i="13"/>
  <c r="M47" i="13" s="1"/>
  <c r="L48" i="13"/>
  <c r="N48" i="13" s="1"/>
  <c r="O48" i="13" s="1"/>
  <c r="L49" i="13"/>
  <c r="N49" i="13" s="1"/>
  <c r="O49" i="13" s="1"/>
  <c r="L36" i="13"/>
  <c r="L50" i="13"/>
  <c r="N50" i="13" s="1"/>
  <c r="O50" i="13" s="1"/>
  <c r="L35" i="13"/>
  <c r="L45" i="13"/>
  <c r="L23" i="13"/>
  <c r="L29" i="13"/>
  <c r="H32" i="3"/>
  <c r="E32" i="3"/>
  <c r="E45" i="13"/>
  <c r="CZ20" i="39" l="1"/>
  <c r="CY20" i="39"/>
  <c r="DA20" i="39"/>
  <c r="CZ67" i="39"/>
  <c r="CY67" i="39"/>
  <c r="DA67" i="39"/>
  <c r="J10" i="3"/>
  <c r="J41" i="3"/>
  <c r="K41" i="3" s="1"/>
  <c r="AB32" i="47"/>
  <c r="CV20" i="39"/>
  <c r="CX20" i="39"/>
  <c r="CW20" i="39"/>
  <c r="CX67" i="39"/>
  <c r="CV67" i="39"/>
  <c r="AB31" i="45"/>
  <c r="CU20" i="39"/>
  <c r="CT20" i="39"/>
  <c r="CS20" i="39"/>
  <c r="CU67" i="39"/>
  <c r="CS67" i="39"/>
  <c r="CQ20" i="39"/>
  <c r="CR20" i="39"/>
  <c r="CP20" i="39"/>
  <c r="CQ67" i="39"/>
  <c r="CP67" i="39"/>
  <c r="CR67" i="39"/>
  <c r="AB26" i="38"/>
  <c r="J84" i="3"/>
  <c r="J6" i="3"/>
  <c r="AB28" i="37"/>
  <c r="CO67" i="39"/>
  <c r="CM67" i="39"/>
  <c r="CO20" i="39"/>
  <c r="CM20" i="39"/>
  <c r="CN20" i="39"/>
  <c r="AB26" i="36"/>
  <c r="CL20" i="39"/>
  <c r="CJ20" i="39"/>
  <c r="CL67" i="39"/>
  <c r="CJ67" i="39"/>
  <c r="CI20" i="39"/>
  <c r="CG20" i="39"/>
  <c r="CI67" i="39"/>
  <c r="CG67" i="39"/>
  <c r="AB25" i="35"/>
  <c r="AB24" i="34"/>
  <c r="CD20" i="39"/>
  <c r="CE20" i="39"/>
  <c r="CF20" i="39"/>
  <c r="CF67" i="39"/>
  <c r="CD67" i="39"/>
  <c r="CE67" i="39"/>
  <c r="AB22" i="32"/>
  <c r="CC67" i="39"/>
  <c r="CA67" i="39"/>
  <c r="CB20" i="39"/>
  <c r="CC20" i="39"/>
  <c r="CA20" i="39"/>
  <c r="J67" i="3"/>
  <c r="J76" i="3"/>
  <c r="AB22" i="31"/>
  <c r="BZ67" i="39"/>
  <c r="BX67" i="39"/>
  <c r="BX20" i="39"/>
  <c r="BZ20" i="39"/>
  <c r="BY20" i="39"/>
  <c r="AB22" i="30"/>
  <c r="BW20" i="39"/>
  <c r="BU20" i="39"/>
  <c r="BV20" i="39"/>
  <c r="BW67" i="39"/>
  <c r="BU67" i="39"/>
  <c r="BV67" i="39"/>
  <c r="AB23" i="29"/>
  <c r="BR67" i="39"/>
  <c r="BT67" i="39"/>
  <c r="BR20" i="39"/>
  <c r="BS20" i="39"/>
  <c r="BT20" i="39"/>
  <c r="BO20" i="39"/>
  <c r="BP20" i="39"/>
  <c r="BQ20" i="39"/>
  <c r="BQ67" i="39"/>
  <c r="BO67" i="39"/>
  <c r="AB21" i="27"/>
  <c r="AB19" i="26"/>
  <c r="BM20" i="39"/>
  <c r="BL20" i="39"/>
  <c r="BN20" i="39"/>
  <c r="BN67" i="39"/>
  <c r="BL67" i="39"/>
  <c r="BM67" i="39"/>
  <c r="BK67" i="39"/>
  <c r="BI67" i="39"/>
  <c r="BJ20" i="39"/>
  <c r="BI20" i="39"/>
  <c r="BK20" i="39"/>
  <c r="AB18" i="25"/>
  <c r="AB17" i="24"/>
  <c r="BF20" i="39"/>
  <c r="BH20" i="39"/>
  <c r="BG20" i="39"/>
  <c r="BG67" i="39"/>
  <c r="BH67" i="39"/>
  <c r="BF67" i="39"/>
  <c r="AB17" i="23"/>
  <c r="BE20" i="39"/>
  <c r="BC20" i="39"/>
  <c r="BE67" i="39"/>
  <c r="BD67" i="39"/>
  <c r="BC67" i="39"/>
  <c r="J40" i="3"/>
  <c r="J13" i="3"/>
  <c r="AB15" i="22"/>
  <c r="AQ20" i="39"/>
  <c r="BB20" i="39"/>
  <c r="AV67" i="39"/>
  <c r="BB67" i="39"/>
  <c r="AZ20" i="39"/>
  <c r="AZ67" i="39"/>
  <c r="J22" i="3"/>
  <c r="J39" i="3"/>
  <c r="AB16" i="21"/>
  <c r="M26" i="19"/>
  <c r="M11" i="19"/>
  <c r="M20" i="19"/>
  <c r="M17" i="19"/>
  <c r="M34" i="19"/>
  <c r="M28" i="19"/>
  <c r="M31" i="19"/>
  <c r="M29" i="19"/>
  <c r="M37" i="19"/>
  <c r="M47" i="19"/>
  <c r="AW67" i="39" s="1"/>
  <c r="M22" i="19"/>
  <c r="M21" i="19"/>
  <c r="M10" i="19"/>
  <c r="M14" i="19"/>
  <c r="M32" i="19"/>
  <c r="M19" i="19"/>
  <c r="M46" i="19"/>
  <c r="M30" i="19"/>
  <c r="M49" i="19"/>
  <c r="M36" i="19"/>
  <c r="M16" i="19"/>
  <c r="M23" i="19"/>
  <c r="M39" i="19"/>
  <c r="M15" i="19"/>
  <c r="M38" i="19"/>
  <c r="AW20" i="39"/>
  <c r="AY20" i="39"/>
  <c r="AX20" i="39"/>
  <c r="AY67" i="39"/>
  <c r="M35" i="19"/>
  <c r="M42" i="19"/>
  <c r="M24" i="19"/>
  <c r="M41" i="19"/>
  <c r="M33" i="19"/>
  <c r="M12" i="19"/>
  <c r="M40" i="19"/>
  <c r="M13" i="19"/>
  <c r="M18" i="19"/>
  <c r="M25" i="19"/>
  <c r="M45" i="19"/>
  <c r="M44" i="19"/>
  <c r="O50" i="19"/>
  <c r="S67" i="39"/>
  <c r="T67" i="39"/>
  <c r="U67" i="39"/>
  <c r="AC67" i="39"/>
  <c r="AJ67" i="39"/>
  <c r="AK67" i="39"/>
  <c r="AO67" i="39"/>
  <c r="AG67" i="39"/>
  <c r="Y67" i="39"/>
  <c r="AQ67" i="39"/>
  <c r="AA67" i="39"/>
  <c r="AR67" i="39"/>
  <c r="AB67" i="39"/>
  <c r="AS67" i="39"/>
  <c r="Z67" i="39"/>
  <c r="AP67" i="39"/>
  <c r="V67" i="39"/>
  <c r="AD67" i="39"/>
  <c r="AL67" i="39"/>
  <c r="AT67" i="39"/>
  <c r="W67" i="39"/>
  <c r="AE67" i="39"/>
  <c r="AM67" i="39"/>
  <c r="AU67" i="39"/>
  <c r="X67" i="39"/>
  <c r="AF67" i="39"/>
  <c r="AN67" i="39"/>
  <c r="K103" i="19"/>
  <c r="AW110" i="39" s="1"/>
  <c r="K102" i="19"/>
  <c r="AW109" i="39" s="1"/>
  <c r="M27" i="19"/>
  <c r="K109" i="19"/>
  <c r="AW117" i="39" s="1"/>
  <c r="AB14" i="19"/>
  <c r="I107" i="19"/>
  <c r="K107" i="19" s="1"/>
  <c r="AW115" i="39" s="1"/>
  <c r="M43" i="19"/>
  <c r="AR20" i="39"/>
  <c r="AS20" i="39"/>
  <c r="N41" i="18"/>
  <c r="O41" i="18" s="1"/>
  <c r="N39" i="18"/>
  <c r="O39" i="18" s="1"/>
  <c r="M31" i="18"/>
  <c r="M29" i="18"/>
  <c r="M36" i="18"/>
  <c r="M14" i="18"/>
  <c r="M42" i="18"/>
  <c r="M23" i="18"/>
  <c r="M40" i="18"/>
  <c r="M43" i="18"/>
  <c r="M16" i="18"/>
  <c r="K103" i="18"/>
  <c r="AT110" i="39" s="1"/>
  <c r="K102" i="18"/>
  <c r="AU20" i="39"/>
  <c r="AV20" i="39"/>
  <c r="AT20" i="39"/>
  <c r="M21" i="18"/>
  <c r="M10" i="18"/>
  <c r="M19" i="18"/>
  <c r="M20" i="18"/>
  <c r="M12" i="18"/>
  <c r="M37" i="18"/>
  <c r="M27" i="18"/>
  <c r="K104" i="18"/>
  <c r="AT111" i="39" s="1"/>
  <c r="AT109" i="39"/>
  <c r="M22" i="18"/>
  <c r="M25" i="18"/>
  <c r="M15" i="18"/>
  <c r="M30" i="18"/>
  <c r="AB13" i="18"/>
  <c r="K109" i="18"/>
  <c r="AT117" i="39" s="1"/>
  <c r="M17" i="18"/>
  <c r="M32" i="18"/>
  <c r="M26" i="18"/>
  <c r="M13" i="18"/>
  <c r="M33" i="18"/>
  <c r="M18" i="18"/>
  <c r="M28" i="18"/>
  <c r="M34" i="18"/>
  <c r="M35" i="18"/>
  <c r="M38" i="18"/>
  <c r="M11" i="18"/>
  <c r="M24" i="18"/>
  <c r="I107" i="18"/>
  <c r="K107" i="18" s="1"/>
  <c r="AT115" i="39" s="1"/>
  <c r="M22" i="17"/>
  <c r="N39" i="17"/>
  <c r="O39" i="17" s="1"/>
  <c r="M34" i="17"/>
  <c r="M23" i="17"/>
  <c r="M33" i="17"/>
  <c r="M21" i="17"/>
  <c r="M19" i="17"/>
  <c r="M32" i="17"/>
  <c r="M18" i="17"/>
  <c r="M30" i="17"/>
  <c r="M13" i="17"/>
  <c r="M15" i="17"/>
  <c r="M17" i="17"/>
  <c r="M29" i="17"/>
  <c r="N38" i="17"/>
  <c r="O38" i="17" s="1"/>
  <c r="M25" i="17"/>
  <c r="M31" i="17"/>
  <c r="M26" i="17"/>
  <c r="M35" i="17"/>
  <c r="M12" i="17"/>
  <c r="M11" i="17"/>
  <c r="M28" i="17"/>
  <c r="N37" i="17"/>
  <c r="O37" i="17" s="1"/>
  <c r="M10" i="17"/>
  <c r="M27" i="17"/>
  <c r="M20" i="17"/>
  <c r="M14" i="17"/>
  <c r="M36" i="17"/>
  <c r="M24" i="17"/>
  <c r="K102" i="17"/>
  <c r="AQ109" i="39" s="1"/>
  <c r="AB14" i="17"/>
  <c r="K103" i="17"/>
  <c r="AQ110" i="39" s="1"/>
  <c r="I107" i="17"/>
  <c r="K107" i="17" s="1"/>
  <c r="AQ115" i="39" s="1"/>
  <c r="K109" i="17"/>
  <c r="AQ117" i="39" s="1"/>
  <c r="M16" i="17"/>
  <c r="AP20" i="39"/>
  <c r="AA20" i="39"/>
  <c r="AB20" i="39"/>
  <c r="AD20" i="39"/>
  <c r="AE20" i="39"/>
  <c r="T20" i="39"/>
  <c r="AJ20" i="39"/>
  <c r="S20" i="39"/>
  <c r="V20" i="39"/>
  <c r="AL20" i="39"/>
  <c r="AI20" i="39"/>
  <c r="W20" i="39"/>
  <c r="AM20" i="39"/>
  <c r="U20" i="39"/>
  <c r="AC20" i="39"/>
  <c r="AK20" i="39"/>
  <c r="X20" i="39"/>
  <c r="AF20" i="39"/>
  <c r="Y20" i="39"/>
  <c r="AG20" i="39"/>
  <c r="Z20" i="39"/>
  <c r="AH20" i="39"/>
  <c r="M18" i="15"/>
  <c r="N42" i="15"/>
  <c r="O42" i="15" s="1"/>
  <c r="N44" i="15"/>
  <c r="O44" i="15" s="1"/>
  <c r="M10" i="15"/>
  <c r="M21" i="15"/>
  <c r="M31" i="15"/>
  <c r="M27" i="15"/>
  <c r="M30" i="15"/>
  <c r="M24" i="15"/>
  <c r="M38" i="15"/>
  <c r="M39" i="15"/>
  <c r="M12" i="15"/>
  <c r="M26" i="15"/>
  <c r="M15" i="15"/>
  <c r="M41" i="15"/>
  <c r="M11" i="15"/>
  <c r="M16" i="15"/>
  <c r="M33" i="15"/>
  <c r="M23" i="15"/>
  <c r="M36" i="15"/>
  <c r="M20" i="15"/>
  <c r="AN20" i="39" s="1"/>
  <c r="M28" i="15"/>
  <c r="M35" i="15"/>
  <c r="N40" i="15"/>
  <c r="O40" i="15" s="1"/>
  <c r="M37" i="15"/>
  <c r="N43" i="15"/>
  <c r="O43" i="15" s="1"/>
  <c r="M14" i="15"/>
  <c r="M17" i="15"/>
  <c r="M34" i="15"/>
  <c r="M22" i="15"/>
  <c r="M25" i="15"/>
  <c r="M19" i="15"/>
  <c r="M29" i="15"/>
  <c r="M32" i="15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K103" i="15"/>
  <c r="AN110" i="39" s="1"/>
  <c r="K102" i="15"/>
  <c r="AN109" i="39" s="1"/>
  <c r="M12" i="16"/>
  <c r="M13" i="16"/>
  <c r="M29" i="16"/>
  <c r="M28" i="16"/>
  <c r="M11" i="16"/>
  <c r="M15" i="16"/>
  <c r="M14" i="16"/>
  <c r="N38" i="16"/>
  <c r="O38" i="16" s="1"/>
  <c r="K103" i="16"/>
  <c r="AK110" i="39" s="1"/>
  <c r="M13" i="15"/>
  <c r="K109" i="15"/>
  <c r="AN117" i="39" s="1"/>
  <c r="AB13" i="15"/>
  <c r="I107" i="15"/>
  <c r="K107" i="15" s="1"/>
  <c r="AN115" i="39" s="1"/>
  <c r="M35" i="16"/>
  <c r="K102" i="16"/>
  <c r="M30" i="16"/>
  <c r="AB14" i="16"/>
  <c r="M37" i="16"/>
  <c r="M18" i="16"/>
  <c r="M17" i="16"/>
  <c r="K104" i="16"/>
  <c r="AK111" i="39" s="1"/>
  <c r="M39" i="16"/>
  <c r="K109" i="16"/>
  <c r="AK117" i="39" s="1"/>
  <c r="M23" i="16"/>
  <c r="M32" i="16"/>
  <c r="M10" i="16"/>
  <c r="M36" i="16"/>
  <c r="M16" i="16"/>
  <c r="M24" i="16"/>
  <c r="M22" i="16"/>
  <c r="M25" i="16"/>
  <c r="M27" i="16"/>
  <c r="M20" i="16"/>
  <c r="M31" i="16"/>
  <c r="M21" i="16"/>
  <c r="M34" i="16"/>
  <c r="M33" i="16"/>
  <c r="I107" i="16"/>
  <c r="K107" i="16" s="1"/>
  <c r="AK115" i="39" s="1"/>
  <c r="M19" i="16"/>
  <c r="M26" i="16"/>
  <c r="M48" i="13"/>
  <c r="M50" i="13"/>
  <c r="M49" i="13"/>
  <c r="N47" i="13"/>
  <c r="O47" i="13" s="1"/>
  <c r="I5" i="13"/>
  <c r="K108" i="13"/>
  <c r="J108" i="13"/>
  <c r="I108" i="13"/>
  <c r="K106" i="13"/>
  <c r="J103" i="13"/>
  <c r="J107" i="13" s="1"/>
  <c r="I103" i="13"/>
  <c r="I107" i="13" s="1"/>
  <c r="J102" i="13"/>
  <c r="I102" i="13"/>
  <c r="E90" i="13"/>
  <c r="E88" i="13"/>
  <c r="E87" i="13"/>
  <c r="E23" i="13"/>
  <c r="E85" i="13"/>
  <c r="E84" i="13"/>
  <c r="E82" i="13"/>
  <c r="E29" i="13"/>
  <c r="E81" i="13"/>
  <c r="E80" i="13"/>
  <c r="E78" i="13"/>
  <c r="E77" i="13"/>
  <c r="E74" i="13"/>
  <c r="E72" i="13"/>
  <c r="E36" i="13"/>
  <c r="E35" i="13"/>
  <c r="E71" i="13"/>
  <c r="E48" i="13"/>
  <c r="E69" i="13"/>
  <c r="E67" i="13"/>
  <c r="E65" i="13"/>
  <c r="E64" i="13"/>
  <c r="E63" i="13"/>
  <c r="E47" i="13"/>
  <c r="E62" i="13"/>
  <c r="E60" i="13"/>
  <c r="E59" i="13"/>
  <c r="E58" i="13"/>
  <c r="E54" i="13"/>
  <c r="E53" i="13"/>
  <c r="E52" i="13"/>
  <c r="E51" i="13"/>
  <c r="E68" i="13"/>
  <c r="L11" i="13"/>
  <c r="E11" i="13"/>
  <c r="E75" i="13"/>
  <c r="L41" i="13"/>
  <c r="E41" i="13"/>
  <c r="L46" i="13"/>
  <c r="E46" i="13"/>
  <c r="E56" i="13"/>
  <c r="L25" i="13"/>
  <c r="E25" i="13"/>
  <c r="L43" i="13"/>
  <c r="E43" i="13"/>
  <c r="E49" i="13"/>
  <c r="E61" i="13"/>
  <c r="L24" i="13"/>
  <c r="E24" i="13"/>
  <c r="L22" i="13"/>
  <c r="E22" i="13"/>
  <c r="L40" i="13"/>
  <c r="E40" i="13"/>
  <c r="L44" i="13"/>
  <c r="E44" i="13"/>
  <c r="E57" i="13"/>
  <c r="L42" i="13"/>
  <c r="E42" i="13"/>
  <c r="L32" i="13"/>
  <c r="E32" i="13"/>
  <c r="E70" i="13"/>
  <c r="E73" i="13"/>
  <c r="L38" i="13"/>
  <c r="E38" i="13"/>
  <c r="L37" i="13"/>
  <c r="E37" i="13"/>
  <c r="L39" i="13"/>
  <c r="E39" i="13"/>
  <c r="L31" i="13"/>
  <c r="E31" i="13"/>
  <c r="L28" i="13"/>
  <c r="E28" i="13"/>
  <c r="E89" i="13"/>
  <c r="E83" i="13"/>
  <c r="E55" i="13"/>
  <c r="L27" i="13"/>
  <c r="E27" i="13"/>
  <c r="E66" i="13"/>
  <c r="L20" i="13"/>
  <c r="E20" i="13"/>
  <c r="E79" i="13"/>
  <c r="L15" i="13"/>
  <c r="E15" i="13"/>
  <c r="L33" i="13"/>
  <c r="E33" i="13"/>
  <c r="L30" i="13"/>
  <c r="E30" i="13"/>
  <c r="L26" i="13"/>
  <c r="E26" i="13"/>
  <c r="L21" i="13"/>
  <c r="E21" i="13"/>
  <c r="E76" i="13"/>
  <c r="L34" i="13"/>
  <c r="E34" i="13"/>
  <c r="L17" i="13"/>
  <c r="E17" i="13"/>
  <c r="L19" i="13"/>
  <c r="E19" i="13"/>
  <c r="L12" i="13"/>
  <c r="E12" i="13"/>
  <c r="L16" i="13"/>
  <c r="E16" i="13"/>
  <c r="L14" i="13"/>
  <c r="E14" i="13"/>
  <c r="E50" i="13"/>
  <c r="L18" i="13"/>
  <c r="E18" i="13"/>
  <c r="AB12" i="13"/>
  <c r="L13" i="13"/>
  <c r="E13" i="13"/>
  <c r="AB11" i="13"/>
  <c r="L10" i="13"/>
  <c r="E10" i="13"/>
  <c r="E86" i="13"/>
  <c r="T7" i="13"/>
  <c r="S7" i="13"/>
  <c r="AE114" i="39"/>
  <c r="E75" i="39"/>
  <c r="E90" i="39"/>
  <c r="E44" i="39"/>
  <c r="E70" i="7"/>
  <c r="H29" i="3"/>
  <c r="E29" i="3"/>
  <c r="L45" i="7"/>
  <c r="L44" i="7"/>
  <c r="L42" i="7"/>
  <c r="L50" i="7"/>
  <c r="L47" i="7"/>
  <c r="L48" i="7"/>
  <c r="L39" i="7"/>
  <c r="L53" i="7"/>
  <c r="N53" i="7" s="1"/>
  <c r="O53" i="7" s="1"/>
  <c r="L24" i="7"/>
  <c r="L23" i="7"/>
  <c r="L55" i="7"/>
  <c r="L51" i="7"/>
  <c r="L52" i="7"/>
  <c r="M52" i="7" s="1"/>
  <c r="L56" i="7"/>
  <c r="M56" i="7" s="1"/>
  <c r="L57" i="7"/>
  <c r="M57" i="7" s="1"/>
  <c r="L29" i="7"/>
  <c r="L26" i="7"/>
  <c r="L11" i="7"/>
  <c r="L19" i="7"/>
  <c r="L38" i="7"/>
  <c r="L30" i="7"/>
  <c r="L54" i="7"/>
  <c r="L33" i="7"/>
  <c r="L21" i="7"/>
  <c r="L10" i="7"/>
  <c r="E11" i="7"/>
  <c r="E29" i="7"/>
  <c r="E9" i="3"/>
  <c r="E37" i="3"/>
  <c r="H33" i="3"/>
  <c r="E33" i="3"/>
  <c r="H9" i="3"/>
  <c r="AB11" i="7"/>
  <c r="V125" i="39"/>
  <c r="V126" i="39" s="1"/>
  <c r="AB11" i="5"/>
  <c r="AB12" i="5" s="1"/>
  <c r="AB11" i="41"/>
  <c r="AB12" i="41" s="1"/>
  <c r="AB11" i="42"/>
  <c r="AB12" i="42" s="1"/>
  <c r="AB50" i="12"/>
  <c r="AB48" i="12"/>
  <c r="AB49" i="12"/>
  <c r="AB43" i="12"/>
  <c r="AB44" i="12"/>
  <c r="AB45" i="12"/>
  <c r="AB46" i="12"/>
  <c r="AB47" i="12" s="1"/>
  <c r="AB12" i="12"/>
  <c r="AB13" i="12"/>
  <c r="AB14" i="12" s="1"/>
  <c r="AB15" i="12" s="1"/>
  <c r="AB16" i="12" s="1"/>
  <c r="AB17" i="12" s="1"/>
  <c r="AB18" i="12" s="1"/>
  <c r="AB19" i="12" s="1"/>
  <c r="AB20" i="12" s="1"/>
  <c r="AB21" i="12" s="1"/>
  <c r="AB22" i="12" s="1"/>
  <c r="AB23" i="12" s="1"/>
  <c r="AB24" i="12" s="1"/>
  <c r="AB25" i="12" s="1"/>
  <c r="AB26" i="12" s="1"/>
  <c r="AB27" i="12" s="1"/>
  <c r="AB28" i="12" s="1"/>
  <c r="AB29" i="12" s="1"/>
  <c r="AB30" i="12" s="1"/>
  <c r="AB31" i="12" s="1"/>
  <c r="AB32" i="12" s="1"/>
  <c r="AB33" i="12" s="1"/>
  <c r="AB34" i="12" s="1"/>
  <c r="AB35" i="12" s="1"/>
  <c r="AB36" i="12" s="1"/>
  <c r="AB37" i="12" s="1"/>
  <c r="AB38" i="12" s="1"/>
  <c r="AB39" i="12" s="1"/>
  <c r="AB40" i="12" s="1"/>
  <c r="AB41" i="12" s="1"/>
  <c r="AB42" i="12" s="1"/>
  <c r="AB11" i="12"/>
  <c r="I5" i="7"/>
  <c r="AE6" i="39" s="1"/>
  <c r="K108" i="7"/>
  <c r="AE116" i="39" s="1"/>
  <c r="J108" i="7"/>
  <c r="I108" i="7"/>
  <c r="K106" i="7"/>
  <c r="J103" i="7"/>
  <c r="J107" i="7" s="1"/>
  <c r="I103" i="7"/>
  <c r="J102" i="7"/>
  <c r="I102" i="7"/>
  <c r="E89" i="7"/>
  <c r="E33" i="7"/>
  <c r="E88" i="7"/>
  <c r="E87" i="7"/>
  <c r="E10" i="7"/>
  <c r="E84" i="7"/>
  <c r="E83" i="7"/>
  <c r="E81" i="7"/>
  <c r="E80" i="7"/>
  <c r="E45" i="7"/>
  <c r="E79" i="7"/>
  <c r="E78" i="7"/>
  <c r="E24" i="7"/>
  <c r="E21" i="7"/>
  <c r="E39" i="7"/>
  <c r="E76" i="7"/>
  <c r="E75" i="7"/>
  <c r="E73" i="7"/>
  <c r="E72" i="7"/>
  <c r="E71" i="7"/>
  <c r="E57" i="7"/>
  <c r="E69" i="7"/>
  <c r="E67" i="7"/>
  <c r="E66" i="7"/>
  <c r="E65" i="7"/>
  <c r="E64" i="7"/>
  <c r="E26" i="7"/>
  <c r="E62" i="7"/>
  <c r="E52" i="7"/>
  <c r="E61" i="7"/>
  <c r="E54" i="7"/>
  <c r="E59" i="7"/>
  <c r="E58" i="7"/>
  <c r="E55" i="7"/>
  <c r="L14" i="7"/>
  <c r="E14" i="7"/>
  <c r="E60" i="7"/>
  <c r="E48" i="7"/>
  <c r="E30" i="7"/>
  <c r="L20" i="7"/>
  <c r="E20" i="7"/>
  <c r="L40" i="7"/>
  <c r="E40" i="7"/>
  <c r="E50" i="7"/>
  <c r="L41" i="7"/>
  <c r="E41" i="7"/>
  <c r="E53" i="7"/>
  <c r="E44" i="7"/>
  <c r="E74" i="7"/>
  <c r="L36" i="7"/>
  <c r="E36" i="7"/>
  <c r="L31" i="7"/>
  <c r="E31" i="7"/>
  <c r="E82" i="7"/>
  <c r="E86" i="7"/>
  <c r="L32" i="7"/>
  <c r="E32" i="7"/>
  <c r="L37" i="7"/>
  <c r="E37" i="7"/>
  <c r="E38" i="7"/>
  <c r="L25" i="7"/>
  <c r="E25" i="7"/>
  <c r="E42" i="7"/>
  <c r="L34" i="7"/>
  <c r="E34" i="7"/>
  <c r="L43" i="7"/>
  <c r="E43" i="7"/>
  <c r="E51" i="7"/>
  <c r="L27" i="7"/>
  <c r="E27" i="7"/>
  <c r="L22" i="7"/>
  <c r="E22" i="7"/>
  <c r="L46" i="7"/>
  <c r="E46" i="7"/>
  <c r="L17" i="7"/>
  <c r="E17" i="7"/>
  <c r="E47" i="7"/>
  <c r="L49" i="7"/>
  <c r="E49" i="7"/>
  <c r="L35" i="7"/>
  <c r="E35" i="7"/>
  <c r="L16" i="7"/>
  <c r="E16" i="7"/>
  <c r="E85" i="7"/>
  <c r="E23" i="7"/>
  <c r="E19" i="7"/>
  <c r="L28" i="7"/>
  <c r="E28" i="7"/>
  <c r="L18" i="7"/>
  <c r="E18" i="7"/>
  <c r="E63" i="7"/>
  <c r="L15" i="7"/>
  <c r="E15" i="7"/>
  <c r="E68" i="7"/>
  <c r="E56" i="7"/>
  <c r="E77" i="7"/>
  <c r="L13" i="7"/>
  <c r="E13" i="7"/>
  <c r="L12" i="7"/>
  <c r="E12" i="7"/>
  <c r="B10" i="7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T7" i="7"/>
  <c r="S7" i="7"/>
  <c r="L41" i="12"/>
  <c r="L26" i="12"/>
  <c r="L33" i="12"/>
  <c r="L43" i="12"/>
  <c r="L27" i="12"/>
  <c r="L28" i="12"/>
  <c r="L39" i="12"/>
  <c r="L38" i="12"/>
  <c r="L45" i="12"/>
  <c r="L50" i="12"/>
  <c r="L48" i="12"/>
  <c r="M48" i="12" s="1"/>
  <c r="L49" i="12"/>
  <c r="M49" i="12" s="1"/>
  <c r="L10" i="12"/>
  <c r="L11" i="12"/>
  <c r="L13" i="12"/>
  <c r="L22" i="12"/>
  <c r="L12" i="12"/>
  <c r="L18" i="12"/>
  <c r="L29" i="12"/>
  <c r="L23" i="12"/>
  <c r="L19" i="12"/>
  <c r="L15" i="12"/>
  <c r="L36" i="12"/>
  <c r="L35" i="12"/>
  <c r="L24" i="12"/>
  <c r="L21" i="12"/>
  <c r="L47" i="12"/>
  <c r="L31" i="12"/>
  <c r="L17" i="12"/>
  <c r="L20" i="12"/>
  <c r="L37" i="12"/>
  <c r="L40" i="12"/>
  <c r="L46" i="12"/>
  <c r="L42" i="12"/>
  <c r="L51" i="12"/>
  <c r="L52" i="12"/>
  <c r="M52" i="12" s="1"/>
  <c r="L53" i="12"/>
  <c r="N53" i="12" s="1"/>
  <c r="O53" i="12" s="1"/>
  <c r="L14" i="12"/>
  <c r="E86" i="12"/>
  <c r="E52" i="12"/>
  <c r="E85" i="12"/>
  <c r="E23" i="12"/>
  <c r="E41" i="12"/>
  <c r="E84" i="12"/>
  <c r="E83" i="12"/>
  <c r="E82" i="12"/>
  <c r="E38" i="12"/>
  <c r="E14" i="12"/>
  <c r="E81" i="12"/>
  <c r="E37" i="12"/>
  <c r="E80" i="12"/>
  <c r="E78" i="12"/>
  <c r="E76" i="12"/>
  <c r="E75" i="12"/>
  <c r="E74" i="12"/>
  <c r="E43" i="12"/>
  <c r="E72" i="12"/>
  <c r="E17" i="12"/>
  <c r="E71" i="12"/>
  <c r="E70" i="12"/>
  <c r="E69" i="12"/>
  <c r="E68" i="12"/>
  <c r="E47" i="12"/>
  <c r="E67" i="12"/>
  <c r="E66" i="12"/>
  <c r="E65" i="12"/>
  <c r="E45" i="12"/>
  <c r="E64" i="12"/>
  <c r="E15" i="12"/>
  <c r="E63" i="12"/>
  <c r="E62" i="12"/>
  <c r="E61" i="12"/>
  <c r="E60" i="12"/>
  <c r="E59" i="12"/>
  <c r="E58" i="12"/>
  <c r="E57" i="12"/>
  <c r="E51" i="12"/>
  <c r="E55" i="12"/>
  <c r="E13" i="12"/>
  <c r="E54" i="12"/>
  <c r="E73" i="12"/>
  <c r="E79" i="12"/>
  <c r="E50" i="12"/>
  <c r="E56" i="12"/>
  <c r="E33" i="12"/>
  <c r="L44" i="12"/>
  <c r="E44" i="12"/>
  <c r="E46" i="12"/>
  <c r="E39" i="12"/>
  <c r="L30" i="12"/>
  <c r="E30" i="12"/>
  <c r="E28" i="12"/>
  <c r="E27" i="12"/>
  <c r="E31" i="12"/>
  <c r="E42" i="12"/>
  <c r="E24" i="12"/>
  <c r="E21" i="12"/>
  <c r="E48" i="12"/>
  <c r="E77" i="12"/>
  <c r="L34" i="12"/>
  <c r="E34" i="12"/>
  <c r="E26" i="12"/>
  <c r="L16" i="12"/>
  <c r="E16" i="12"/>
  <c r="E10" i="12"/>
  <c r="L25" i="12"/>
  <c r="E25" i="12"/>
  <c r="E35" i="12"/>
  <c r="E40" i="12"/>
  <c r="L32" i="12"/>
  <c r="E32" i="12"/>
  <c r="E36" i="12"/>
  <c r="E19" i="12"/>
  <c r="E20" i="12"/>
  <c r="E22" i="12"/>
  <c r="E29" i="12"/>
  <c r="E49" i="12"/>
  <c r="E11" i="12"/>
  <c r="E18" i="12"/>
  <c r="E53" i="12"/>
  <c r="E12" i="12"/>
  <c r="Y117" i="39"/>
  <c r="Y116" i="39"/>
  <c r="Y115" i="39"/>
  <c r="Y114" i="39"/>
  <c r="L39" i="42"/>
  <c r="E39" i="42"/>
  <c r="L10" i="42"/>
  <c r="E10" i="42"/>
  <c r="L11" i="42"/>
  <c r="E11" i="42"/>
  <c r="L12" i="42"/>
  <c r="E12" i="42"/>
  <c r="L13" i="42"/>
  <c r="E13" i="42"/>
  <c r="L14" i="42"/>
  <c r="E14" i="42"/>
  <c r="L15" i="42"/>
  <c r="E15" i="42"/>
  <c r="L16" i="42"/>
  <c r="E16" i="42"/>
  <c r="L17" i="42"/>
  <c r="E17" i="42"/>
  <c r="L18" i="42"/>
  <c r="E18" i="42"/>
  <c r="L19" i="42"/>
  <c r="E19" i="42"/>
  <c r="L20" i="42"/>
  <c r="E20" i="42"/>
  <c r="L21" i="42"/>
  <c r="E21" i="42"/>
  <c r="L22" i="42"/>
  <c r="E22" i="42"/>
  <c r="L23" i="42"/>
  <c r="E23" i="42"/>
  <c r="L24" i="42"/>
  <c r="E24" i="42"/>
  <c r="L25" i="42"/>
  <c r="E25" i="42"/>
  <c r="L26" i="42"/>
  <c r="E26" i="42"/>
  <c r="L27" i="42"/>
  <c r="E27" i="42"/>
  <c r="L29" i="42"/>
  <c r="E29" i="42"/>
  <c r="L28" i="42"/>
  <c r="E28" i="42"/>
  <c r="L30" i="42"/>
  <c r="E30" i="42"/>
  <c r="L31" i="42"/>
  <c r="E31" i="42"/>
  <c r="L32" i="42"/>
  <c r="E32" i="42"/>
  <c r="L33" i="42"/>
  <c r="E33" i="42"/>
  <c r="L34" i="42"/>
  <c r="E34" i="42"/>
  <c r="L35" i="42"/>
  <c r="E35" i="42"/>
  <c r="L36" i="42"/>
  <c r="E36" i="42"/>
  <c r="L37" i="42"/>
  <c r="E37" i="42"/>
  <c r="L38" i="42"/>
  <c r="E38" i="42"/>
  <c r="L40" i="42"/>
  <c r="E40" i="42"/>
  <c r="L41" i="42"/>
  <c r="N41" i="42"/>
  <c r="O41" i="42" s="1"/>
  <c r="L42" i="42"/>
  <c r="N42" i="42"/>
  <c r="O42" i="42" s="1"/>
  <c r="L43" i="42"/>
  <c r="N43" i="42"/>
  <c r="O43" i="42" s="1"/>
  <c r="L44" i="42"/>
  <c r="N44" i="42"/>
  <c r="O44" i="42" s="1"/>
  <c r="M39" i="42"/>
  <c r="M27" i="42"/>
  <c r="M17" i="42"/>
  <c r="E42" i="42"/>
  <c r="E43" i="42"/>
  <c r="E41" i="42"/>
  <c r="E44" i="42"/>
  <c r="E45" i="42"/>
  <c r="E46" i="42"/>
  <c r="E47" i="42"/>
  <c r="E48" i="42"/>
  <c r="E49" i="42"/>
  <c r="E50" i="42"/>
  <c r="E51" i="42"/>
  <c r="E52" i="42"/>
  <c r="E53" i="42"/>
  <c r="E54" i="42"/>
  <c r="E55" i="42"/>
  <c r="E56" i="42"/>
  <c r="E57" i="42"/>
  <c r="E58" i="42"/>
  <c r="E59" i="42"/>
  <c r="E60" i="42"/>
  <c r="E61" i="42"/>
  <c r="E62" i="42"/>
  <c r="E63" i="42"/>
  <c r="E64" i="42"/>
  <c r="E65" i="42"/>
  <c r="E66" i="42"/>
  <c r="E67" i="42"/>
  <c r="E68" i="42"/>
  <c r="E69" i="42"/>
  <c r="E70" i="42"/>
  <c r="E71" i="42"/>
  <c r="E72" i="42"/>
  <c r="E73" i="42"/>
  <c r="E74" i="42"/>
  <c r="E75" i="42"/>
  <c r="E76" i="42"/>
  <c r="E77" i="42"/>
  <c r="E78" i="42"/>
  <c r="E79" i="42"/>
  <c r="E80" i="42"/>
  <c r="E81" i="42"/>
  <c r="E82" i="42"/>
  <c r="E83" i="42"/>
  <c r="E84" i="42"/>
  <c r="E85" i="42"/>
  <c r="E86" i="42"/>
  <c r="E52" i="39"/>
  <c r="M15" i="42"/>
  <c r="M44" i="42"/>
  <c r="M33" i="42"/>
  <c r="M11" i="42"/>
  <c r="M10" i="42"/>
  <c r="M43" i="42"/>
  <c r="M28" i="42"/>
  <c r="M20" i="42"/>
  <c r="M23" i="42"/>
  <c r="M25" i="42"/>
  <c r="M26" i="42"/>
  <c r="M31" i="42"/>
  <c r="M34" i="42"/>
  <c r="M35" i="42"/>
  <c r="M36" i="42"/>
  <c r="M37" i="42"/>
  <c r="M38" i="42"/>
  <c r="M40" i="42"/>
  <c r="M42" i="42"/>
  <c r="M12" i="42"/>
  <c r="M13" i="42"/>
  <c r="M14" i="42"/>
  <c r="M16" i="42"/>
  <c r="M18" i="42"/>
  <c r="M21" i="42"/>
  <c r="M22" i="42"/>
  <c r="M24" i="42"/>
  <c r="M29" i="42"/>
  <c r="M30" i="42"/>
  <c r="M32" i="42"/>
  <c r="M41" i="42"/>
  <c r="M19" i="42"/>
  <c r="E68" i="3"/>
  <c r="H68" i="3"/>
  <c r="S3" i="40"/>
  <c r="P11" i="3"/>
  <c r="P12" i="3" s="1"/>
  <c r="Q21" i="3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Q34" i="3" s="1"/>
  <c r="Q35" i="3" s="1"/>
  <c r="Q36" i="3" s="1"/>
  <c r="Q37" i="3" s="1"/>
  <c r="Q38" i="3" s="1"/>
  <c r="Q39" i="3" s="1"/>
  <c r="Q40" i="3" s="1"/>
  <c r="Q41" i="3" s="1"/>
  <c r="Q42" i="3" s="1"/>
  <c r="Q43" i="3" s="1"/>
  <c r="Q44" i="3" s="1"/>
  <c r="Q45" i="3" s="1"/>
  <c r="Q46" i="3" s="1"/>
  <c r="Q47" i="3" s="1"/>
  <c r="Q48" i="3" s="1"/>
  <c r="Q49" i="3" s="1"/>
  <c r="Q50" i="3" s="1"/>
  <c r="Q51" i="3" s="1"/>
  <c r="Q52" i="3" s="1"/>
  <c r="Q53" i="3" s="1"/>
  <c r="Q54" i="3" s="1"/>
  <c r="Q55" i="3" s="1"/>
  <c r="Q56" i="3" s="1"/>
  <c r="Q57" i="3" s="1"/>
  <c r="Q58" i="3" s="1"/>
  <c r="Q59" i="3" s="1"/>
  <c r="Q60" i="3" s="1"/>
  <c r="Q61" i="3" s="1"/>
  <c r="Q62" i="3" s="1"/>
  <c r="Q63" i="3" s="1"/>
  <c r="Q64" i="3" s="1"/>
  <c r="Q65" i="3" s="1"/>
  <c r="Q66" i="3" s="1"/>
  <c r="Q67" i="3" s="1"/>
  <c r="Q68" i="3" s="1"/>
  <c r="Q69" i="3" s="1"/>
  <c r="Q70" i="3" s="1"/>
  <c r="Q71" i="3" s="1"/>
  <c r="Q72" i="3" s="1"/>
  <c r="Q73" i="3" s="1"/>
  <c r="Q74" i="3" s="1"/>
  <c r="Q75" i="3" s="1"/>
  <c r="Q76" i="3" s="1"/>
  <c r="Q77" i="3" s="1"/>
  <c r="Q78" i="3" s="1"/>
  <c r="Q79" i="3" s="1"/>
  <c r="Q80" i="3" s="1"/>
  <c r="Q81" i="3" s="1"/>
  <c r="Q82" i="3" s="1"/>
  <c r="Q83" i="3" s="1"/>
  <c r="Q84" i="3" s="1"/>
  <c r="Q85" i="3" s="1"/>
  <c r="S21" i="3"/>
  <c r="S22" i="3" s="1"/>
  <c r="S23" i="3" s="1"/>
  <c r="S24" i="3" s="1"/>
  <c r="S25" i="3" s="1"/>
  <c r="S26" i="3" s="1"/>
  <c r="S27" i="3" s="1"/>
  <c r="S28" i="3" s="1"/>
  <c r="S29" i="3" s="1"/>
  <c r="S30" i="3" s="1"/>
  <c r="S31" i="3" s="1"/>
  <c r="S32" i="3" s="1"/>
  <c r="S33" i="3" s="1"/>
  <c r="S34" i="3" s="1"/>
  <c r="S35" i="3" s="1"/>
  <c r="S36" i="3" s="1"/>
  <c r="S37" i="3" s="1"/>
  <c r="S38" i="3" s="1"/>
  <c r="S39" i="3" s="1"/>
  <c r="S40" i="3" s="1"/>
  <c r="S41" i="3" s="1"/>
  <c r="S42" i="3" s="1"/>
  <c r="S43" i="3" s="1"/>
  <c r="S44" i="3" s="1"/>
  <c r="S45" i="3" s="1"/>
  <c r="S46" i="3" s="1"/>
  <c r="S47" i="3" s="1"/>
  <c r="S48" i="3" s="1"/>
  <c r="S49" i="3" s="1"/>
  <c r="S50" i="3" s="1"/>
  <c r="S51" i="3" s="1"/>
  <c r="S52" i="3" s="1"/>
  <c r="S53" i="3" s="1"/>
  <c r="S54" i="3" s="1"/>
  <c r="S55" i="3" s="1"/>
  <c r="S56" i="3" s="1"/>
  <c r="S57" i="3" s="1"/>
  <c r="S58" i="3" s="1"/>
  <c r="S59" i="3" s="1"/>
  <c r="S60" i="3" s="1"/>
  <c r="S61" i="3" s="1"/>
  <c r="S62" i="3" s="1"/>
  <c r="S63" i="3" s="1"/>
  <c r="S64" i="3" s="1"/>
  <c r="S65" i="3" s="1"/>
  <c r="S66" i="3" s="1"/>
  <c r="S67" i="3" s="1"/>
  <c r="S68" i="3" s="1"/>
  <c r="S69" i="3" s="1"/>
  <c r="S70" i="3" s="1"/>
  <c r="S71" i="3" s="1"/>
  <c r="S72" i="3" s="1"/>
  <c r="S73" i="3" s="1"/>
  <c r="S74" i="3" s="1"/>
  <c r="S75" i="3" s="1"/>
  <c r="S76" i="3" s="1"/>
  <c r="S77" i="3" s="1"/>
  <c r="S78" i="3" s="1"/>
  <c r="S79" i="3" s="1"/>
  <c r="S80" i="3" s="1"/>
  <c r="H37" i="3"/>
  <c r="H36" i="3"/>
  <c r="B8" i="3"/>
  <c r="B9" i="3" s="1"/>
  <c r="B10" i="3" s="1"/>
  <c r="B11" i="3" s="1"/>
  <c r="M10" i="5"/>
  <c r="E40" i="39"/>
  <c r="E100" i="39"/>
  <c r="E99" i="39"/>
  <c r="E70" i="39"/>
  <c r="E49" i="39"/>
  <c r="E76" i="39"/>
  <c r="E39" i="39"/>
  <c r="E84" i="39"/>
  <c r="E98" i="39"/>
  <c r="E79" i="39"/>
  <c r="E97" i="39"/>
  <c r="E63" i="39"/>
  <c r="E96" i="39"/>
  <c r="E95" i="39"/>
  <c r="E66" i="39"/>
  <c r="E22" i="39"/>
  <c r="E87" i="39"/>
  <c r="E72" i="39"/>
  <c r="E59" i="39"/>
  <c r="E47" i="39"/>
  <c r="E94" i="39"/>
  <c r="E31" i="39"/>
  <c r="E74" i="39"/>
  <c r="E88" i="39"/>
  <c r="E93" i="39"/>
  <c r="E82" i="39"/>
  <c r="E56" i="39"/>
  <c r="E73" i="39"/>
  <c r="E80" i="39"/>
  <c r="E85" i="39"/>
  <c r="E92" i="39"/>
  <c r="E29" i="39"/>
  <c r="E62" i="39"/>
  <c r="E5" i="3"/>
  <c r="E7" i="3"/>
  <c r="E8" i="3"/>
  <c r="E11" i="3"/>
  <c r="E12" i="3"/>
  <c r="E14" i="3"/>
  <c r="E15" i="3"/>
  <c r="E16" i="3"/>
  <c r="E17" i="3"/>
  <c r="E18" i="3"/>
  <c r="E19" i="3"/>
  <c r="E20" i="3"/>
  <c r="E21" i="3"/>
  <c r="E23" i="3"/>
  <c r="E24" i="3"/>
  <c r="E25" i="3"/>
  <c r="E26" i="3"/>
  <c r="E27" i="3"/>
  <c r="E28" i="3"/>
  <c r="E30" i="3"/>
  <c r="E31" i="3"/>
  <c r="E34" i="3"/>
  <c r="E35" i="3"/>
  <c r="E36" i="3"/>
  <c r="E38" i="3"/>
  <c r="E42" i="3"/>
  <c r="E43" i="3"/>
  <c r="E44" i="3"/>
  <c r="E45" i="3"/>
  <c r="E46" i="3"/>
  <c r="E47" i="3"/>
  <c r="E48" i="3"/>
  <c r="E49" i="3"/>
  <c r="E50" i="3"/>
  <c r="E51" i="3"/>
  <c r="E53" i="3"/>
  <c r="E52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9" i="3"/>
  <c r="E70" i="3"/>
  <c r="E71" i="3"/>
  <c r="E72" i="3"/>
  <c r="E73" i="3"/>
  <c r="E74" i="3"/>
  <c r="E75" i="3"/>
  <c r="E77" i="3"/>
  <c r="E78" i="3"/>
  <c r="E79" i="3"/>
  <c r="E80" i="3"/>
  <c r="E81" i="3"/>
  <c r="E82" i="3"/>
  <c r="E83" i="3"/>
  <c r="E85" i="3"/>
  <c r="E86" i="3"/>
  <c r="E87" i="3"/>
  <c r="E88" i="3"/>
  <c r="E89" i="3"/>
  <c r="E92" i="3"/>
  <c r="E90" i="3"/>
  <c r="E91" i="3"/>
  <c r="E93" i="3"/>
  <c r="E94" i="3"/>
  <c r="E95" i="3"/>
  <c r="H65" i="3"/>
  <c r="H7" i="3"/>
  <c r="H8" i="3"/>
  <c r="H12" i="3"/>
  <c r="H15" i="3"/>
  <c r="H19" i="3"/>
  <c r="H20" i="3"/>
  <c r="H23" i="3"/>
  <c r="H24" i="3"/>
  <c r="H28" i="3"/>
  <c r="H30" i="3"/>
  <c r="H35" i="3"/>
  <c r="H38" i="3"/>
  <c r="H42" i="3"/>
  <c r="H43" i="3"/>
  <c r="H44" i="3"/>
  <c r="H47" i="3"/>
  <c r="H48" i="3"/>
  <c r="H49" i="3"/>
  <c r="H51" i="3"/>
  <c r="H52" i="3"/>
  <c r="H54" i="3"/>
  <c r="H56" i="3"/>
  <c r="H61" i="3"/>
  <c r="H62" i="3"/>
  <c r="H63" i="3"/>
  <c r="H69" i="3"/>
  <c r="H70" i="3"/>
  <c r="H71" i="3"/>
  <c r="H74" i="3"/>
  <c r="H77" i="3"/>
  <c r="H81" i="3"/>
  <c r="H87" i="3"/>
  <c r="H88" i="3"/>
  <c r="H89" i="3"/>
  <c r="H91" i="3"/>
  <c r="H93" i="3"/>
  <c r="E23" i="39"/>
  <c r="E54" i="39"/>
  <c r="E60" i="39"/>
  <c r="E65" i="39"/>
  <c r="E35" i="39"/>
  <c r="E37" i="39"/>
  <c r="E61" i="39"/>
  <c r="E53" i="39"/>
  <c r="E41" i="39"/>
  <c r="E51" i="39"/>
  <c r="E45" i="39"/>
  <c r="E43" i="39"/>
  <c r="H94" i="3"/>
  <c r="E50" i="39"/>
  <c r="E68" i="39"/>
  <c r="E36" i="39"/>
  <c r="E38" i="39"/>
  <c r="H95" i="3"/>
  <c r="E18" i="39"/>
  <c r="E64" i="39"/>
  <c r="E17" i="39"/>
  <c r="E55" i="39"/>
  <c r="E57" i="39"/>
  <c r="E33" i="39"/>
  <c r="E26" i="39"/>
  <c r="E58" i="39"/>
  <c r="E30" i="39"/>
  <c r="E48" i="39"/>
  <c r="E42" i="39"/>
  <c r="E46" i="39"/>
  <c r="E16" i="39"/>
  <c r="E19" i="39"/>
  <c r="E25" i="39"/>
  <c r="E11" i="39"/>
  <c r="E28" i="39"/>
  <c r="E32" i="39"/>
  <c r="E21" i="39"/>
  <c r="E14" i="39"/>
  <c r="E10" i="39"/>
  <c r="E12" i="39"/>
  <c r="E27" i="39"/>
  <c r="E13" i="39"/>
  <c r="E15" i="39"/>
  <c r="E71" i="39"/>
  <c r="E24" i="39"/>
  <c r="K108" i="12"/>
  <c r="AB116" i="39" s="1"/>
  <c r="J108" i="12"/>
  <c r="I108" i="12"/>
  <c r="K106" i="12"/>
  <c r="AB114" i="39"/>
  <c r="J103" i="12"/>
  <c r="J107" i="12" s="1"/>
  <c r="I103" i="12"/>
  <c r="I107" i="12" s="1"/>
  <c r="J102" i="12"/>
  <c r="I102" i="12"/>
  <c r="H92" i="3"/>
  <c r="H90" i="3"/>
  <c r="H86" i="3"/>
  <c r="H85" i="3"/>
  <c r="H83" i="3"/>
  <c r="H82" i="3"/>
  <c r="H80" i="3"/>
  <c r="H78" i="3"/>
  <c r="H75" i="3"/>
  <c r="H72" i="3"/>
  <c r="H64" i="3"/>
  <c r="H60" i="3"/>
  <c r="H59" i="3"/>
  <c r="H58" i="3"/>
  <c r="H57" i="3"/>
  <c r="H55" i="3"/>
  <c r="H53" i="3"/>
  <c r="H50" i="3"/>
  <c r="H46" i="3"/>
  <c r="H45" i="3"/>
  <c r="H34" i="3"/>
  <c r="H27" i="3"/>
  <c r="H26" i="3"/>
  <c r="H25" i="3"/>
  <c r="H21" i="3"/>
  <c r="H18" i="3"/>
  <c r="H17" i="3"/>
  <c r="H16" i="3"/>
  <c r="H14" i="3"/>
  <c r="H5" i="3"/>
  <c r="T7" i="12"/>
  <c r="S7" i="12"/>
  <c r="K108" i="42"/>
  <c r="I103" i="42"/>
  <c r="K103" i="42" s="1"/>
  <c r="Y110" i="39" s="1"/>
  <c r="J103" i="42"/>
  <c r="I102" i="42"/>
  <c r="J102" i="42"/>
  <c r="Y7" i="39"/>
  <c r="Y108" i="39" s="1"/>
  <c r="Y6" i="39"/>
  <c r="Y5" i="39"/>
  <c r="Y107" i="39" s="1"/>
  <c r="J108" i="42"/>
  <c r="I108" i="42"/>
  <c r="K106" i="42"/>
  <c r="J107" i="42"/>
  <c r="H79" i="3"/>
  <c r="H73" i="3"/>
  <c r="H66" i="3"/>
  <c r="H31" i="3"/>
  <c r="H11" i="3"/>
  <c r="B11" i="42"/>
  <c r="B12" i="42" s="1"/>
  <c r="B13" i="42" s="1"/>
  <c r="B14" i="42" s="1"/>
  <c r="B15" i="42" s="1"/>
  <c r="B16" i="42" s="1"/>
  <c r="B17" i="42" s="1"/>
  <c r="B18" i="42" s="1"/>
  <c r="B19" i="42" s="1"/>
  <c r="B20" i="42" s="1"/>
  <c r="B21" i="42" s="1"/>
  <c r="B22" i="42" s="1"/>
  <c r="B23" i="42" s="1"/>
  <c r="B24" i="42" s="1"/>
  <c r="B25" i="42" s="1"/>
  <c r="B26" i="42" s="1"/>
  <c r="B27" i="42" s="1"/>
  <c r="B28" i="42" s="1"/>
  <c r="B29" i="42" s="1"/>
  <c r="B30" i="42" s="1"/>
  <c r="B31" i="42" s="1"/>
  <c r="B32" i="42" s="1"/>
  <c r="B33" i="42" s="1"/>
  <c r="B34" i="42" s="1"/>
  <c r="B35" i="42" s="1"/>
  <c r="B36" i="42" s="1"/>
  <c r="B37" i="42" s="1"/>
  <c r="B38" i="42" s="1"/>
  <c r="B39" i="42" s="1"/>
  <c r="B40" i="42" s="1"/>
  <c r="B41" i="42" s="1"/>
  <c r="B42" i="42" s="1"/>
  <c r="B43" i="42" s="1"/>
  <c r="B44" i="42" s="1"/>
  <c r="B45" i="42" s="1"/>
  <c r="B46" i="42" s="1"/>
  <c r="B47" i="42" s="1"/>
  <c r="B48" i="42" s="1"/>
  <c r="B49" i="42" s="1"/>
  <c r="B50" i="42" s="1"/>
  <c r="B51" i="42" s="1"/>
  <c r="B52" i="42" s="1"/>
  <c r="B53" i="42" s="1"/>
  <c r="B54" i="42" s="1"/>
  <c r="B55" i="42" s="1"/>
  <c r="B56" i="42" s="1"/>
  <c r="B57" i="42" s="1"/>
  <c r="B58" i="42" s="1"/>
  <c r="B59" i="42" s="1"/>
  <c r="B60" i="42" s="1"/>
  <c r="B61" i="42" s="1"/>
  <c r="B62" i="42" s="1"/>
  <c r="B63" i="42" s="1"/>
  <c r="B64" i="42" s="1"/>
  <c r="B65" i="42" s="1"/>
  <c r="B66" i="42" s="1"/>
  <c r="B67" i="42" s="1"/>
  <c r="B68" i="42" s="1"/>
  <c r="B69" i="42" s="1"/>
  <c r="B70" i="42" s="1"/>
  <c r="B71" i="42" s="1"/>
  <c r="B72" i="42" s="1"/>
  <c r="B73" i="42" s="1"/>
  <c r="B74" i="42" s="1"/>
  <c r="B75" i="42" s="1"/>
  <c r="B76" i="42" s="1"/>
  <c r="B77" i="42" s="1"/>
  <c r="B78" i="42" s="1"/>
  <c r="B79" i="42" s="1"/>
  <c r="B80" i="42" s="1"/>
  <c r="B81" i="42" s="1"/>
  <c r="B82" i="42" s="1"/>
  <c r="B83" i="42" s="1"/>
  <c r="B84" i="42" s="1"/>
  <c r="B85" i="42" s="1"/>
  <c r="B86" i="42" s="1"/>
  <c r="T7" i="42"/>
  <c r="S7" i="42"/>
  <c r="M10" i="41"/>
  <c r="M11" i="41"/>
  <c r="M12" i="41"/>
  <c r="M13" i="41"/>
  <c r="M14" i="41"/>
  <c r="M15" i="41"/>
  <c r="M16" i="41"/>
  <c r="M17" i="41"/>
  <c r="M18" i="41"/>
  <c r="M19" i="41"/>
  <c r="M20" i="41"/>
  <c r="M21" i="41"/>
  <c r="M22" i="41"/>
  <c r="M23" i="41"/>
  <c r="M24" i="41"/>
  <c r="M25" i="41"/>
  <c r="M26" i="41"/>
  <c r="M27" i="41"/>
  <c r="M28" i="41"/>
  <c r="M29" i="41"/>
  <c r="M30" i="41"/>
  <c r="M31" i="41"/>
  <c r="M32" i="41"/>
  <c r="M33" i="41"/>
  <c r="M34" i="41"/>
  <c r="M35" i="41"/>
  <c r="M36" i="41"/>
  <c r="M37" i="41"/>
  <c r="M38" i="41"/>
  <c r="M39" i="41"/>
  <c r="M40" i="41"/>
  <c r="M41" i="41"/>
  <c r="M42" i="41"/>
  <c r="M43" i="41"/>
  <c r="M44" i="41"/>
  <c r="M45" i="41"/>
  <c r="M46" i="41"/>
  <c r="M47" i="41"/>
  <c r="M48" i="41"/>
  <c r="M49" i="41"/>
  <c r="V111" i="39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L44" i="41"/>
  <c r="L39" i="41"/>
  <c r="L47" i="41"/>
  <c r="N47" i="41"/>
  <c r="O47" i="41" s="1"/>
  <c r="B6" i="40"/>
  <c r="L43" i="41"/>
  <c r="L49" i="41"/>
  <c r="N49" i="41"/>
  <c r="O49" i="41" s="1"/>
  <c r="L42" i="41"/>
  <c r="N42" i="41"/>
  <c r="O42" i="41" s="1"/>
  <c r="L30" i="41"/>
  <c r="E30" i="41"/>
  <c r="K109" i="42"/>
  <c r="N43" i="41"/>
  <c r="O43" i="41" s="1"/>
  <c r="CP7" i="39"/>
  <c r="CP108" i="39" s="1"/>
  <c r="CP6" i="39"/>
  <c r="CM7" i="39"/>
  <c r="CM108" i="39" s="1"/>
  <c r="CM6" i="39"/>
  <c r="CJ7" i="39"/>
  <c r="CJ108" i="39" s="1"/>
  <c r="CJ6" i="39"/>
  <c r="CG7" i="39"/>
  <c r="CG108" i="39" s="1"/>
  <c r="CG6" i="39"/>
  <c r="CD7" i="39"/>
  <c r="CD108" i="39" s="1"/>
  <c r="CD6" i="39"/>
  <c r="CA7" i="39"/>
  <c r="CA108" i="39" s="1"/>
  <c r="CA6" i="39"/>
  <c r="BX7" i="39"/>
  <c r="BX108" i="39" s="1"/>
  <c r="BX6" i="39"/>
  <c r="BU7" i="39"/>
  <c r="BU108" i="39" s="1"/>
  <c r="BU6" i="39"/>
  <c r="BR7" i="39"/>
  <c r="BR108" i="39" s="1"/>
  <c r="BR6" i="39"/>
  <c r="BO7" i="39"/>
  <c r="BO108" i="39" s="1"/>
  <c r="BO6" i="39"/>
  <c r="BL7" i="39"/>
  <c r="BL108" i="39" s="1"/>
  <c r="BL6" i="39"/>
  <c r="BI7" i="39"/>
  <c r="BI108" i="39" s="1"/>
  <c r="BI6" i="39"/>
  <c r="BF7" i="39"/>
  <c r="BF108" i="39" s="1"/>
  <c r="BF6" i="39"/>
  <c r="BC7" i="39"/>
  <c r="BC108" i="39" s="1"/>
  <c r="BC6" i="39"/>
  <c r="CP5" i="39"/>
  <c r="CP107" i="39" s="1"/>
  <c r="CM5" i="39"/>
  <c r="CM107" i="39" s="1"/>
  <c r="CJ5" i="39"/>
  <c r="CJ107" i="39" s="1"/>
  <c r="CG5" i="39"/>
  <c r="CG107" i="39" s="1"/>
  <c r="CD5" i="39"/>
  <c r="CD107" i="39" s="1"/>
  <c r="CA5" i="39"/>
  <c r="CA107" i="39" s="1"/>
  <c r="BX5" i="39"/>
  <c r="BX107" i="39" s="1"/>
  <c r="BU5" i="39"/>
  <c r="BU107" i="39" s="1"/>
  <c r="BR5" i="39"/>
  <c r="BR107" i="39" s="1"/>
  <c r="BO5" i="39"/>
  <c r="BO107" i="39" s="1"/>
  <c r="BL5" i="39"/>
  <c r="BL107" i="39" s="1"/>
  <c r="BI5" i="39"/>
  <c r="BI107" i="39" s="1"/>
  <c r="BF5" i="39"/>
  <c r="BF107" i="39" s="1"/>
  <c r="BC5" i="39"/>
  <c r="BC107" i="39" s="1"/>
  <c r="T7" i="41"/>
  <c r="S7" i="41"/>
  <c r="L31" i="41"/>
  <c r="L27" i="41"/>
  <c r="E27" i="41"/>
  <c r="E31" i="41"/>
  <c r="E10" i="41"/>
  <c r="E85" i="41"/>
  <c r="E14" i="41"/>
  <c r="E84" i="41"/>
  <c r="E34" i="41"/>
  <c r="E32" i="41"/>
  <c r="E18" i="41"/>
  <c r="E83" i="41"/>
  <c r="E82" i="41"/>
  <c r="E81" i="41"/>
  <c r="E80" i="41"/>
  <c r="E79" i="41"/>
  <c r="E22" i="41"/>
  <c r="E78" i="41"/>
  <c r="E77" i="41"/>
  <c r="E76" i="41"/>
  <c r="E20" i="41"/>
  <c r="E75" i="41"/>
  <c r="E23" i="41"/>
  <c r="E74" i="41"/>
  <c r="E73" i="41"/>
  <c r="E12" i="41"/>
  <c r="E19" i="41"/>
  <c r="E16" i="41"/>
  <c r="E72" i="41"/>
  <c r="E44" i="41"/>
  <c r="E71" i="41"/>
  <c r="E13" i="41"/>
  <c r="E33" i="41"/>
  <c r="E29" i="41"/>
  <c r="E70" i="41"/>
  <c r="E69" i="41"/>
  <c r="E68" i="41"/>
  <c r="E67" i="41"/>
  <c r="E47" i="41"/>
  <c r="E66" i="41"/>
  <c r="E17" i="41"/>
  <c r="E65" i="41"/>
  <c r="E39" i="41"/>
  <c r="E28" i="41"/>
  <c r="E64" i="41"/>
  <c r="E41" i="41"/>
  <c r="E15" i="41"/>
  <c r="E43" i="41"/>
  <c r="E63" i="41"/>
  <c r="E62" i="41"/>
  <c r="E40" i="41"/>
  <c r="E24" i="41"/>
  <c r="E38" i="41"/>
  <c r="E36" i="41"/>
  <c r="E37" i="41"/>
  <c r="E46" i="41"/>
  <c r="E61" i="41"/>
  <c r="E60" i="41"/>
  <c r="E25" i="41"/>
  <c r="E59" i="41"/>
  <c r="E21" i="41"/>
  <c r="E58" i="41"/>
  <c r="E57" i="41"/>
  <c r="E45" i="41"/>
  <c r="E56" i="41"/>
  <c r="E49" i="41"/>
  <c r="E42" i="41"/>
  <c r="E55" i="41"/>
  <c r="E54" i="41"/>
  <c r="E53" i="41"/>
  <c r="E35" i="41"/>
  <c r="E52" i="41"/>
  <c r="E48" i="41"/>
  <c r="E51" i="41"/>
  <c r="E26" i="41"/>
  <c r="E11" i="41"/>
  <c r="E50" i="41"/>
  <c r="O34" i="5"/>
  <c r="O36" i="5"/>
  <c r="O37" i="5"/>
  <c r="O32" i="5"/>
  <c r="O33" i="5"/>
  <c r="O35" i="5"/>
  <c r="E29" i="5"/>
  <c r="E13" i="5"/>
  <c r="V7" i="39"/>
  <c r="V108" i="39" s="1"/>
  <c r="V6" i="39"/>
  <c r="V5" i="39"/>
  <c r="V107" i="39" s="1"/>
  <c r="K108" i="41"/>
  <c r="V116" i="39"/>
  <c r="J108" i="41"/>
  <c r="I108" i="41"/>
  <c r="K106" i="41"/>
  <c r="V114" i="39"/>
  <c r="J103" i="41"/>
  <c r="J107" i="41"/>
  <c r="I103" i="41"/>
  <c r="I107" i="41"/>
  <c r="J102" i="41"/>
  <c r="I102" i="41"/>
  <c r="L10" i="41"/>
  <c r="L14" i="41"/>
  <c r="L34" i="41"/>
  <c r="L32" i="41"/>
  <c r="L18" i="41"/>
  <c r="L22" i="41"/>
  <c r="L20" i="41"/>
  <c r="L23" i="41"/>
  <c r="L12" i="41"/>
  <c r="L19" i="41"/>
  <c r="L16" i="41"/>
  <c r="L13" i="41"/>
  <c r="L33" i="41"/>
  <c r="L29" i="41"/>
  <c r="L17" i="41"/>
  <c r="L28" i="41"/>
  <c r="L41" i="41"/>
  <c r="L15" i="41"/>
  <c r="L40" i="41"/>
  <c r="L24" i="41"/>
  <c r="L38" i="41"/>
  <c r="L36" i="41"/>
  <c r="L37" i="41"/>
  <c r="L46" i="41"/>
  <c r="L25" i="41"/>
  <c r="L21" i="41"/>
  <c r="L45" i="41"/>
  <c r="L35" i="41"/>
  <c r="L48" i="41"/>
  <c r="L26" i="41"/>
  <c r="L11" i="41"/>
  <c r="B11" i="41"/>
  <c r="B12" i="41"/>
  <c r="B13" i="41"/>
  <c r="B14" i="41"/>
  <c r="B15" i="41"/>
  <c r="B16" i="41"/>
  <c r="B17" i="41"/>
  <c r="B18" i="41"/>
  <c r="B19" i="41"/>
  <c r="B20" i="41"/>
  <c r="B21" i="41"/>
  <c r="B22" i="41"/>
  <c r="B23" i="41"/>
  <c r="E73" i="5"/>
  <c r="E74" i="5"/>
  <c r="E75" i="5"/>
  <c r="E28" i="5"/>
  <c r="E76" i="5"/>
  <c r="E77" i="5"/>
  <c r="E78" i="5"/>
  <c r="E79" i="5"/>
  <c r="E80" i="5"/>
  <c r="E35" i="5"/>
  <c r="E21" i="5"/>
  <c r="E15" i="5"/>
  <c r="E36" i="5"/>
  <c r="E81" i="5"/>
  <c r="E82" i="5"/>
  <c r="E83" i="5"/>
  <c r="E84" i="5"/>
  <c r="E41" i="5"/>
  <c r="E54" i="5"/>
  <c r="E55" i="5"/>
  <c r="E19" i="5"/>
  <c r="E56" i="5"/>
  <c r="E57" i="5"/>
  <c r="E17" i="5"/>
  <c r="E58" i="5"/>
  <c r="E59" i="5"/>
  <c r="E42" i="5"/>
  <c r="E49" i="5"/>
  <c r="E60" i="5"/>
  <c r="E61" i="5"/>
  <c r="E18" i="5"/>
  <c r="E16" i="5"/>
  <c r="E26" i="5"/>
  <c r="E63" i="5"/>
  <c r="E50" i="5"/>
  <c r="E62" i="5"/>
  <c r="E47" i="5"/>
  <c r="E30" i="5"/>
  <c r="E20" i="5"/>
  <c r="E64" i="5"/>
  <c r="E25" i="5"/>
  <c r="E52" i="5"/>
  <c r="E33" i="5"/>
  <c r="E12" i="5"/>
  <c r="E44" i="5"/>
  <c r="E53" i="5"/>
  <c r="E39" i="5"/>
  <c r="E65" i="5"/>
  <c r="E66" i="5"/>
  <c r="E38" i="5"/>
  <c r="E34" i="5"/>
  <c r="E43" i="5"/>
  <c r="E37" i="5"/>
  <c r="E23" i="5"/>
  <c r="E40" i="5"/>
  <c r="E24" i="5"/>
  <c r="E46" i="5"/>
  <c r="E10" i="5"/>
  <c r="E48" i="5"/>
  <c r="E67" i="5"/>
  <c r="E31" i="5"/>
  <c r="E68" i="5"/>
  <c r="E11" i="5"/>
  <c r="E27" i="5"/>
  <c r="E14" i="5"/>
  <c r="E69" i="5"/>
  <c r="E70" i="5"/>
  <c r="E32" i="5"/>
  <c r="E45" i="5"/>
  <c r="E51" i="5"/>
  <c r="E22" i="5"/>
  <c r="E71" i="5"/>
  <c r="E72" i="5"/>
  <c r="B24" i="41"/>
  <c r="B25" i="41"/>
  <c r="B26" i="41"/>
  <c r="B27" i="41"/>
  <c r="B28" i="41"/>
  <c r="B29" i="41"/>
  <c r="B30" i="41"/>
  <c r="B31" i="41"/>
  <c r="B32" i="41"/>
  <c r="B33" i="41"/>
  <c r="B34" i="41"/>
  <c r="B35" i="41"/>
  <c r="B36" i="41"/>
  <c r="B37" i="41"/>
  <c r="B38" i="41"/>
  <c r="B39" i="41"/>
  <c r="B40" i="41"/>
  <c r="B41" i="41"/>
  <c r="B42" i="41"/>
  <c r="B43" i="41"/>
  <c r="B44" i="41"/>
  <c r="B45" i="41"/>
  <c r="B46" i="41"/>
  <c r="B47" i="41"/>
  <c r="B48" i="41"/>
  <c r="B49" i="41"/>
  <c r="B50" i="41"/>
  <c r="B51" i="41"/>
  <c r="B52" i="41"/>
  <c r="B53" i="41"/>
  <c r="B54" i="41"/>
  <c r="B55" i="41"/>
  <c r="B56" i="41"/>
  <c r="B57" i="41"/>
  <c r="B58" i="41"/>
  <c r="B59" i="41"/>
  <c r="B60" i="41"/>
  <c r="B61" i="41"/>
  <c r="B62" i="41"/>
  <c r="B63" i="41"/>
  <c r="B64" i="41"/>
  <c r="B65" i="41"/>
  <c r="B66" i="41"/>
  <c r="B67" i="41"/>
  <c r="B68" i="41"/>
  <c r="B69" i="41"/>
  <c r="B70" i="41"/>
  <c r="B71" i="41"/>
  <c r="B72" i="41"/>
  <c r="B73" i="41"/>
  <c r="B74" i="41"/>
  <c r="B75" i="41"/>
  <c r="B76" i="41"/>
  <c r="B77" i="41"/>
  <c r="B78" i="41"/>
  <c r="B79" i="41"/>
  <c r="B80" i="41"/>
  <c r="B81" i="41"/>
  <c r="B82" i="41"/>
  <c r="B83" i="41"/>
  <c r="B84" i="41"/>
  <c r="B85" i="41"/>
  <c r="K102" i="41"/>
  <c r="V109" i="39"/>
  <c r="K107" i="41"/>
  <c r="V115" i="39"/>
  <c r="K103" i="41"/>
  <c r="V110" i="39"/>
  <c r="K109" i="41"/>
  <c r="V117" i="39"/>
  <c r="S22" i="40"/>
  <c r="S23" i="40" s="1"/>
  <c r="S24" i="40" s="1"/>
  <c r="S25" i="40" s="1"/>
  <c r="S26" i="40" s="1"/>
  <c r="S27" i="40" s="1"/>
  <c r="S28" i="40" s="1"/>
  <c r="S31" i="40" s="1"/>
  <c r="S32" i="40" s="1"/>
  <c r="S33" i="40" s="1"/>
  <c r="S34" i="40" s="1"/>
  <c r="S35" i="40" s="1"/>
  <c r="S36" i="40" s="1"/>
  <c r="S37" i="40" s="1"/>
  <c r="S38" i="40" s="1"/>
  <c r="S39" i="40" s="1"/>
  <c r="S40" i="40" s="1"/>
  <c r="S41" i="40" s="1"/>
  <c r="S43" i="40" s="1"/>
  <c r="S44" i="40" s="1"/>
  <c r="S45" i="40" s="1"/>
  <c r="S46" i="40" s="1"/>
  <c r="S47" i="40" s="1"/>
  <c r="S48" i="40" s="1"/>
  <c r="S49" i="40" s="1"/>
  <c r="S50" i="40" s="1"/>
  <c r="S51" i="40" s="1"/>
  <c r="S52" i="40" s="1"/>
  <c r="S53" i="40" s="1"/>
  <c r="S54" i="40" s="1"/>
  <c r="S55" i="40" s="1"/>
  <c r="S56" i="40" s="1"/>
  <c r="S57" i="40" s="1"/>
  <c r="S58" i="40" s="1"/>
  <c r="S59" i="40" s="1"/>
  <c r="S60" i="40" s="1"/>
  <c r="S61" i="40" s="1"/>
  <c r="S62" i="40" s="1"/>
  <c r="S63" i="40" s="1"/>
  <c r="S64" i="40" s="1"/>
  <c r="S65" i="40" s="1"/>
  <c r="S67" i="40" s="1"/>
  <c r="S68" i="40" s="1"/>
  <c r="S69" i="40" s="1"/>
  <c r="S70" i="40" s="1"/>
  <c r="S71" i="40" s="1"/>
  <c r="S72" i="40" s="1"/>
  <c r="S73" i="40" s="1"/>
  <c r="S74" i="40" s="1"/>
  <c r="S75" i="40" s="1"/>
  <c r="S76" i="40" s="1"/>
  <c r="S77" i="40" s="1"/>
  <c r="S80" i="40" s="1"/>
  <c r="S81" i="40" s="1"/>
  <c r="S82" i="40" s="1"/>
  <c r="S83" i="40" s="1"/>
  <c r="S84" i="40" s="1"/>
  <c r="S85" i="40" s="1"/>
  <c r="S86" i="40" s="1"/>
  <c r="S87" i="40" s="1"/>
  <c r="Q22" i="40"/>
  <c r="Q23" i="40" s="1"/>
  <c r="Q24" i="40" s="1"/>
  <c r="Q25" i="40" s="1"/>
  <c r="Q26" i="40" s="1"/>
  <c r="Q27" i="40" s="1"/>
  <c r="Q28" i="40" s="1"/>
  <c r="Q31" i="40" s="1"/>
  <c r="Q32" i="40" s="1"/>
  <c r="Q33" i="40" s="1"/>
  <c r="Q34" i="40" s="1"/>
  <c r="Q35" i="40" s="1"/>
  <c r="Q36" i="40" s="1"/>
  <c r="Q37" i="40" s="1"/>
  <c r="Q38" i="40" s="1"/>
  <c r="Q39" i="40" s="1"/>
  <c r="Q40" i="40" s="1"/>
  <c r="Q41" i="40" s="1"/>
  <c r="Q43" i="40" s="1"/>
  <c r="Q44" i="40" s="1"/>
  <c r="Q45" i="40" s="1"/>
  <c r="Q46" i="40" s="1"/>
  <c r="Q47" i="40" s="1"/>
  <c r="Q48" i="40" s="1"/>
  <c r="Q49" i="40" s="1"/>
  <c r="Q50" i="40" s="1"/>
  <c r="Q51" i="40" s="1"/>
  <c r="Q52" i="40" s="1"/>
  <c r="Q53" i="40" s="1"/>
  <c r="Q54" i="40" s="1"/>
  <c r="Q55" i="40" s="1"/>
  <c r="Q56" i="40" s="1"/>
  <c r="Q57" i="40" s="1"/>
  <c r="Q58" i="40" s="1"/>
  <c r="Q59" i="40" s="1"/>
  <c r="Q60" i="40" s="1"/>
  <c r="Q61" i="40" s="1"/>
  <c r="Q62" i="40" s="1"/>
  <c r="Q63" i="40" s="1"/>
  <c r="Q64" i="40" s="1"/>
  <c r="Q65" i="40" s="1"/>
  <c r="Q67" i="40" s="1"/>
  <c r="Q68" i="40" s="1"/>
  <c r="Q69" i="40" s="1"/>
  <c r="Q70" i="40" s="1"/>
  <c r="Q71" i="40" s="1"/>
  <c r="Q72" i="40" s="1"/>
  <c r="Q73" i="40" s="1"/>
  <c r="Q74" i="40" s="1"/>
  <c r="Q75" i="40" s="1"/>
  <c r="Q76" i="40" s="1"/>
  <c r="Q77" i="40" s="1"/>
  <c r="Q80" i="40" s="1"/>
  <c r="Q81" i="40" s="1"/>
  <c r="Q82" i="40" s="1"/>
  <c r="Q83" i="40" s="1"/>
  <c r="Q84" i="40" s="1"/>
  <c r="Q85" i="40" s="1"/>
  <c r="Q86" i="40" s="1"/>
  <c r="Q87" i="40" s="1"/>
  <c r="Q88" i="40" s="1"/>
  <c r="Q89" i="40" s="1"/>
  <c r="Q90" i="40" s="1"/>
  <c r="Q91" i="40" s="1"/>
  <c r="Q92" i="40" s="1"/>
  <c r="P11" i="40"/>
  <c r="P12" i="40" s="1"/>
  <c r="P13" i="40" s="1"/>
  <c r="P14" i="40" s="1"/>
  <c r="P15" i="40" s="1"/>
  <c r="P16" i="40" s="1"/>
  <c r="P17" i="40" s="1"/>
  <c r="P18" i="40" s="1"/>
  <c r="P20" i="40" s="1"/>
  <c r="P21" i="40" s="1"/>
  <c r="P22" i="40" s="1"/>
  <c r="P23" i="40" s="1"/>
  <c r="P24" i="40" s="1"/>
  <c r="P25" i="40" s="1"/>
  <c r="P26" i="40" s="1"/>
  <c r="P27" i="40" s="1"/>
  <c r="P28" i="40" s="1"/>
  <c r="P31" i="40" s="1"/>
  <c r="P32" i="40" s="1"/>
  <c r="P33" i="40" s="1"/>
  <c r="P34" i="40" s="1"/>
  <c r="P35" i="40" s="1"/>
  <c r="P36" i="40" s="1"/>
  <c r="P37" i="40" s="1"/>
  <c r="P38" i="40" s="1"/>
  <c r="P39" i="40" s="1"/>
  <c r="P40" i="40" s="1"/>
  <c r="P41" i="40" s="1"/>
  <c r="P43" i="40" s="1"/>
  <c r="P44" i="40" s="1"/>
  <c r="P45" i="40" s="1"/>
  <c r="P46" i="40" s="1"/>
  <c r="P47" i="40" s="1"/>
  <c r="P48" i="40" s="1"/>
  <c r="P49" i="40" s="1"/>
  <c r="P50" i="40" s="1"/>
  <c r="P51" i="40" s="1"/>
  <c r="P52" i="40" s="1"/>
  <c r="P53" i="40" s="1"/>
  <c r="P54" i="40" s="1"/>
  <c r="P55" i="40" s="1"/>
  <c r="P56" i="40" s="1"/>
  <c r="P57" i="40" s="1"/>
  <c r="P58" i="40" s="1"/>
  <c r="AK109" i="39"/>
  <c r="K106" i="5"/>
  <c r="S114" i="39"/>
  <c r="AZ7" i="39"/>
  <c r="AZ108" i="39" s="1"/>
  <c r="AZ6" i="39"/>
  <c r="AZ5" i="39"/>
  <c r="AZ107" i="39" s="1"/>
  <c r="AW7" i="39"/>
  <c r="AW108" i="39" s="1"/>
  <c r="AW6" i="39"/>
  <c r="AW5" i="39"/>
  <c r="AW107" i="39" s="1"/>
  <c r="AT7" i="39"/>
  <c r="AT108" i="39" s="1"/>
  <c r="AT6" i="39"/>
  <c r="AT5" i="39"/>
  <c r="AT107" i="39" s="1"/>
  <c r="AQ7" i="39"/>
  <c r="AQ108" i="39" s="1"/>
  <c r="AQ6" i="39"/>
  <c r="AQ5" i="39"/>
  <c r="AQ107" i="39" s="1"/>
  <c r="AN7" i="39"/>
  <c r="AN108" i="39" s="1"/>
  <c r="AN6" i="39"/>
  <c r="AN5" i="39"/>
  <c r="AN107" i="39" s="1"/>
  <c r="AK7" i="39"/>
  <c r="AK108" i="39" s="1"/>
  <c r="AK6" i="39"/>
  <c r="AK5" i="39"/>
  <c r="AK107" i="39" s="1"/>
  <c r="AH7" i="39"/>
  <c r="AH108" i="39" s="1"/>
  <c r="AH6" i="39"/>
  <c r="AH5" i="39"/>
  <c r="AH107" i="39" s="1"/>
  <c r="AE7" i="39"/>
  <c r="AE108" i="39" s="1"/>
  <c r="AE5" i="39"/>
  <c r="AE107" i="39" s="1"/>
  <c r="AB6" i="39"/>
  <c r="AB7" i="39"/>
  <c r="AB108" i="39" s="1"/>
  <c r="AB5" i="39"/>
  <c r="AB107" i="39" s="1"/>
  <c r="S7" i="39"/>
  <c r="S108" i="39" s="1"/>
  <c r="S6" i="39"/>
  <c r="S5" i="39"/>
  <c r="S107" i="39" s="1"/>
  <c r="K104" i="41"/>
  <c r="K108" i="5"/>
  <c r="I108" i="5"/>
  <c r="J108" i="5"/>
  <c r="J103" i="5"/>
  <c r="J107" i="5"/>
  <c r="I103" i="5"/>
  <c r="B13" i="39"/>
  <c r="B14" i="39" s="1"/>
  <c r="K103" i="5"/>
  <c r="S110" i="39"/>
  <c r="S116" i="39"/>
  <c r="I107" i="5"/>
  <c r="K107" i="5"/>
  <c r="S115" i="39"/>
  <c r="K109" i="5"/>
  <c r="S117" i="39"/>
  <c r="N44" i="41"/>
  <c r="O44" i="41" s="1"/>
  <c r="N46" i="41"/>
  <c r="O46" i="41" s="1"/>
  <c r="N48" i="41"/>
  <c r="O48" i="41" s="1"/>
  <c r="N45" i="41"/>
  <c r="O45" i="41" s="1"/>
  <c r="FC89" i="1"/>
  <c r="FE89" i="1"/>
  <c r="FC88" i="1"/>
  <c r="FE88" i="1"/>
  <c r="FC90" i="1"/>
  <c r="FE90" i="1"/>
  <c r="FC64" i="1"/>
  <c r="FE64" i="1"/>
  <c r="K124" i="1"/>
  <c r="FE73" i="1"/>
  <c r="FE45" i="1"/>
  <c r="FE78" i="1"/>
  <c r="FE40" i="1"/>
  <c r="FE95" i="1"/>
  <c r="FE46" i="1"/>
  <c r="FE43" i="1"/>
  <c r="FE71" i="1"/>
  <c r="FE94" i="1"/>
  <c r="FE77" i="1"/>
  <c r="FE38" i="1"/>
  <c r="FE52" i="1"/>
  <c r="FE69" i="1"/>
  <c r="FE93" i="1"/>
  <c r="FE66" i="1"/>
  <c r="FE85" i="1"/>
  <c r="FE76" i="1"/>
  <c r="FE75" i="1"/>
  <c r="FE92" i="1"/>
  <c r="FE29" i="1"/>
  <c r="FE91" i="1"/>
  <c r="FE97" i="1"/>
  <c r="FE27" i="1"/>
  <c r="FE57" i="1"/>
  <c r="FE33" i="1"/>
  <c r="FE70" i="1"/>
  <c r="FE63" i="1"/>
  <c r="FE56" i="1"/>
  <c r="FE32" i="1"/>
  <c r="FE96" i="1"/>
  <c r="FE39" i="1"/>
  <c r="FE51" i="1"/>
  <c r="FE53" i="1"/>
  <c r="FE36" i="1"/>
  <c r="FE65" i="1"/>
  <c r="FE50" i="1"/>
  <c r="FE84" i="1"/>
  <c r="FE59" i="1"/>
  <c r="FE83" i="1"/>
  <c r="FE74" i="1"/>
  <c r="FE68" i="1"/>
  <c r="FE67" i="1"/>
  <c r="FE44" i="1"/>
  <c r="FE28" i="1"/>
  <c r="FE41" i="1"/>
  <c r="FE31" i="1"/>
  <c r="FE49" i="1"/>
  <c r="FE34" i="1"/>
  <c r="FE72" i="1"/>
  <c r="FE58" i="1"/>
  <c r="FE55" i="1"/>
  <c r="FE62" i="1"/>
  <c r="FE82" i="1"/>
  <c r="FE35" i="1"/>
  <c r="FE47" i="1"/>
  <c r="FE81" i="1"/>
  <c r="FE30" i="1"/>
  <c r="FE42" i="1"/>
  <c r="FE61" i="1"/>
  <c r="FE87" i="1"/>
  <c r="FE48" i="1"/>
  <c r="FE80" i="1"/>
  <c r="FE60" i="1"/>
  <c r="FE86" i="1"/>
  <c r="FE79" i="1"/>
  <c r="FE37" i="1"/>
  <c r="FC73" i="1"/>
  <c r="FC45" i="1"/>
  <c r="FC78" i="1"/>
  <c r="FC40" i="1"/>
  <c r="FC95" i="1"/>
  <c r="FC46" i="1"/>
  <c r="FC43" i="1"/>
  <c r="FC71" i="1"/>
  <c r="FC94" i="1"/>
  <c r="FC77" i="1"/>
  <c r="FC38" i="1"/>
  <c r="FC52" i="1"/>
  <c r="FC69" i="1"/>
  <c r="FC93" i="1"/>
  <c r="FC66" i="1"/>
  <c r="FC85" i="1"/>
  <c r="FC76" i="1"/>
  <c r="FC75" i="1"/>
  <c r="FC92" i="1"/>
  <c r="FC29" i="1"/>
  <c r="FC91" i="1"/>
  <c r="FC97" i="1"/>
  <c r="FC27" i="1"/>
  <c r="FC57" i="1"/>
  <c r="FC33" i="1"/>
  <c r="FC70" i="1"/>
  <c r="FC63" i="1"/>
  <c r="FC56" i="1"/>
  <c r="FC32" i="1"/>
  <c r="FC96" i="1"/>
  <c r="FC39" i="1"/>
  <c r="FC51" i="1"/>
  <c r="FC53" i="1"/>
  <c r="FC36" i="1"/>
  <c r="FC65" i="1"/>
  <c r="FC50" i="1"/>
  <c r="FC84" i="1"/>
  <c r="FC59" i="1"/>
  <c r="FC83" i="1"/>
  <c r="FC74" i="1"/>
  <c r="FC68" i="1"/>
  <c r="FC67" i="1"/>
  <c r="FC44" i="1"/>
  <c r="FC28" i="1"/>
  <c r="FC41" i="1"/>
  <c r="FC31" i="1"/>
  <c r="FC49" i="1"/>
  <c r="FC34" i="1"/>
  <c r="FC72" i="1"/>
  <c r="FC58" i="1"/>
  <c r="FC55" i="1"/>
  <c r="FC62" i="1"/>
  <c r="FC82" i="1"/>
  <c r="FC35" i="1"/>
  <c r="FC47" i="1"/>
  <c r="FC81" i="1"/>
  <c r="FC30" i="1"/>
  <c r="FC42" i="1"/>
  <c r="FC61" i="1"/>
  <c r="FC87" i="1"/>
  <c r="FC48" i="1"/>
  <c r="FC80" i="1"/>
  <c r="FC60" i="1"/>
  <c r="FC86" i="1"/>
  <c r="FC79" i="1"/>
  <c r="FC37" i="1"/>
  <c r="FE54" i="1"/>
  <c r="FC54" i="1"/>
  <c r="EI105" i="1"/>
  <c r="EF101" i="1"/>
  <c r="EF105" i="1"/>
  <c r="EE101" i="1"/>
  <c r="EE105" i="1"/>
  <c r="EF100" i="1"/>
  <c r="EE100" i="1"/>
  <c r="EF99" i="1"/>
  <c r="EE99" i="1"/>
  <c r="EF107" i="1"/>
  <c r="EF102" i="1"/>
  <c r="EE102" i="1"/>
  <c r="EF103" i="1"/>
  <c r="EF106" i="1"/>
  <c r="DQ107" i="1"/>
  <c r="CR107" i="1"/>
  <c r="CM107" i="1"/>
  <c r="CH107" i="1"/>
  <c r="EA101" i="1"/>
  <c r="EA105" i="1"/>
  <c r="DZ101" i="1"/>
  <c r="DZ102" i="1"/>
  <c r="DV101" i="1"/>
  <c r="DV102" i="1"/>
  <c r="DU101" i="1"/>
  <c r="DU102" i="1"/>
  <c r="DQ101" i="1"/>
  <c r="DQ102" i="1"/>
  <c r="DP101" i="1"/>
  <c r="DP105" i="1"/>
  <c r="DL101" i="1"/>
  <c r="DL105" i="1"/>
  <c r="DK101" i="1"/>
  <c r="DK105" i="1"/>
  <c r="DG101" i="1"/>
  <c r="DG102" i="1"/>
  <c r="DF101" i="1"/>
  <c r="DB101" i="1"/>
  <c r="DB102" i="1"/>
  <c r="DA101" i="1"/>
  <c r="DA105" i="1"/>
  <c r="CW101" i="1"/>
  <c r="CW105" i="1"/>
  <c r="CV101" i="1"/>
  <c r="CV105" i="1"/>
  <c r="CR101" i="1"/>
  <c r="CR102" i="1"/>
  <c r="CQ101" i="1"/>
  <c r="CQ105" i="1"/>
  <c r="CM101" i="1"/>
  <c r="CM105" i="1"/>
  <c r="CL101" i="1"/>
  <c r="CL105" i="1"/>
  <c r="CH101" i="1"/>
  <c r="CH102" i="1"/>
  <c r="CG101" i="1"/>
  <c r="CC101" i="1"/>
  <c r="CB101" i="1"/>
  <c r="CB102" i="1"/>
  <c r="BX101" i="1"/>
  <c r="BW101" i="1"/>
  <c r="BW102" i="1"/>
  <c r="BS101" i="1"/>
  <c r="BS102" i="1"/>
  <c r="BR101" i="1"/>
  <c r="BN101" i="1"/>
  <c r="BN105" i="1"/>
  <c r="BM101" i="1"/>
  <c r="BM105" i="1"/>
  <c r="BI101" i="1"/>
  <c r="BI105" i="1"/>
  <c r="BH101" i="1"/>
  <c r="BH105" i="1"/>
  <c r="BD101" i="1"/>
  <c r="BD102" i="1"/>
  <c r="BC101" i="1"/>
  <c r="BC105" i="1"/>
  <c r="AY101" i="1"/>
  <c r="AY105" i="1"/>
  <c r="AX101" i="1"/>
  <c r="AX105" i="1"/>
  <c r="AT101" i="1"/>
  <c r="AT102" i="1"/>
  <c r="AS101" i="1"/>
  <c r="AS105" i="1"/>
  <c r="AO101" i="1"/>
  <c r="AO105" i="1"/>
  <c r="AN101" i="1"/>
  <c r="AN102" i="1"/>
  <c r="AJ101" i="1"/>
  <c r="AJ102" i="1"/>
  <c r="AI101" i="1"/>
  <c r="AI102" i="1"/>
  <c r="AE101" i="1"/>
  <c r="AE105" i="1"/>
  <c r="AD101" i="1"/>
  <c r="AD105" i="1"/>
  <c r="Z101" i="1"/>
  <c r="Z105" i="1"/>
  <c r="Y101" i="1"/>
  <c r="Y102" i="1"/>
  <c r="U101" i="1"/>
  <c r="U102" i="1"/>
  <c r="T101" i="1"/>
  <c r="T105" i="1"/>
  <c r="P101" i="1"/>
  <c r="P105" i="1"/>
  <c r="O101" i="1"/>
  <c r="O105" i="1"/>
  <c r="K101" i="1"/>
  <c r="K102" i="1"/>
  <c r="J101" i="1"/>
  <c r="F101" i="1"/>
  <c r="F102" i="1"/>
  <c r="E101" i="1"/>
  <c r="E102" i="1"/>
  <c r="EA100" i="1"/>
  <c r="DZ100" i="1"/>
  <c r="DV100" i="1"/>
  <c r="DU100" i="1"/>
  <c r="DQ100" i="1"/>
  <c r="DP100" i="1"/>
  <c r="DL100" i="1"/>
  <c r="DK100" i="1"/>
  <c r="DG100" i="1"/>
  <c r="DF100" i="1"/>
  <c r="DB100" i="1"/>
  <c r="DA100" i="1"/>
  <c r="CW100" i="1"/>
  <c r="CV100" i="1"/>
  <c r="CR100" i="1"/>
  <c r="CQ100" i="1"/>
  <c r="CM100" i="1"/>
  <c r="CL100" i="1"/>
  <c r="CH100" i="1"/>
  <c r="CG100" i="1"/>
  <c r="CC100" i="1"/>
  <c r="CB100" i="1"/>
  <c r="BX100" i="1"/>
  <c r="BW100" i="1"/>
  <c r="BS100" i="1"/>
  <c r="BR100" i="1"/>
  <c r="BN100" i="1"/>
  <c r="BM100" i="1"/>
  <c r="BI100" i="1"/>
  <c r="BH100" i="1"/>
  <c r="BD100" i="1"/>
  <c r="BC100" i="1"/>
  <c r="AY100" i="1"/>
  <c r="AX100" i="1"/>
  <c r="AT100" i="1"/>
  <c r="AS100" i="1"/>
  <c r="AO100" i="1"/>
  <c r="AN100" i="1"/>
  <c r="AJ100" i="1"/>
  <c r="AI100" i="1"/>
  <c r="AE100" i="1"/>
  <c r="AD100" i="1"/>
  <c r="Z100" i="1"/>
  <c r="Y100" i="1"/>
  <c r="U100" i="1"/>
  <c r="T100" i="1"/>
  <c r="P100" i="1"/>
  <c r="O100" i="1"/>
  <c r="K100" i="1"/>
  <c r="J100" i="1"/>
  <c r="F100" i="1"/>
  <c r="E100" i="1"/>
  <c r="EA99" i="1"/>
  <c r="DZ99" i="1"/>
  <c r="DV99" i="1"/>
  <c r="DU99" i="1"/>
  <c r="DQ99" i="1"/>
  <c r="DP99" i="1"/>
  <c r="DL99" i="1"/>
  <c r="DK99" i="1"/>
  <c r="DG99" i="1"/>
  <c r="DF99" i="1"/>
  <c r="DB99" i="1"/>
  <c r="DA99" i="1"/>
  <c r="CW99" i="1"/>
  <c r="CV99" i="1"/>
  <c r="CR99" i="1"/>
  <c r="CQ99" i="1"/>
  <c r="CM99" i="1"/>
  <c r="CL99" i="1"/>
  <c r="CH99" i="1"/>
  <c r="CG99" i="1"/>
  <c r="CC99" i="1"/>
  <c r="CB99" i="1"/>
  <c r="BX99" i="1"/>
  <c r="BW99" i="1"/>
  <c r="BS99" i="1"/>
  <c r="BR99" i="1"/>
  <c r="BN99" i="1"/>
  <c r="BM99" i="1"/>
  <c r="BI99" i="1"/>
  <c r="BH99" i="1"/>
  <c r="BD99" i="1"/>
  <c r="BC99" i="1"/>
  <c r="AY99" i="1"/>
  <c r="AX99" i="1"/>
  <c r="AT99" i="1"/>
  <c r="AS99" i="1"/>
  <c r="AO99" i="1"/>
  <c r="AN99" i="1"/>
  <c r="AJ99" i="1"/>
  <c r="AI99" i="1"/>
  <c r="AE99" i="1"/>
  <c r="AD99" i="1"/>
  <c r="Z99" i="1"/>
  <c r="Y99" i="1"/>
  <c r="U99" i="1"/>
  <c r="T99" i="1"/>
  <c r="P99" i="1"/>
  <c r="O99" i="1"/>
  <c r="K99" i="1"/>
  <c r="J99" i="1"/>
  <c r="F99" i="1"/>
  <c r="E99" i="1"/>
  <c r="CC107" i="1"/>
  <c r="BS107" i="1"/>
  <c r="BX107" i="1"/>
  <c r="EX106" i="1"/>
  <c r="FH28" i="1"/>
  <c r="FH29" i="1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K132" i="1"/>
  <c r="L132" i="1" s="1"/>
  <c r="K133" i="1" s="1"/>
  <c r="BN107" i="1"/>
  <c r="BI107" i="1"/>
  <c r="BD107" i="1"/>
  <c r="AY107" i="1"/>
  <c r="AT107" i="1"/>
  <c r="AO107" i="1"/>
  <c r="AJ107" i="1"/>
  <c r="AE107" i="1"/>
  <c r="Z107" i="1"/>
  <c r="U107" i="1"/>
  <c r="K107" i="1"/>
  <c r="DG107" i="1"/>
  <c r="DB107" i="1"/>
  <c r="CW107" i="1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P107" i="1"/>
  <c r="K102" i="5"/>
  <c r="F107" i="1"/>
  <c r="K130" i="1" s="1"/>
  <c r="EI89" i="1"/>
  <c r="EI90" i="1"/>
  <c r="EI47" i="1"/>
  <c r="FH30" i="1"/>
  <c r="FH31" i="1"/>
  <c r="FH32" i="1"/>
  <c r="FH33" i="1"/>
  <c r="FH34" i="1"/>
  <c r="FH35" i="1"/>
  <c r="FH36" i="1"/>
  <c r="FH37" i="1"/>
  <c r="FH38" i="1"/>
  <c r="EI42" i="1"/>
  <c r="EI87" i="1"/>
  <c r="EI76" i="1"/>
  <c r="EI27" i="1"/>
  <c r="EI37" i="1"/>
  <c r="EI53" i="1"/>
  <c r="EI61" i="1"/>
  <c r="EI62" i="1"/>
  <c r="EI31" i="1"/>
  <c r="EI46" i="1"/>
  <c r="EI49" i="1"/>
  <c r="EI38" i="1"/>
  <c r="EI35" i="1"/>
  <c r="EI48" i="1"/>
  <c r="EI74" i="1"/>
  <c r="EI92" i="1"/>
  <c r="EI39" i="1"/>
  <c r="EI81" i="1"/>
  <c r="EI65" i="1"/>
  <c r="EI56" i="1"/>
  <c r="EI54" i="1"/>
  <c r="EI57" i="1"/>
  <c r="EI75" i="1"/>
  <c r="EI67" i="1"/>
  <c r="EI84" i="1"/>
  <c r="EI32" i="1"/>
  <c r="EI85" i="1"/>
  <c r="EI29" i="1"/>
  <c r="EI97" i="1"/>
  <c r="EI58" i="1"/>
  <c r="EI83" i="1"/>
  <c r="EI79" i="1"/>
  <c r="EI70" i="1"/>
  <c r="EI59" i="1"/>
  <c r="EI51" i="1"/>
  <c r="EI95" i="1"/>
  <c r="EI86" i="1"/>
  <c r="EI71" i="1"/>
  <c r="EI63" i="1"/>
  <c r="EI96" i="1"/>
  <c r="EI52" i="1"/>
  <c r="EI64" i="1"/>
  <c r="EI94" i="1"/>
  <c r="EI30" i="1"/>
  <c r="EI34" i="1"/>
  <c r="EI50" i="1"/>
  <c r="EI41" i="1"/>
  <c r="EI33" i="1"/>
  <c r="EI72" i="1"/>
  <c r="EI45" i="1"/>
  <c r="EI66" i="1"/>
  <c r="EI69" i="1"/>
  <c r="EI93" i="1"/>
  <c r="EI91" i="1"/>
  <c r="EI28" i="1"/>
  <c r="EI60" i="1"/>
  <c r="EI80" i="1"/>
  <c r="EI43" i="1"/>
  <c r="EI82" i="1"/>
  <c r="EI73" i="1"/>
  <c r="EI40" i="1"/>
  <c r="EI77" i="1"/>
  <c r="EI36" i="1"/>
  <c r="EI55" i="1"/>
  <c r="EI44" i="1"/>
  <c r="EI78" i="1"/>
  <c r="EI68" i="1"/>
  <c r="EI88" i="1"/>
  <c r="Z102" i="1"/>
  <c r="AC34" i="1"/>
  <c r="EA107" i="1"/>
  <c r="I96" i="1"/>
  <c r="I54" i="1"/>
  <c r="I85" i="1"/>
  <c r="AT105" i="1"/>
  <c r="AT106" i="1"/>
  <c r="U105" i="1"/>
  <c r="U106" i="1"/>
  <c r="I51" i="1"/>
  <c r="DV107" i="1"/>
  <c r="DY82" i="1"/>
  <c r="I63" i="1"/>
  <c r="I58" i="1"/>
  <c r="I31" i="1"/>
  <c r="DU105" i="1"/>
  <c r="I57" i="1"/>
  <c r="I45" i="1"/>
  <c r="DB105" i="1"/>
  <c r="DB106" i="1"/>
  <c r="I60" i="1"/>
  <c r="I49" i="1"/>
  <c r="I38" i="1"/>
  <c r="Y105" i="1"/>
  <c r="Z106" i="1"/>
  <c r="I72" i="1"/>
  <c r="DP102" i="1"/>
  <c r="DT34" i="1"/>
  <c r="AJ103" i="1"/>
  <c r="DQ105" i="1"/>
  <c r="DQ106" i="1"/>
  <c r="I42" i="1"/>
  <c r="I41" i="1"/>
  <c r="DQ103" i="1"/>
  <c r="I33" i="1"/>
  <c r="BC102" i="1"/>
  <c r="BG51" i="1"/>
  <c r="DA102" i="1"/>
  <c r="DE91" i="1"/>
  <c r="I79" i="1"/>
  <c r="I34" i="1"/>
  <c r="I80" i="1"/>
  <c r="I30" i="1"/>
  <c r="I27" i="1"/>
  <c r="I71" i="1"/>
  <c r="I37" i="1"/>
  <c r="I48" i="1"/>
  <c r="I29" i="1"/>
  <c r="DK102" i="1"/>
  <c r="AD102" i="1"/>
  <c r="I66" i="1"/>
  <c r="I52" i="1"/>
  <c r="I61" i="1"/>
  <c r="I39" i="1"/>
  <c r="I44" i="1"/>
  <c r="I35" i="1"/>
  <c r="CB105" i="1"/>
  <c r="I78" i="1"/>
  <c r="I46" i="1"/>
  <c r="I50" i="1"/>
  <c r="I70" i="1"/>
  <c r="CQ102" i="1"/>
  <c r="CU47" i="1"/>
  <c r="BM102" i="1"/>
  <c r="AY106" i="1"/>
  <c r="BI106" i="1"/>
  <c r="BS103" i="1"/>
  <c r="I92" i="1"/>
  <c r="AE102" i="1"/>
  <c r="AT103" i="1"/>
  <c r="P103" i="1"/>
  <c r="DG105" i="1"/>
  <c r="BH102" i="1"/>
  <c r="CM102" i="1"/>
  <c r="DZ105" i="1"/>
  <c r="EA106" i="1"/>
  <c r="CR103" i="1"/>
  <c r="DY27" i="1"/>
  <c r="DY47" i="1"/>
  <c r="O102" i="1"/>
  <c r="AX102" i="1"/>
  <c r="K103" i="1"/>
  <c r="BI103" i="1"/>
  <c r="CH103" i="1"/>
  <c r="DG103" i="1"/>
  <c r="AJ105" i="1"/>
  <c r="DY29" i="1"/>
  <c r="DY85" i="1"/>
  <c r="AN105" i="1"/>
  <c r="AO106" i="1"/>
  <c r="DY36" i="1"/>
  <c r="DY84" i="1"/>
  <c r="DY83" i="1"/>
  <c r="DY40" i="1"/>
  <c r="CW103" i="1"/>
  <c r="DY52" i="1"/>
  <c r="DY55" i="1"/>
  <c r="DY69" i="1"/>
  <c r="CC103" i="1"/>
  <c r="DB103" i="1"/>
  <c r="EA103" i="1"/>
  <c r="AS102" i="1"/>
  <c r="AW39" i="1"/>
  <c r="BN106" i="1"/>
  <c r="CM106" i="1"/>
  <c r="DY59" i="1"/>
  <c r="I91" i="1"/>
  <c r="I69" i="1"/>
  <c r="I36" i="1"/>
  <c r="I40" i="1"/>
  <c r="I97" i="1"/>
  <c r="BW105" i="1"/>
  <c r="DY80" i="1"/>
  <c r="DY32" i="1"/>
  <c r="DY67" i="1"/>
  <c r="I47" i="1"/>
  <c r="I73" i="1"/>
  <c r="I93" i="1"/>
  <c r="I83" i="1"/>
  <c r="I64" i="1"/>
  <c r="CH105" i="1"/>
  <c r="P106" i="1"/>
  <c r="E105" i="1"/>
  <c r="CW106" i="1"/>
  <c r="DY71" i="1"/>
  <c r="DY76" i="1"/>
  <c r="DY87" i="1"/>
  <c r="I62" i="1"/>
  <c r="I68" i="1"/>
  <c r="I59" i="1"/>
  <c r="I28" i="1"/>
  <c r="I81" i="1"/>
  <c r="DV105" i="1"/>
  <c r="AC61" i="1"/>
  <c r="AC37" i="1"/>
  <c r="DY49" i="1"/>
  <c r="DY33" i="1"/>
  <c r="DY78" i="1"/>
  <c r="DY60" i="1"/>
  <c r="DY48" i="1"/>
  <c r="DY94" i="1"/>
  <c r="DY39" i="1"/>
  <c r="DY65" i="1"/>
  <c r="AO102" i="1"/>
  <c r="AR41" i="1"/>
  <c r="DV103" i="1"/>
  <c r="AY102" i="1"/>
  <c r="BS105" i="1"/>
  <c r="AC42" i="1"/>
  <c r="F103" i="1"/>
  <c r="BD105" i="1"/>
  <c r="BD106" i="1"/>
  <c r="CV102" i="1"/>
  <c r="DY68" i="1"/>
  <c r="DY96" i="1"/>
  <c r="DY31" i="1"/>
  <c r="DY81" i="1"/>
  <c r="DY56" i="1"/>
  <c r="DY75" i="1"/>
  <c r="DY34" i="1"/>
  <c r="DY38" i="1"/>
  <c r="DY74" i="1"/>
  <c r="F105" i="1"/>
  <c r="DY62" i="1"/>
  <c r="DY72" i="1"/>
  <c r="DY57" i="1"/>
  <c r="DY51" i="1"/>
  <c r="DY58" i="1"/>
  <c r="DY70" i="1"/>
  <c r="DY46" i="1"/>
  <c r="DY44" i="1"/>
  <c r="CR105" i="1"/>
  <c r="CR106" i="1"/>
  <c r="DY66" i="1"/>
  <c r="DY43" i="1"/>
  <c r="DY61" i="1"/>
  <c r="DY45" i="1"/>
  <c r="DY73" i="1"/>
  <c r="DY97" i="1"/>
  <c r="DY30" i="1"/>
  <c r="DY53" i="1"/>
  <c r="T102" i="1"/>
  <c r="X79" i="1"/>
  <c r="DL102" i="1"/>
  <c r="U103" i="1"/>
  <c r="K105" i="1"/>
  <c r="DY42" i="1"/>
  <c r="DY64" i="1"/>
  <c r="DY41" i="1"/>
  <c r="DY93" i="1"/>
  <c r="DY63" i="1"/>
  <c r="P102" i="1"/>
  <c r="AM83" i="1"/>
  <c r="AM35" i="1"/>
  <c r="AM54" i="1"/>
  <c r="AM44" i="1"/>
  <c r="AM59" i="1"/>
  <c r="AM88" i="1"/>
  <c r="AM62" i="1"/>
  <c r="AM87" i="1"/>
  <c r="AM58" i="1"/>
  <c r="AM31" i="1"/>
  <c r="AM92" i="1"/>
  <c r="AM29" i="1"/>
  <c r="AM48" i="1"/>
  <c r="AM80" i="1"/>
  <c r="AM51" i="1"/>
  <c r="AM41" i="1"/>
  <c r="AM47" i="1"/>
  <c r="AM27" i="1"/>
  <c r="AM39" i="1"/>
  <c r="AM63" i="1"/>
  <c r="AM96" i="1"/>
  <c r="AM57" i="1"/>
  <c r="AM60" i="1"/>
  <c r="AM33" i="1"/>
  <c r="AM49" i="1"/>
  <c r="AM40" i="1"/>
  <c r="AM56" i="1"/>
  <c r="AM93" i="1"/>
  <c r="AM81" i="1"/>
  <c r="AM97" i="1"/>
  <c r="AM73" i="1"/>
  <c r="AM66" i="1"/>
  <c r="AM72" i="1"/>
  <c r="AM50" i="1"/>
  <c r="AM65" i="1"/>
  <c r="AM85" i="1"/>
  <c r="AM36" i="1"/>
  <c r="AM55" i="1"/>
  <c r="AM32" i="1"/>
  <c r="AM37" i="1"/>
  <c r="AM46" i="1"/>
  <c r="AM43" i="1"/>
  <c r="AM28" i="1"/>
  <c r="AM69" i="1"/>
  <c r="AM52" i="1"/>
  <c r="AM61" i="1"/>
  <c r="AM78" i="1"/>
  <c r="AM42" i="1"/>
  <c r="AM79" i="1"/>
  <c r="AM45" i="1"/>
  <c r="AM64" i="1"/>
  <c r="AM34" i="1"/>
  <c r="AM71" i="1"/>
  <c r="AM68" i="1"/>
  <c r="AM30" i="1"/>
  <c r="AC44" i="1"/>
  <c r="AE103" i="1"/>
  <c r="BD103" i="1"/>
  <c r="AC70" i="1"/>
  <c r="AC56" i="1"/>
  <c r="AC93" i="1"/>
  <c r="AC38" i="1"/>
  <c r="AC32" i="1"/>
  <c r="AC51" i="1"/>
  <c r="AC78" i="1"/>
  <c r="AC54" i="1"/>
  <c r="AC47" i="1"/>
  <c r="AC83" i="1"/>
  <c r="AC48" i="1"/>
  <c r="AC29" i="1"/>
  <c r="AC81" i="1"/>
  <c r="AC55" i="1"/>
  <c r="AC65" i="1"/>
  <c r="AC41" i="1"/>
  <c r="AC69" i="1"/>
  <c r="AC49" i="1"/>
  <c r="AC64" i="1"/>
  <c r="BX102" i="1"/>
  <c r="CA65" i="1"/>
  <c r="BX105" i="1"/>
  <c r="AC43" i="1"/>
  <c r="J102" i="1"/>
  <c r="J105" i="1"/>
  <c r="BI102" i="1"/>
  <c r="AC57" i="1"/>
  <c r="AC71" i="1"/>
  <c r="DY35" i="1"/>
  <c r="AE106" i="1"/>
  <c r="DY91" i="1"/>
  <c r="DY28" i="1"/>
  <c r="DY88" i="1"/>
  <c r="DY54" i="1"/>
  <c r="DY77" i="1"/>
  <c r="DY79" i="1"/>
  <c r="DY92" i="1"/>
  <c r="DY50" i="1"/>
  <c r="DY37" i="1"/>
  <c r="AC58" i="1"/>
  <c r="AC68" i="1"/>
  <c r="AC39" i="1"/>
  <c r="AC50" i="1"/>
  <c r="Z103" i="1"/>
  <c r="AY103" i="1"/>
  <c r="BX103" i="1"/>
  <c r="AC88" i="1"/>
  <c r="CL102" i="1"/>
  <c r="BN102" i="1"/>
  <c r="AI105" i="1"/>
  <c r="DL103" i="1"/>
  <c r="DL106" i="1"/>
  <c r="CG105" i="1"/>
  <c r="CG102" i="1"/>
  <c r="BR102" i="1"/>
  <c r="BR105" i="1"/>
  <c r="DT60" i="1"/>
  <c r="I55" i="1"/>
  <c r="I67" i="1"/>
  <c r="I65" i="1"/>
  <c r="I32" i="1"/>
  <c r="I56" i="1"/>
  <c r="I87" i="1"/>
  <c r="I43" i="1"/>
  <c r="I88" i="1"/>
  <c r="AO103" i="1"/>
  <c r="BN103" i="1"/>
  <c r="CM103" i="1"/>
  <c r="DF105" i="1"/>
  <c r="DG106" i="1"/>
  <c r="DF102" i="1"/>
  <c r="AM38" i="1"/>
  <c r="AM67" i="1"/>
  <c r="AM91" i="1"/>
  <c r="AM70" i="1"/>
  <c r="AC30" i="1"/>
  <c r="AC59" i="1"/>
  <c r="AC63" i="1"/>
  <c r="AC33" i="1"/>
  <c r="AC72" i="1"/>
  <c r="AC80" i="1"/>
  <c r="AC67" i="1"/>
  <c r="AC28" i="1"/>
  <c r="AC79" i="1"/>
  <c r="AC52" i="1"/>
  <c r="AC45" i="1"/>
  <c r="AC96" i="1"/>
  <c r="AC40" i="1"/>
  <c r="AC85" i="1"/>
  <c r="AC36" i="1"/>
  <c r="AC46" i="1"/>
  <c r="AC66" i="1"/>
  <c r="DT32" i="1"/>
  <c r="CC105" i="1"/>
  <c r="CC102" i="1"/>
  <c r="DT52" i="1"/>
  <c r="CW102" i="1"/>
  <c r="EA102" i="1"/>
  <c r="ED77" i="1"/>
  <c r="DL107" i="1"/>
  <c r="K104" i="5"/>
  <c r="S111" i="39" s="1"/>
  <c r="S109" i="39"/>
  <c r="K115" i="1"/>
  <c r="K114" i="1"/>
  <c r="CU69" i="1"/>
  <c r="DT71" i="1"/>
  <c r="DT41" i="1"/>
  <c r="EX20" i="1"/>
  <c r="AC97" i="1"/>
  <c r="AC92" i="1"/>
  <c r="AC73" i="1"/>
  <c r="DT68" i="1"/>
  <c r="AC35" i="1"/>
  <c r="AC60" i="1"/>
  <c r="AC91" i="1"/>
  <c r="AC87" i="1"/>
  <c r="AC27" i="1"/>
  <c r="AC31" i="1"/>
  <c r="AC62" i="1"/>
  <c r="FH39" i="1"/>
  <c r="FH40" i="1"/>
  <c r="FH41" i="1"/>
  <c r="FH42" i="1"/>
  <c r="FH43" i="1"/>
  <c r="FH44" i="1"/>
  <c r="FH45" i="1"/>
  <c r="FH46" i="1"/>
  <c r="FH47" i="1"/>
  <c r="FH48" i="1"/>
  <c r="FH49" i="1"/>
  <c r="FH50" i="1"/>
  <c r="FH51" i="1"/>
  <c r="FH52" i="1"/>
  <c r="FH53" i="1"/>
  <c r="FH54" i="1"/>
  <c r="FH55" i="1"/>
  <c r="FH56" i="1"/>
  <c r="FH57" i="1"/>
  <c r="FH58" i="1"/>
  <c r="FH59" i="1"/>
  <c r="FH60" i="1"/>
  <c r="FH61" i="1"/>
  <c r="FH62" i="1"/>
  <c r="FH63" i="1"/>
  <c r="FH64" i="1"/>
  <c r="FH65" i="1"/>
  <c r="FH66" i="1"/>
  <c r="FH67" i="1"/>
  <c r="FH68" i="1"/>
  <c r="FH69" i="1"/>
  <c r="FH70" i="1"/>
  <c r="FH71" i="1"/>
  <c r="FH72" i="1"/>
  <c r="FH73" i="1"/>
  <c r="FH74" i="1"/>
  <c r="FH75" i="1"/>
  <c r="FH76" i="1"/>
  <c r="FH77" i="1"/>
  <c r="FH78" i="1"/>
  <c r="FH79" i="1"/>
  <c r="FH80" i="1"/>
  <c r="FH81" i="1"/>
  <c r="FH82" i="1"/>
  <c r="FH83" i="1"/>
  <c r="FH84" i="1"/>
  <c r="FH85" i="1"/>
  <c r="FH86" i="1"/>
  <c r="FH87" i="1"/>
  <c r="FH88" i="1"/>
  <c r="FH89" i="1"/>
  <c r="FH90" i="1"/>
  <c r="FH91" i="1"/>
  <c r="FH92" i="1"/>
  <c r="FH93" i="1"/>
  <c r="FH94" i="1"/>
  <c r="FH95" i="1"/>
  <c r="FH96" i="1"/>
  <c r="FH97" i="1"/>
  <c r="K126" i="1"/>
  <c r="CU79" i="1"/>
  <c r="CU97" i="1"/>
  <c r="EM90" i="1"/>
  <c r="FB90" i="1"/>
  <c r="EN90" i="1"/>
  <c r="EQ90" i="1"/>
  <c r="EJ90" i="1"/>
  <c r="EK90" i="1"/>
  <c r="EL90" i="1"/>
  <c r="ER90" i="1"/>
  <c r="CU94" i="1"/>
  <c r="EJ89" i="1"/>
  <c r="EK89" i="1"/>
  <c r="EL89" i="1"/>
  <c r="EM89" i="1"/>
  <c r="FB89" i="1"/>
  <c r="EN89" i="1"/>
  <c r="EQ89" i="1"/>
  <c r="ER89" i="1"/>
  <c r="AW97" i="1"/>
  <c r="AW54" i="1"/>
  <c r="FD20" i="1"/>
  <c r="K116" i="1"/>
  <c r="AW70" i="1"/>
  <c r="DT42" i="1"/>
  <c r="DT59" i="1"/>
  <c r="DT70" i="1"/>
  <c r="EJ95" i="1"/>
  <c r="EQ95" i="1"/>
  <c r="EM95" i="1"/>
  <c r="FB95" i="1"/>
  <c r="EL95" i="1"/>
  <c r="EN95" i="1"/>
  <c r="EK95" i="1"/>
  <c r="ER95" i="1"/>
  <c r="EJ86" i="1"/>
  <c r="ER86" i="1"/>
  <c r="EL86" i="1"/>
  <c r="ET86" i="1"/>
  <c r="EQ86" i="1"/>
  <c r="EK86" i="1"/>
  <c r="EN86" i="1"/>
  <c r="EM86" i="1"/>
  <c r="FB86" i="1"/>
  <c r="CU34" i="1"/>
  <c r="CU58" i="1"/>
  <c r="DT80" i="1"/>
  <c r="DT39" i="1"/>
  <c r="DT56" i="1"/>
  <c r="CU38" i="1"/>
  <c r="DT31" i="1"/>
  <c r="CU76" i="1"/>
  <c r="CU33" i="1"/>
  <c r="DT81" i="1"/>
  <c r="CU46" i="1"/>
  <c r="BB97" i="1"/>
  <c r="CU57" i="1"/>
  <c r="CU50" i="1"/>
  <c r="CU68" i="1"/>
  <c r="CU83" i="1"/>
  <c r="CU70" i="1"/>
  <c r="CU56" i="1"/>
  <c r="AH39" i="1"/>
  <c r="CU66" i="1"/>
  <c r="CU92" i="1"/>
  <c r="CU96" i="1"/>
  <c r="CU49" i="1"/>
  <c r="CU52" i="1"/>
  <c r="CU51" i="1"/>
  <c r="CU37" i="1"/>
  <c r="CU41" i="1"/>
  <c r="CU63" i="1"/>
  <c r="CU61" i="1"/>
  <c r="CU32" i="1"/>
  <c r="CU73" i="1"/>
  <c r="CU29" i="1"/>
  <c r="CU67" i="1"/>
  <c r="CU91" i="1"/>
  <c r="DT79" i="1"/>
  <c r="DT28" i="1"/>
  <c r="CU62" i="1"/>
  <c r="CU54" i="1"/>
  <c r="CU30" i="1"/>
  <c r="DE50" i="1"/>
  <c r="DE52" i="1"/>
  <c r="DE58" i="1"/>
  <c r="DE74" i="1"/>
  <c r="DE92" i="1"/>
  <c r="DT83" i="1"/>
  <c r="DT85" i="1"/>
  <c r="DT61" i="1"/>
  <c r="DT46" i="1"/>
  <c r="DT36" i="1"/>
  <c r="DT93" i="1"/>
  <c r="DT54" i="1"/>
  <c r="DT50" i="1"/>
  <c r="DT76" i="1"/>
  <c r="DT74" i="1"/>
  <c r="DE42" i="1"/>
  <c r="CU77" i="1"/>
  <c r="DE54" i="1"/>
  <c r="DE56" i="1"/>
  <c r="DE28" i="1"/>
  <c r="DE40" i="1"/>
  <c r="DE27" i="1"/>
  <c r="DE57" i="1"/>
  <c r="DE61" i="1"/>
  <c r="DE96" i="1"/>
  <c r="DE30" i="1"/>
  <c r="DE53" i="1"/>
  <c r="DE39" i="1"/>
  <c r="DE83" i="1"/>
  <c r="DE46" i="1"/>
  <c r="DT37" i="1"/>
  <c r="DT49" i="1"/>
  <c r="DT58" i="1"/>
  <c r="DE81" i="1"/>
  <c r="DE88" i="1"/>
  <c r="DT63" i="1"/>
  <c r="DT55" i="1"/>
  <c r="DT53" i="1"/>
  <c r="CC106" i="1"/>
  <c r="DE49" i="1"/>
  <c r="DE36" i="1"/>
  <c r="DE55" i="1"/>
  <c r="DE45" i="1"/>
  <c r="DT30" i="1"/>
  <c r="DT27" i="1"/>
  <c r="DT62" i="1"/>
  <c r="DT65" i="1"/>
  <c r="DE44" i="1"/>
  <c r="DE85" i="1"/>
  <c r="DE66" i="1"/>
  <c r="DT51" i="1"/>
  <c r="DV106" i="1"/>
  <c r="DT82" i="1"/>
  <c r="DT44" i="1"/>
  <c r="DT35" i="1"/>
  <c r="DE76" i="1"/>
  <c r="DE78" i="1"/>
  <c r="DE35" i="1"/>
  <c r="DT40" i="1"/>
  <c r="BB65" i="1"/>
  <c r="DT84" i="1"/>
  <c r="DT57" i="1"/>
  <c r="DT77" i="1"/>
  <c r="DE73" i="1"/>
  <c r="DE59" i="1"/>
  <c r="DE70" i="1"/>
  <c r="DE63" i="1"/>
  <c r="BQ54" i="1"/>
  <c r="DT92" i="1"/>
  <c r="AW92" i="1"/>
  <c r="DE62" i="1"/>
  <c r="DE43" i="1"/>
  <c r="DE93" i="1"/>
  <c r="DE71" i="1"/>
  <c r="DE80" i="1"/>
  <c r="DE77" i="1"/>
  <c r="S81" i="1"/>
  <c r="AW60" i="1"/>
  <c r="DE87" i="1"/>
  <c r="CZ27" i="1"/>
  <c r="AW93" i="1"/>
  <c r="DE29" i="1"/>
  <c r="BB61" i="1"/>
  <c r="AW79" i="1"/>
  <c r="AW80" i="1"/>
  <c r="DE68" i="1"/>
  <c r="DE64" i="1"/>
  <c r="DE47" i="1"/>
  <c r="DE67" i="1"/>
  <c r="DE41" i="1"/>
  <c r="DE60" i="1"/>
  <c r="DE51" i="1"/>
  <c r="AW40" i="1"/>
  <c r="AW34" i="1"/>
  <c r="DE94" i="1"/>
  <c r="DE72" i="1"/>
  <c r="DE37" i="1"/>
  <c r="DE38" i="1"/>
  <c r="DE32" i="1"/>
  <c r="DE65" i="1"/>
  <c r="AW27" i="1"/>
  <c r="DE34" i="1"/>
  <c r="DE69" i="1"/>
  <c r="DE33" i="1"/>
  <c r="DE97" i="1"/>
  <c r="DE48" i="1"/>
  <c r="DE79" i="1"/>
  <c r="BB69" i="1"/>
  <c r="BB42" i="1"/>
  <c r="AR29" i="1"/>
  <c r="BL50" i="1"/>
  <c r="AR47" i="1"/>
  <c r="AH40" i="1"/>
  <c r="BG54" i="1"/>
  <c r="DT67" i="1"/>
  <c r="BG73" i="1"/>
  <c r="DO79" i="1"/>
  <c r="DT33" i="1"/>
  <c r="AR54" i="1"/>
  <c r="AR88" i="1"/>
  <c r="AR87" i="1"/>
  <c r="CU78" i="1"/>
  <c r="AR39" i="1"/>
  <c r="CU65" i="1"/>
  <c r="CU87" i="1"/>
  <c r="AR51" i="1"/>
  <c r="CU39" i="1"/>
  <c r="AW72" i="1"/>
  <c r="AW38" i="1"/>
  <c r="CH106" i="1"/>
  <c r="CU45" i="1"/>
  <c r="CU85" i="1"/>
  <c r="AH68" i="1"/>
  <c r="AW35" i="1"/>
  <c r="DT88" i="1"/>
  <c r="AW78" i="1"/>
  <c r="AW66" i="1"/>
  <c r="AW56" i="1"/>
  <c r="BG30" i="1"/>
  <c r="AH83" i="1"/>
  <c r="CU40" i="1"/>
  <c r="CU48" i="1"/>
  <c r="CU42" i="1"/>
  <c r="CU71" i="1"/>
  <c r="CU88" i="1"/>
  <c r="AH54" i="1"/>
  <c r="AW49" i="1"/>
  <c r="AR45" i="1"/>
  <c r="DT64" i="1"/>
  <c r="CU35" i="1"/>
  <c r="AW36" i="1"/>
  <c r="AW83" i="1"/>
  <c r="AH91" i="1"/>
  <c r="CU28" i="1"/>
  <c r="CU27" i="1"/>
  <c r="CU59" i="1"/>
  <c r="CU44" i="1"/>
  <c r="CU93" i="1"/>
  <c r="AH80" i="1"/>
  <c r="AR40" i="1"/>
  <c r="CU72" i="1"/>
  <c r="BG70" i="1"/>
  <c r="BX106" i="1"/>
  <c r="BG93" i="1"/>
  <c r="BG71" i="1"/>
  <c r="BG69" i="1"/>
  <c r="BG78" i="1"/>
  <c r="AW96" i="1"/>
  <c r="BG49" i="1"/>
  <c r="AW57" i="1"/>
  <c r="BG91" i="1"/>
  <c r="BG31" i="1"/>
  <c r="AW50" i="1"/>
  <c r="BG59" i="1"/>
  <c r="AW55" i="1"/>
  <c r="BG41" i="1"/>
  <c r="BG44" i="1"/>
  <c r="AW44" i="1"/>
  <c r="AW58" i="1"/>
  <c r="AW30" i="1"/>
  <c r="AW59" i="1"/>
  <c r="CU80" i="1"/>
  <c r="DE31" i="1"/>
  <c r="BG50" i="1"/>
  <c r="BG32" i="1"/>
  <c r="BG85" i="1"/>
  <c r="BG48" i="1"/>
  <c r="BG66" i="1"/>
  <c r="BG37" i="1"/>
  <c r="AR93" i="1"/>
  <c r="AR56" i="1"/>
  <c r="AR55" i="1"/>
  <c r="BG92" i="1"/>
  <c r="BG40" i="1"/>
  <c r="AR38" i="1"/>
  <c r="AR36" i="1"/>
  <c r="AR72" i="1"/>
  <c r="BG34" i="1"/>
  <c r="BG65" i="1"/>
  <c r="BG35" i="1"/>
  <c r="AR49" i="1"/>
  <c r="BG96" i="1"/>
  <c r="BG43" i="1"/>
  <c r="BG60" i="1"/>
  <c r="BG36" i="1"/>
  <c r="BG68" i="1"/>
  <c r="AR27" i="1"/>
  <c r="CP52" i="1"/>
  <c r="BG67" i="1"/>
  <c r="BG72" i="1"/>
  <c r="BG29" i="1"/>
  <c r="BG81" i="1"/>
  <c r="AR62" i="1"/>
  <c r="BG88" i="1"/>
  <c r="BG39" i="1"/>
  <c r="BG63" i="1"/>
  <c r="BG57" i="1"/>
  <c r="BG33" i="1"/>
  <c r="BG97" i="1"/>
  <c r="AR67" i="1"/>
  <c r="BG47" i="1"/>
  <c r="BG55" i="1"/>
  <c r="BG27" i="1"/>
  <c r="BG52" i="1"/>
  <c r="BG87" i="1"/>
  <c r="BG45" i="1"/>
  <c r="AR70" i="1"/>
  <c r="AR91" i="1"/>
  <c r="BB43" i="1"/>
  <c r="DE82" i="1"/>
  <c r="AH31" i="1"/>
  <c r="AH64" i="1"/>
  <c r="AR57" i="1"/>
  <c r="AR48" i="1"/>
  <c r="AR42" i="1"/>
  <c r="DT48" i="1"/>
  <c r="BG61" i="1"/>
  <c r="AR61" i="1"/>
  <c r="DT78" i="1"/>
  <c r="DT69" i="1"/>
  <c r="BG58" i="1"/>
  <c r="BG79" i="1"/>
  <c r="AR44" i="1"/>
  <c r="AR79" i="1"/>
  <c r="AR71" i="1"/>
  <c r="AR92" i="1"/>
  <c r="DT97" i="1"/>
  <c r="BG42" i="1"/>
  <c r="AR58" i="1"/>
  <c r="DT73" i="1"/>
  <c r="DT87" i="1"/>
  <c r="BG46" i="1"/>
  <c r="AR60" i="1"/>
  <c r="AR78" i="1"/>
  <c r="AR30" i="1"/>
  <c r="AR80" i="1"/>
  <c r="BG62" i="1"/>
  <c r="AR66" i="1"/>
  <c r="DT29" i="1"/>
  <c r="DT75" i="1"/>
  <c r="AR32" i="1"/>
  <c r="AR31" i="1"/>
  <c r="AR59" i="1"/>
  <c r="AR69" i="1"/>
  <c r="AR43" i="1"/>
  <c r="BG28" i="1"/>
  <c r="DT96" i="1"/>
  <c r="DT45" i="1"/>
  <c r="AH88" i="1"/>
  <c r="DT38" i="1"/>
  <c r="DT47" i="1"/>
  <c r="DT66" i="1"/>
  <c r="DT91" i="1"/>
  <c r="AR63" i="1"/>
  <c r="AR85" i="1"/>
  <c r="AR73" i="1"/>
  <c r="AR50" i="1"/>
  <c r="AR81" i="1"/>
  <c r="DT94" i="1"/>
  <c r="BG80" i="1"/>
  <c r="BG83" i="1"/>
  <c r="BG64" i="1"/>
  <c r="BG56" i="1"/>
  <c r="BG38" i="1"/>
  <c r="AR97" i="1"/>
  <c r="AR64" i="1"/>
  <c r="AR28" i="1"/>
  <c r="AR52" i="1"/>
  <c r="AR65" i="1"/>
  <c r="DT43" i="1"/>
  <c r="DT72" i="1"/>
  <c r="AH56" i="1"/>
  <c r="AH79" i="1"/>
  <c r="BB49" i="1"/>
  <c r="BB88" i="1"/>
  <c r="AH70" i="1"/>
  <c r="AH38" i="1"/>
  <c r="AH92" i="1"/>
  <c r="AW47" i="1"/>
  <c r="AH71" i="1"/>
  <c r="AH81" i="1"/>
  <c r="BB71" i="1"/>
  <c r="AH72" i="1"/>
  <c r="BB67" i="1"/>
  <c r="AH42" i="1"/>
  <c r="AH55" i="1"/>
  <c r="AH43" i="1"/>
  <c r="BB48" i="1"/>
  <c r="AH65" i="1"/>
  <c r="AH44" i="1"/>
  <c r="AH41" i="1"/>
  <c r="BB96" i="1"/>
  <c r="AH57" i="1"/>
  <c r="AH37" i="1"/>
  <c r="AH58" i="1"/>
  <c r="AH27" i="1"/>
  <c r="AH36" i="1"/>
  <c r="BB36" i="1"/>
  <c r="AH47" i="1"/>
  <c r="AH52" i="1"/>
  <c r="AH63" i="1"/>
  <c r="AW91" i="1"/>
  <c r="BB54" i="1"/>
  <c r="AH35" i="1"/>
  <c r="AH49" i="1"/>
  <c r="AW64" i="1"/>
  <c r="AR35" i="1"/>
  <c r="AH50" i="1"/>
  <c r="BB31" i="1"/>
  <c r="AH32" i="1"/>
  <c r="AH78" i="1"/>
  <c r="AH67" i="1"/>
  <c r="AW88" i="1"/>
  <c r="CU64" i="1"/>
  <c r="CU31" i="1"/>
  <c r="BB87" i="1"/>
  <c r="BB33" i="1"/>
  <c r="X97" i="1"/>
  <c r="AH93" i="1"/>
  <c r="AH97" i="1"/>
  <c r="X46" i="1"/>
  <c r="BB41" i="1"/>
  <c r="X67" i="1"/>
  <c r="AH60" i="1"/>
  <c r="AH96" i="1"/>
  <c r="AH73" i="1"/>
  <c r="BB28" i="1"/>
  <c r="AH33" i="1"/>
  <c r="AH28" i="1"/>
  <c r="AH51" i="1"/>
  <c r="AH46" i="1"/>
  <c r="AH66" i="1"/>
  <c r="AH48" i="1"/>
  <c r="AH85" i="1"/>
  <c r="S39" i="1"/>
  <c r="BB63" i="1"/>
  <c r="BB30" i="1"/>
  <c r="AH69" i="1"/>
  <c r="AH59" i="1"/>
  <c r="AR37" i="1"/>
  <c r="AR34" i="1"/>
  <c r="AR96" i="1"/>
  <c r="X30" i="1"/>
  <c r="X48" i="1"/>
  <c r="AW43" i="1"/>
  <c r="AW87" i="1"/>
  <c r="AH62" i="1"/>
  <c r="AH45" i="1"/>
  <c r="AR68" i="1"/>
  <c r="CU43" i="1"/>
  <c r="CU60" i="1"/>
  <c r="CU55" i="1"/>
  <c r="BB91" i="1"/>
  <c r="BB79" i="1"/>
  <c r="AJ106" i="1"/>
  <c r="AR46" i="1"/>
  <c r="X40" i="1"/>
  <c r="AR33" i="1"/>
  <c r="AW45" i="1"/>
  <c r="AH29" i="1"/>
  <c r="AH87" i="1"/>
  <c r="CU81" i="1"/>
  <c r="CU36" i="1"/>
  <c r="BQ97" i="1"/>
  <c r="X32" i="1"/>
  <c r="AH61" i="1"/>
  <c r="AH34" i="1"/>
  <c r="X62" i="1"/>
  <c r="AH30" i="1"/>
  <c r="X87" i="1"/>
  <c r="BB92" i="1"/>
  <c r="X59" i="1"/>
  <c r="X83" i="1"/>
  <c r="S60" i="1"/>
  <c r="BB93" i="1"/>
  <c r="X78" i="1"/>
  <c r="S54" i="1"/>
  <c r="X73" i="1"/>
  <c r="BB78" i="1"/>
  <c r="X65" i="1"/>
  <c r="S85" i="1"/>
  <c r="X68" i="1"/>
  <c r="BB45" i="1"/>
  <c r="X96" i="1"/>
  <c r="X61" i="1"/>
  <c r="X31" i="1"/>
  <c r="X72" i="1"/>
  <c r="CA71" i="1"/>
  <c r="CA58" i="1"/>
  <c r="S62" i="1"/>
  <c r="CA83" i="1"/>
  <c r="CA46" i="1"/>
  <c r="ED44" i="1"/>
  <c r="CA27" i="1"/>
  <c r="ED54" i="1"/>
  <c r="CA85" i="1"/>
  <c r="X88" i="1"/>
  <c r="S97" i="1"/>
  <c r="S92" i="1"/>
  <c r="S59" i="1"/>
  <c r="S61" i="1"/>
  <c r="S46" i="1"/>
  <c r="AW65" i="1"/>
  <c r="AW71" i="1"/>
  <c r="AW42" i="1"/>
  <c r="AW37" i="1"/>
  <c r="AW67" i="1"/>
  <c r="AW85" i="1"/>
  <c r="AW52" i="1"/>
  <c r="AW31" i="1"/>
  <c r="AW81" i="1"/>
  <c r="AW41" i="1"/>
  <c r="AW69" i="1"/>
  <c r="AW28" i="1"/>
  <c r="AW63" i="1"/>
  <c r="AW51" i="1"/>
  <c r="AW73" i="1"/>
  <c r="AW29" i="1"/>
  <c r="AW33" i="1"/>
  <c r="S37" i="1"/>
  <c r="S45" i="1"/>
  <c r="S64" i="1"/>
  <c r="S29" i="1"/>
  <c r="S49" i="1"/>
  <c r="BB38" i="1"/>
  <c r="BB40" i="1"/>
  <c r="S73" i="1"/>
  <c r="S71" i="1"/>
  <c r="S93" i="1"/>
  <c r="S56" i="1"/>
  <c r="S83" i="1"/>
  <c r="AW61" i="1"/>
  <c r="S33" i="1"/>
  <c r="S44" i="1"/>
  <c r="BB70" i="1"/>
  <c r="BB80" i="1"/>
  <c r="S34" i="1"/>
  <c r="S50" i="1"/>
  <c r="S28" i="1"/>
  <c r="S66" i="1"/>
  <c r="AW32" i="1"/>
  <c r="S35" i="1"/>
  <c r="S42" i="1"/>
  <c r="AW48" i="1"/>
  <c r="BB47" i="1"/>
  <c r="S47" i="1"/>
  <c r="S69" i="1"/>
  <c r="S30" i="1"/>
  <c r="AW68" i="1"/>
  <c r="S57" i="1"/>
  <c r="AR83" i="1"/>
  <c r="S78" i="1"/>
  <c r="S67" i="1"/>
  <c r="S79" i="1"/>
  <c r="S27" i="1"/>
  <c r="S65" i="1"/>
  <c r="F106" i="1"/>
  <c r="S32" i="1"/>
  <c r="S58" i="1"/>
  <c r="S51" i="1"/>
  <c r="S88" i="1"/>
  <c r="S40" i="1"/>
  <c r="AW62" i="1"/>
  <c r="X42" i="1"/>
  <c r="S87" i="1"/>
  <c r="S96" i="1"/>
  <c r="S55" i="1"/>
  <c r="S36" i="1"/>
  <c r="AW46" i="1"/>
  <c r="S80" i="1"/>
  <c r="DO77" i="1"/>
  <c r="DO57" i="1"/>
  <c r="DO85" i="1"/>
  <c r="DO75" i="1"/>
  <c r="DO63" i="1"/>
  <c r="DO67" i="1"/>
  <c r="DO35" i="1"/>
  <c r="DO64" i="1"/>
  <c r="DO55" i="1"/>
  <c r="DO44" i="1"/>
  <c r="DO81" i="1"/>
  <c r="DO34" i="1"/>
  <c r="DO73" i="1"/>
  <c r="DO46" i="1"/>
  <c r="DO40" i="1"/>
  <c r="DO96" i="1"/>
  <c r="DO59" i="1"/>
  <c r="DO45" i="1"/>
  <c r="DO97" i="1"/>
  <c r="DO83" i="1"/>
  <c r="DO41" i="1"/>
  <c r="DO43" i="1"/>
  <c r="DO39" i="1"/>
  <c r="DO48" i="1"/>
  <c r="DO47" i="1"/>
  <c r="DO87" i="1"/>
  <c r="DO94" i="1"/>
  <c r="DO28" i="1"/>
  <c r="DO76" i="1"/>
  <c r="DO54" i="1"/>
  <c r="DO78" i="1"/>
  <c r="DO52" i="1"/>
  <c r="DO56" i="1"/>
  <c r="DO80" i="1"/>
  <c r="DO93" i="1"/>
  <c r="DO42" i="1"/>
  <c r="DO91" i="1"/>
  <c r="DO84" i="1"/>
  <c r="DO70" i="1"/>
  <c r="DO31" i="1"/>
  <c r="DO61" i="1"/>
  <c r="DO49" i="1"/>
  <c r="DO32" i="1"/>
  <c r="DO74" i="1"/>
  <c r="DO38" i="1"/>
  <c r="DO29" i="1"/>
  <c r="DO62" i="1"/>
  <c r="DO50" i="1"/>
  <c r="DO60" i="1"/>
  <c r="DO88" i="1"/>
  <c r="DO82" i="1"/>
  <c r="DO68" i="1"/>
  <c r="DO65" i="1"/>
  <c r="DO27" i="1"/>
  <c r="DO71" i="1"/>
  <c r="DO72" i="1"/>
  <c r="DO36" i="1"/>
  <c r="DO69" i="1"/>
  <c r="DO30" i="1"/>
  <c r="DO37" i="1"/>
  <c r="DO53" i="1"/>
  <c r="DO51" i="1"/>
  <c r="DO33" i="1"/>
  <c r="DO58" i="1"/>
  <c r="DO92" i="1"/>
  <c r="X81" i="1"/>
  <c r="X49" i="1"/>
  <c r="X37" i="1"/>
  <c r="X50" i="1"/>
  <c r="X33" i="1"/>
  <c r="X27" i="1"/>
  <c r="BB72" i="1"/>
  <c r="BB60" i="1"/>
  <c r="BB52" i="1"/>
  <c r="BB64" i="1"/>
  <c r="BB27" i="1"/>
  <c r="BB34" i="1"/>
  <c r="BB50" i="1"/>
  <c r="BB66" i="1"/>
  <c r="BB73" i="1"/>
  <c r="BB81" i="1"/>
  <c r="BB37" i="1"/>
  <c r="BB56" i="1"/>
  <c r="BB44" i="1"/>
  <c r="BB35" i="1"/>
  <c r="BB83" i="1"/>
  <c r="BB29" i="1"/>
  <c r="BB55" i="1"/>
  <c r="BB57" i="1"/>
  <c r="BB85" i="1"/>
  <c r="BB32" i="1"/>
  <c r="BB59" i="1"/>
  <c r="BB39" i="1"/>
  <c r="BB58" i="1"/>
  <c r="BB68" i="1"/>
  <c r="BB46" i="1"/>
  <c r="CP70" i="1"/>
  <c r="X35" i="1"/>
  <c r="X36" i="1"/>
  <c r="X51" i="1"/>
  <c r="X45" i="1"/>
  <c r="X57" i="1"/>
  <c r="DO66" i="1"/>
  <c r="CZ96" i="1"/>
  <c r="CP67" i="1"/>
  <c r="X64" i="1"/>
  <c r="X58" i="1"/>
  <c r="X52" i="1"/>
  <c r="X63" i="1"/>
  <c r="X38" i="1"/>
  <c r="CZ31" i="1"/>
  <c r="ED42" i="1"/>
  <c r="X66" i="1"/>
  <c r="X80" i="1"/>
  <c r="X55" i="1"/>
  <c r="CZ48" i="1"/>
  <c r="ED96" i="1"/>
  <c r="X56" i="1"/>
  <c r="X54" i="1"/>
  <c r="X34" i="1"/>
  <c r="X39" i="1"/>
  <c r="X41" i="1"/>
  <c r="X47" i="1"/>
  <c r="X69" i="1"/>
  <c r="X29" i="1"/>
  <c r="X85" i="1"/>
  <c r="X93" i="1"/>
  <c r="X43" i="1"/>
  <c r="X71" i="1"/>
  <c r="X91" i="1"/>
  <c r="X60" i="1"/>
  <c r="BB62" i="1"/>
  <c r="BB51" i="1"/>
  <c r="X70" i="1"/>
  <c r="K106" i="1"/>
  <c r="X44" i="1"/>
  <c r="X28" i="1"/>
  <c r="X92" i="1"/>
  <c r="S63" i="1"/>
  <c r="S52" i="1"/>
  <c r="S72" i="1"/>
  <c r="S31" i="1"/>
  <c r="S91" i="1"/>
  <c r="S38" i="1"/>
  <c r="S70" i="1"/>
  <c r="S68" i="1"/>
  <c r="S43" i="1"/>
  <c r="S41" i="1"/>
  <c r="S48" i="1"/>
  <c r="BQ57" i="1"/>
  <c r="BQ35" i="1"/>
  <c r="BQ71" i="1"/>
  <c r="BQ59" i="1"/>
  <c r="BQ42" i="1"/>
  <c r="BQ27" i="1"/>
  <c r="BQ58" i="1"/>
  <c r="BQ41" i="1"/>
  <c r="BQ72" i="1"/>
  <c r="BQ29" i="1"/>
  <c r="BQ63" i="1"/>
  <c r="BQ36" i="1"/>
  <c r="BQ37" i="1"/>
  <c r="BQ64" i="1"/>
  <c r="BQ62" i="1"/>
  <c r="BQ40" i="1"/>
  <c r="BQ88" i="1"/>
  <c r="BQ51" i="1"/>
  <c r="BQ66" i="1"/>
  <c r="BQ45" i="1"/>
  <c r="BQ38" i="1"/>
  <c r="BQ31" i="1"/>
  <c r="BQ61" i="1"/>
  <c r="BQ46" i="1"/>
  <c r="BQ48" i="1"/>
  <c r="BQ78" i="1"/>
  <c r="BQ30" i="1"/>
  <c r="BQ68" i="1"/>
  <c r="BQ96" i="1"/>
  <c r="BQ65" i="1"/>
  <c r="BQ79" i="1"/>
  <c r="BQ39" i="1"/>
  <c r="BQ32" i="1"/>
  <c r="BQ91" i="1"/>
  <c r="BQ52" i="1"/>
  <c r="BQ73" i="1"/>
  <c r="BQ56" i="1"/>
  <c r="BQ80" i="1"/>
  <c r="BQ49" i="1"/>
  <c r="BQ81" i="1"/>
  <c r="BQ85" i="1"/>
  <c r="BQ44" i="1"/>
  <c r="BQ87" i="1"/>
  <c r="BQ92" i="1"/>
  <c r="BQ50" i="1"/>
  <c r="BQ33" i="1"/>
  <c r="BQ43" i="1"/>
  <c r="BQ55" i="1"/>
  <c r="BQ28" i="1"/>
  <c r="BQ93" i="1"/>
  <c r="BQ83" i="1"/>
  <c r="BQ60" i="1"/>
  <c r="BQ70" i="1"/>
  <c r="BQ69" i="1"/>
  <c r="BQ47" i="1"/>
  <c r="BQ34" i="1"/>
  <c r="CP59" i="1"/>
  <c r="CP79" i="1"/>
  <c r="CP28" i="1"/>
  <c r="CP50" i="1"/>
  <c r="CP97" i="1"/>
  <c r="CP42" i="1"/>
  <c r="CP88" i="1"/>
  <c r="CP77" i="1"/>
  <c r="CP58" i="1"/>
  <c r="CP61" i="1"/>
  <c r="CP60" i="1"/>
  <c r="CP72" i="1"/>
  <c r="CP57" i="1"/>
  <c r="CP34" i="1"/>
  <c r="CP31" i="1"/>
  <c r="CP32" i="1"/>
  <c r="CP91" i="1"/>
  <c r="CP51" i="1"/>
  <c r="CP39" i="1"/>
  <c r="CP35" i="1"/>
  <c r="CP41" i="1"/>
  <c r="CP38" i="1"/>
  <c r="CP92" i="1"/>
  <c r="CP68" i="1"/>
  <c r="CP73" i="1"/>
  <c r="CP43" i="1"/>
  <c r="CP48" i="1"/>
  <c r="CP65" i="1"/>
  <c r="CP96" i="1"/>
  <c r="CP49" i="1"/>
  <c r="CP71" i="1"/>
  <c r="CP81" i="1"/>
  <c r="CP87" i="1"/>
  <c r="CP37" i="1"/>
  <c r="CP62" i="1"/>
  <c r="CP33" i="1"/>
  <c r="CP76" i="1"/>
  <c r="CP94" i="1"/>
  <c r="CP54" i="1"/>
  <c r="CP63" i="1"/>
  <c r="CP56" i="1"/>
  <c r="CP83" i="1"/>
  <c r="CP78" i="1"/>
  <c r="CP40" i="1"/>
  <c r="CP47" i="1"/>
  <c r="CP80" i="1"/>
  <c r="N54" i="1"/>
  <c r="N62" i="1"/>
  <c r="N72" i="1"/>
  <c r="N68" i="1"/>
  <c r="N31" i="1"/>
  <c r="N87" i="1"/>
  <c r="N43" i="1"/>
  <c r="N81" i="1"/>
  <c r="N46" i="1"/>
  <c r="N88" i="1"/>
  <c r="N37" i="1"/>
  <c r="N47" i="1"/>
  <c r="N80" i="1"/>
  <c r="N28" i="1"/>
  <c r="N78" i="1"/>
  <c r="N58" i="1"/>
  <c r="N63" i="1"/>
  <c r="N30" i="1"/>
  <c r="N60" i="1"/>
  <c r="N83" i="1"/>
  <c r="N96" i="1"/>
  <c r="N93" i="1"/>
  <c r="N40" i="1"/>
  <c r="N45" i="1"/>
  <c r="N73" i="1"/>
  <c r="N57" i="1"/>
  <c r="N49" i="1"/>
  <c r="N56" i="1"/>
  <c r="N91" i="1"/>
  <c r="N59" i="1"/>
  <c r="N67" i="1"/>
  <c r="N97" i="1"/>
  <c r="N34" i="1"/>
  <c r="N61" i="1"/>
  <c r="N29" i="1"/>
  <c r="N92" i="1"/>
  <c r="N65" i="1"/>
  <c r="N66" i="1"/>
  <c r="N48" i="1"/>
  <c r="N44" i="1"/>
  <c r="N41" i="1"/>
  <c r="N50" i="1"/>
  <c r="N33" i="1"/>
  <c r="N71" i="1"/>
  <c r="N55" i="1"/>
  <c r="N36" i="1"/>
  <c r="N39" i="1"/>
  <c r="N69" i="1"/>
  <c r="N35" i="1"/>
  <c r="N27" i="1"/>
  <c r="N85" i="1"/>
  <c r="N52" i="1"/>
  <c r="N32" i="1"/>
  <c r="N38" i="1"/>
  <c r="N42" i="1"/>
  <c r="N51" i="1"/>
  <c r="N79" i="1"/>
  <c r="N64" i="1"/>
  <c r="ED53" i="1"/>
  <c r="CP69" i="1"/>
  <c r="CP66" i="1"/>
  <c r="CZ44" i="1"/>
  <c r="ED65" i="1"/>
  <c r="CP36" i="1"/>
  <c r="CP93" i="1"/>
  <c r="CP46" i="1"/>
  <c r="CZ67" i="1"/>
  <c r="CP45" i="1"/>
  <c r="CP55" i="1"/>
  <c r="CP64" i="1"/>
  <c r="CP29" i="1"/>
  <c r="N70" i="1"/>
  <c r="CP30" i="1"/>
  <c r="CP44" i="1"/>
  <c r="CP27" i="1"/>
  <c r="ED27" i="1"/>
  <c r="BQ67" i="1"/>
  <c r="CP85" i="1"/>
  <c r="BL71" i="1"/>
  <c r="BL80" i="1"/>
  <c r="BL48" i="1"/>
  <c r="BL55" i="1"/>
  <c r="BL72" i="1"/>
  <c r="BL59" i="1"/>
  <c r="BL44" i="1"/>
  <c r="BL43" i="1"/>
  <c r="BL67" i="1"/>
  <c r="BL70" i="1"/>
  <c r="BL54" i="1"/>
  <c r="BL60" i="1"/>
  <c r="BL34" i="1"/>
  <c r="BL27" i="1"/>
  <c r="BL31" i="1"/>
  <c r="BL42" i="1"/>
  <c r="BL87" i="1"/>
  <c r="BL41" i="1"/>
  <c r="BL92" i="1"/>
  <c r="BL85" i="1"/>
  <c r="BL40" i="1"/>
  <c r="BL58" i="1"/>
  <c r="BL30" i="1"/>
  <c r="BL56" i="1"/>
  <c r="BL78" i="1"/>
  <c r="BL62" i="1"/>
  <c r="BL91" i="1"/>
  <c r="BL57" i="1"/>
  <c r="BL68" i="1"/>
  <c r="BL52" i="1"/>
  <c r="BL38" i="1"/>
  <c r="BL65" i="1"/>
  <c r="BL93" i="1"/>
  <c r="BL81" i="1"/>
  <c r="BL79" i="1"/>
  <c r="BL35" i="1"/>
  <c r="BL32" i="1"/>
  <c r="BL97" i="1"/>
  <c r="BL96" i="1"/>
  <c r="BL66" i="1"/>
  <c r="BL29" i="1"/>
  <c r="BL33" i="1"/>
  <c r="BL49" i="1"/>
  <c r="BL69" i="1"/>
  <c r="BL47" i="1"/>
  <c r="BL83" i="1"/>
  <c r="BL45" i="1"/>
  <c r="BL88" i="1"/>
  <c r="BL61" i="1"/>
  <c r="BL73" i="1"/>
  <c r="BL37" i="1"/>
  <c r="BL64" i="1"/>
  <c r="BL46" i="1"/>
  <c r="BL36" i="1"/>
  <c r="BL39" i="1"/>
  <c r="BL28" i="1"/>
  <c r="BL63" i="1"/>
  <c r="BL51" i="1"/>
  <c r="CA44" i="1"/>
  <c r="CA81" i="1"/>
  <c r="CA57" i="1"/>
  <c r="CA87" i="1"/>
  <c r="CA80" i="1"/>
  <c r="CA52" i="1"/>
  <c r="CA30" i="1"/>
  <c r="CA48" i="1"/>
  <c r="CA45" i="1"/>
  <c r="CA73" i="1"/>
  <c r="CA49" i="1"/>
  <c r="CA59" i="1"/>
  <c r="CA41" i="1"/>
  <c r="CA93" i="1"/>
  <c r="CA88" i="1"/>
  <c r="CA32" i="1"/>
  <c r="CA79" i="1"/>
  <c r="CA69" i="1"/>
  <c r="CA39" i="1"/>
  <c r="CA43" i="1"/>
  <c r="CA60" i="1"/>
  <c r="CA28" i="1"/>
  <c r="CA51" i="1"/>
  <c r="CA78" i="1"/>
  <c r="CA36" i="1"/>
  <c r="CA67" i="1"/>
  <c r="CA56" i="1"/>
  <c r="CA61" i="1"/>
  <c r="CA64" i="1"/>
  <c r="CA63" i="1"/>
  <c r="CA54" i="1"/>
  <c r="CA91" i="1"/>
  <c r="CA33" i="1"/>
  <c r="CA55" i="1"/>
  <c r="CA70" i="1"/>
  <c r="CA34" i="1"/>
  <c r="CA96" i="1"/>
  <c r="CA42" i="1"/>
  <c r="CA62" i="1"/>
  <c r="CA97" i="1"/>
  <c r="CA47" i="1"/>
  <c r="CA31" i="1"/>
  <c r="CA37" i="1"/>
  <c r="CA92" i="1"/>
  <c r="CA66" i="1"/>
  <c r="CA29" i="1"/>
  <c r="CA68" i="1"/>
  <c r="CA72" i="1"/>
  <c r="CA38" i="1"/>
  <c r="CA40" i="1"/>
  <c r="CA35" i="1"/>
  <c r="CA50" i="1"/>
  <c r="CZ79" i="1"/>
  <c r="CZ34" i="1"/>
  <c r="CZ50" i="1"/>
  <c r="CZ58" i="1"/>
  <c r="CZ91" i="1"/>
  <c r="CZ76" i="1"/>
  <c r="CZ69" i="1"/>
  <c r="CZ71" i="1"/>
  <c r="CZ47" i="1"/>
  <c r="CZ61" i="1"/>
  <c r="CZ80" i="1"/>
  <c r="CZ29" i="1"/>
  <c r="CZ59" i="1"/>
  <c r="CZ42" i="1"/>
  <c r="CZ85" i="1"/>
  <c r="CZ72" i="1"/>
  <c r="CZ94" i="1"/>
  <c r="CZ32" i="1"/>
  <c r="CZ65" i="1"/>
  <c r="CZ40" i="1"/>
  <c r="CZ87" i="1"/>
  <c r="CZ55" i="1"/>
  <c r="CZ28" i="1"/>
  <c r="CZ83" i="1"/>
  <c r="CZ77" i="1"/>
  <c r="CZ46" i="1"/>
  <c r="CZ88" i="1"/>
  <c r="CZ97" i="1"/>
  <c r="CZ41" i="1"/>
  <c r="CZ45" i="1"/>
  <c r="CZ81" i="1"/>
  <c r="CZ38" i="1"/>
  <c r="CZ68" i="1"/>
  <c r="CZ60" i="1"/>
  <c r="CZ51" i="1"/>
  <c r="CZ33" i="1"/>
  <c r="CZ36" i="1"/>
  <c r="CZ56" i="1"/>
  <c r="CZ62" i="1"/>
  <c r="CZ63" i="1"/>
  <c r="CZ70" i="1"/>
  <c r="CZ52" i="1"/>
  <c r="CZ73" i="1"/>
  <c r="CZ92" i="1"/>
  <c r="CZ66" i="1"/>
  <c r="CF31" i="1"/>
  <c r="CF67" i="1"/>
  <c r="CF78" i="1"/>
  <c r="CF97" i="1"/>
  <c r="CF80" i="1"/>
  <c r="CF93" i="1"/>
  <c r="CF65" i="1"/>
  <c r="CF39" i="1"/>
  <c r="CF40" i="1"/>
  <c r="CF44" i="1"/>
  <c r="CF57" i="1"/>
  <c r="CF41" i="1"/>
  <c r="CF60" i="1"/>
  <c r="CF35" i="1"/>
  <c r="CF88" i="1"/>
  <c r="CF36" i="1"/>
  <c r="CF47" i="1"/>
  <c r="CF72" i="1"/>
  <c r="CF52" i="1"/>
  <c r="CF51" i="1"/>
  <c r="CF34" i="1"/>
  <c r="CF69" i="1"/>
  <c r="CF48" i="1"/>
  <c r="CF94" i="1"/>
  <c r="CF91" i="1"/>
  <c r="CF81" i="1"/>
  <c r="CF32" i="1"/>
  <c r="CF50" i="1"/>
  <c r="CF49" i="1"/>
  <c r="CF43" i="1"/>
  <c r="CF73" i="1"/>
  <c r="CF28" i="1"/>
  <c r="CF71" i="1"/>
  <c r="CF96" i="1"/>
  <c r="CF37" i="1"/>
  <c r="CF61" i="1"/>
  <c r="CF45" i="1"/>
  <c r="CF68" i="1"/>
  <c r="CF29" i="1"/>
  <c r="CF87" i="1"/>
  <c r="CF76" i="1"/>
  <c r="CF46" i="1"/>
  <c r="CF56" i="1"/>
  <c r="CF38" i="1"/>
  <c r="CF54" i="1"/>
  <c r="CF66" i="1"/>
  <c r="CF27" i="1"/>
  <c r="CF83" i="1"/>
  <c r="CF55" i="1"/>
  <c r="CF33" i="1"/>
  <c r="CF70" i="1"/>
  <c r="CF42" i="1"/>
  <c r="CF85" i="1"/>
  <c r="CF58" i="1"/>
  <c r="CF63" i="1"/>
  <c r="CF77" i="1"/>
  <c r="CF30" i="1"/>
  <c r="CF79" i="1"/>
  <c r="CF92" i="1"/>
  <c r="CF64" i="1"/>
  <c r="CF59" i="1"/>
  <c r="CZ49" i="1"/>
  <c r="CZ39" i="1"/>
  <c r="BS106" i="1"/>
  <c r="K127" i="1"/>
  <c r="BV49" i="1"/>
  <c r="BV34" i="1"/>
  <c r="BV35" i="1"/>
  <c r="BV30" i="1"/>
  <c r="BV67" i="1"/>
  <c r="BV47" i="1"/>
  <c r="BV70" i="1"/>
  <c r="BV82" i="1"/>
  <c r="BV57" i="1"/>
  <c r="BV32" i="1"/>
  <c r="BV42" i="1"/>
  <c r="BV79" i="1"/>
  <c r="BV97" i="1"/>
  <c r="BV69" i="1"/>
  <c r="BV44" i="1"/>
  <c r="BV66" i="1"/>
  <c r="BV40" i="1"/>
  <c r="BV60" i="1"/>
  <c r="BV64" i="1"/>
  <c r="BV51" i="1"/>
  <c r="BV36" i="1"/>
  <c r="BV96" i="1"/>
  <c r="BV80" i="1"/>
  <c r="BV63" i="1"/>
  <c r="BV54" i="1"/>
  <c r="BV29" i="1"/>
  <c r="BV48" i="1"/>
  <c r="BV45" i="1"/>
  <c r="BV81" i="1"/>
  <c r="BV31" i="1"/>
  <c r="BV46" i="1"/>
  <c r="BV71" i="1"/>
  <c r="BV50" i="1"/>
  <c r="BV83" i="1"/>
  <c r="BV58" i="1"/>
  <c r="BV33" i="1"/>
  <c r="BV78" i="1"/>
  <c r="BV38" i="1"/>
  <c r="BV91" i="1"/>
  <c r="BV41" i="1"/>
  <c r="BV87" i="1"/>
  <c r="BV92" i="1"/>
  <c r="BV59" i="1"/>
  <c r="BV55" i="1"/>
  <c r="BV68" i="1"/>
  <c r="BV62" i="1"/>
  <c r="BV73" i="1"/>
  <c r="BV27" i="1"/>
  <c r="BV56" i="1"/>
  <c r="BV52" i="1"/>
  <c r="BV37" i="1"/>
  <c r="BV93" i="1"/>
  <c r="BV39" i="1"/>
  <c r="BV28" i="1"/>
  <c r="BV85" i="1"/>
  <c r="BV72" i="1"/>
  <c r="BV61" i="1"/>
  <c r="BV65" i="1"/>
  <c r="BV43" i="1"/>
  <c r="BV88" i="1"/>
  <c r="CZ78" i="1"/>
  <c r="CZ35" i="1"/>
  <c r="ED49" i="1"/>
  <c r="CK79" i="1"/>
  <c r="CK27" i="1"/>
  <c r="CK29" i="1"/>
  <c r="CK65" i="1"/>
  <c r="CK70" i="1"/>
  <c r="CK96" i="1"/>
  <c r="CK91" i="1"/>
  <c r="CK50" i="1"/>
  <c r="CK85" i="1"/>
  <c r="CK49" i="1"/>
  <c r="CK77" i="1"/>
  <c r="CK73" i="1"/>
  <c r="CK78" i="1"/>
  <c r="CK72" i="1"/>
  <c r="CK57" i="1"/>
  <c r="CK47" i="1"/>
  <c r="CK63" i="1"/>
  <c r="CK37" i="1"/>
  <c r="CK32" i="1"/>
  <c r="CK43" i="1"/>
  <c r="CK52" i="1"/>
  <c r="CK64" i="1"/>
  <c r="CK97" i="1"/>
  <c r="CK60" i="1"/>
  <c r="CK71" i="1"/>
  <c r="CK31" i="1"/>
  <c r="CK66" i="1"/>
  <c r="CK62" i="1"/>
  <c r="CK39" i="1"/>
  <c r="CK41" i="1"/>
  <c r="CK88" i="1"/>
  <c r="CK76" i="1"/>
  <c r="CK80" i="1"/>
  <c r="CK51" i="1"/>
  <c r="CK67" i="1"/>
  <c r="CK33" i="1"/>
  <c r="CK83" i="1"/>
  <c r="CK40" i="1"/>
  <c r="CK87" i="1"/>
  <c r="CK28" i="1"/>
  <c r="CK94" i="1"/>
  <c r="CK34" i="1"/>
  <c r="CK42" i="1"/>
  <c r="CK35" i="1"/>
  <c r="CK81" i="1"/>
  <c r="CK45" i="1"/>
  <c r="CK69" i="1"/>
  <c r="CK36" i="1"/>
  <c r="CK58" i="1"/>
  <c r="CK61" i="1"/>
  <c r="CK30" i="1"/>
  <c r="CK48" i="1"/>
  <c r="CK68" i="1"/>
  <c r="CK56" i="1"/>
  <c r="CK54" i="1"/>
  <c r="CK46" i="1"/>
  <c r="CK59" i="1"/>
  <c r="CK93" i="1"/>
  <c r="CK92" i="1"/>
  <c r="CK38" i="1"/>
  <c r="CK44" i="1"/>
  <c r="CK55" i="1"/>
  <c r="CZ57" i="1"/>
  <c r="CZ53" i="1"/>
  <c r="ED50" i="1"/>
  <c r="CZ93" i="1"/>
  <c r="CF62" i="1"/>
  <c r="ED69" i="1"/>
  <c r="ED31" i="1"/>
  <c r="CZ37" i="1"/>
  <c r="ED97" i="1"/>
  <c r="DJ84" i="1"/>
  <c r="DJ75" i="1"/>
  <c r="DJ65" i="1"/>
  <c r="DJ82" i="1"/>
  <c r="DJ44" i="1"/>
  <c r="DJ28" i="1"/>
  <c r="DJ71" i="1"/>
  <c r="DJ96" i="1"/>
  <c r="DJ92" i="1"/>
  <c r="DJ55" i="1"/>
  <c r="DJ70" i="1"/>
  <c r="DJ56" i="1"/>
  <c r="DJ39" i="1"/>
  <c r="DJ58" i="1"/>
  <c r="DJ63" i="1"/>
  <c r="DJ57" i="1"/>
  <c r="DJ77" i="1"/>
  <c r="DJ42" i="1"/>
  <c r="DJ32" i="1"/>
  <c r="DJ33" i="1"/>
  <c r="DJ40" i="1"/>
  <c r="DJ87" i="1"/>
  <c r="DJ61" i="1"/>
  <c r="DJ93" i="1"/>
  <c r="DJ74" i="1"/>
  <c r="DJ76" i="1"/>
  <c r="DJ83" i="1"/>
  <c r="DJ46" i="1"/>
  <c r="DJ54" i="1"/>
  <c r="DJ67" i="1"/>
  <c r="DJ78" i="1"/>
  <c r="DJ51" i="1"/>
  <c r="DJ97" i="1"/>
  <c r="DJ38" i="1"/>
  <c r="DJ47" i="1"/>
  <c r="DJ50" i="1"/>
  <c r="DJ31" i="1"/>
  <c r="DJ64" i="1"/>
  <c r="DJ59" i="1"/>
  <c r="DJ43" i="1"/>
  <c r="DJ37" i="1"/>
  <c r="DJ27" i="1"/>
  <c r="DJ81" i="1"/>
  <c r="DJ41" i="1"/>
  <c r="DJ73" i="1"/>
  <c r="DJ68" i="1"/>
  <c r="DJ30" i="1"/>
  <c r="DJ53" i="1"/>
  <c r="DJ80" i="1"/>
  <c r="DJ66" i="1"/>
  <c r="DJ29" i="1"/>
  <c r="DJ88" i="1"/>
  <c r="DJ45" i="1"/>
  <c r="DJ35" i="1"/>
  <c r="DJ62" i="1"/>
  <c r="DJ36" i="1"/>
  <c r="DJ72" i="1"/>
  <c r="DJ60" i="1"/>
  <c r="DJ34" i="1"/>
  <c r="DJ69" i="1"/>
  <c r="DJ94" i="1"/>
  <c r="DJ85" i="1"/>
  <c r="DJ48" i="1"/>
  <c r="DJ49" i="1"/>
  <c r="DJ79" i="1"/>
  <c r="DJ91" i="1"/>
  <c r="DJ52" i="1"/>
  <c r="ED75" i="1"/>
  <c r="ED37" i="1"/>
  <c r="ED85" i="1"/>
  <c r="ED92" i="1"/>
  <c r="ED66" i="1"/>
  <c r="ED84" i="1"/>
  <c r="ED35" i="1"/>
  <c r="ED34" i="1"/>
  <c r="ED91" i="1"/>
  <c r="ED38" i="1"/>
  <c r="ED46" i="1"/>
  <c r="ED67" i="1"/>
  <c r="ED71" i="1"/>
  <c r="ED83" i="1"/>
  <c r="ED48" i="1"/>
  <c r="ED57" i="1"/>
  <c r="ED45" i="1"/>
  <c r="ED68" i="1"/>
  <c r="ED79" i="1"/>
  <c r="ED56" i="1"/>
  <c r="ED59" i="1"/>
  <c r="ED80" i="1"/>
  <c r="ED78" i="1"/>
  <c r="ED32" i="1"/>
  <c r="ED55" i="1"/>
  <c r="ED39" i="1"/>
  <c r="ED72" i="1"/>
  <c r="ED28" i="1"/>
  <c r="ED40" i="1"/>
  <c r="ED62" i="1"/>
  <c r="ED61" i="1"/>
  <c r="ED87" i="1"/>
  <c r="ED64" i="1"/>
  <c r="ED41" i="1"/>
  <c r="ED47" i="1"/>
  <c r="ED29" i="1"/>
  <c r="ED70" i="1"/>
  <c r="ED58" i="1"/>
  <c r="ED74" i="1"/>
  <c r="ED88" i="1"/>
  <c r="ED36" i="1"/>
  <c r="ED82" i="1"/>
  <c r="ED43" i="1"/>
  <c r="ED81" i="1"/>
  <c r="ED33" i="1"/>
  <c r="ED51" i="1"/>
  <c r="ED94" i="1"/>
  <c r="ED63" i="1"/>
  <c r="ED73" i="1"/>
  <c r="ED52" i="1"/>
  <c r="CZ30" i="1"/>
  <c r="CZ64" i="1"/>
  <c r="ED60" i="1"/>
  <c r="ED76" i="1"/>
  <c r="CZ43" i="1"/>
  <c r="CZ54" i="1"/>
  <c r="ED30" i="1"/>
  <c r="ED93" i="1"/>
  <c r="ER88" i="1"/>
  <c r="ER64" i="1"/>
  <c r="EJ88" i="1"/>
  <c r="FD88" i="1"/>
  <c r="EW90" i="1"/>
  <c r="EY90" i="1"/>
  <c r="EQ64" i="1"/>
  <c r="ET90" i="1"/>
  <c r="EM64" i="1"/>
  <c r="EN64" i="1"/>
  <c r="EK64" i="1"/>
  <c r="EW89" i="1"/>
  <c r="EY89" i="1"/>
  <c r="EV89" i="1"/>
  <c r="EX89" i="1"/>
  <c r="FF90" i="1"/>
  <c r="FD90" i="1"/>
  <c r="ES90" i="1"/>
  <c r="FA90" i="1"/>
  <c r="EV90" i="1"/>
  <c r="EX90" i="1"/>
  <c r="EO90" i="1"/>
  <c r="EL88" i="1"/>
  <c r="EK88" i="1"/>
  <c r="EN88" i="1"/>
  <c r="ET89" i="1"/>
  <c r="EO89" i="1"/>
  <c r="EL64" i="1"/>
  <c r="ET64" i="1"/>
  <c r="EQ88" i="1"/>
  <c r="FD89" i="1"/>
  <c r="FF89" i="1"/>
  <c r="ES89" i="1"/>
  <c r="FA89" i="1"/>
  <c r="EJ64" i="1"/>
  <c r="EM88" i="1"/>
  <c r="FB88" i="1"/>
  <c r="EL85" i="1"/>
  <c r="ER41" i="1"/>
  <c r="ER67" i="1"/>
  <c r="ER96" i="1"/>
  <c r="EM37" i="1"/>
  <c r="EQ54" i="1"/>
  <c r="EM27" i="1"/>
  <c r="FB27" i="1"/>
  <c r="EM44" i="1"/>
  <c r="FB44" i="1"/>
  <c r="EM59" i="1"/>
  <c r="EQ83" i="1"/>
  <c r="EQ35" i="1"/>
  <c r="EM48" i="1"/>
  <c r="EL91" i="1"/>
  <c r="EJ60" i="1"/>
  <c r="EL46" i="1"/>
  <c r="EL69" i="1"/>
  <c r="ER66" i="1"/>
  <c r="EM56" i="1"/>
  <c r="FB56" i="1"/>
  <c r="EJ30" i="1"/>
  <c r="FF30" i="1"/>
  <c r="EL81" i="1"/>
  <c r="ER79" i="1"/>
  <c r="ER39" i="1"/>
  <c r="ER65" i="1"/>
  <c r="EJ49" i="1"/>
  <c r="EJ63" i="1"/>
  <c r="EJ43" i="1"/>
  <c r="ER51" i="1"/>
  <c r="EQ36" i="1"/>
  <c r="EQ92" i="1"/>
  <c r="EQ57" i="1"/>
  <c r="ER58" i="1"/>
  <c r="ER87" i="1"/>
  <c r="EM42" i="1"/>
  <c r="FB42" i="1"/>
  <c r="EQ55" i="1"/>
  <c r="ER29" i="1"/>
  <c r="EM73" i="1"/>
  <c r="EM78" i="1"/>
  <c r="EL31" i="1"/>
  <c r="ER70" i="1"/>
  <c r="EL38" i="1"/>
  <c r="EL71" i="1"/>
  <c r="ER61" i="1"/>
  <c r="ER45" i="1"/>
  <c r="EQ28" i="1"/>
  <c r="EL68" i="1"/>
  <c r="EQ32" i="1"/>
  <c r="ER33" i="1"/>
  <c r="EM34" i="1"/>
  <c r="FB34" i="1"/>
  <c r="EQ40" i="1"/>
  <c r="EQ80" i="1"/>
  <c r="EQ72" i="1"/>
  <c r="ER30" i="1"/>
  <c r="ER52" i="1"/>
  <c r="EL50" i="1"/>
  <c r="ER97" i="1"/>
  <c r="EQ93" i="1"/>
  <c r="ER47" i="1"/>
  <c r="K125" i="1"/>
  <c r="EO95" i="1"/>
  <c r="FA86" i="1"/>
  <c r="ES86" i="1"/>
  <c r="FD86" i="1"/>
  <c r="FF86" i="1"/>
  <c r="ET95" i="1"/>
  <c r="EO86" i="1"/>
  <c r="ES95" i="1"/>
  <c r="FD95" i="1"/>
  <c r="FA95" i="1"/>
  <c r="FF95" i="1"/>
  <c r="EK61" i="1"/>
  <c r="EN61" i="1"/>
  <c r="EK96" i="1"/>
  <c r="EN96" i="1"/>
  <c r="EK68" i="1"/>
  <c r="EN68" i="1"/>
  <c r="EN92" i="1"/>
  <c r="EK92" i="1"/>
  <c r="EN67" i="1"/>
  <c r="EK67" i="1"/>
  <c r="ER60" i="1"/>
  <c r="EM71" i="1"/>
  <c r="EM69" i="1"/>
  <c r="EJ55" i="1"/>
  <c r="EM49" i="1"/>
  <c r="FB49" i="1"/>
  <c r="EL35" i="1"/>
  <c r="EJ83" i="1"/>
  <c r="EL67" i="1"/>
  <c r="ER48" i="1"/>
  <c r="EM40" i="1"/>
  <c r="FB40" i="1"/>
  <c r="EQ59" i="1"/>
  <c r="ER85" i="1"/>
  <c r="EJ72" i="1"/>
  <c r="EJ78" i="1"/>
  <c r="ER28" i="1"/>
  <c r="ER46" i="1"/>
  <c r="EQ56" i="1"/>
  <c r="ER50" i="1"/>
  <c r="EQ34" i="1"/>
  <c r="EL70" i="1"/>
  <c r="EM51" i="1"/>
  <c r="FB51" i="1"/>
  <c r="ER57" i="1"/>
  <c r="EL80" i="1"/>
  <c r="EJ45" i="1"/>
  <c r="EL30" i="1"/>
  <c r="EM47" i="1"/>
  <c r="FB47" i="1"/>
  <c r="EJ27" i="1"/>
  <c r="FF27" i="1"/>
  <c r="EJ91" i="1"/>
  <c r="FF91" i="1"/>
  <c r="EM75" i="1"/>
  <c r="FB75" i="1"/>
  <c r="EL75" i="1"/>
  <c r="EK75" i="1"/>
  <c r="EJ75" i="1"/>
  <c r="ER75" i="1"/>
  <c r="EQ75" i="1"/>
  <c r="EN75" i="1"/>
  <c r="EN51" i="1"/>
  <c r="EK51" i="1"/>
  <c r="EN97" i="1"/>
  <c r="EK97" i="1"/>
  <c r="EN57" i="1"/>
  <c r="EK57" i="1"/>
  <c r="EK41" i="1"/>
  <c r="EN41" i="1"/>
  <c r="EN43" i="1"/>
  <c r="EK43" i="1"/>
  <c r="EM33" i="1"/>
  <c r="FB33" i="1"/>
  <c r="EJ44" i="1"/>
  <c r="EM93" i="1"/>
  <c r="FB93" i="1"/>
  <c r="EM55" i="1"/>
  <c r="FB55" i="1"/>
  <c r="EQ49" i="1"/>
  <c r="EM35" i="1"/>
  <c r="FB35" i="1"/>
  <c r="ER83" i="1"/>
  <c r="EM67" i="1"/>
  <c r="FB67" i="1"/>
  <c r="EJ48" i="1"/>
  <c r="ER40" i="1"/>
  <c r="ER59" i="1"/>
  <c r="EJ85" i="1"/>
  <c r="EL72" i="1"/>
  <c r="EQ78" i="1"/>
  <c r="EL28" i="1"/>
  <c r="EJ46" i="1"/>
  <c r="FF46" i="1"/>
  <c r="ER56" i="1"/>
  <c r="EJ50" i="1"/>
  <c r="ER34" i="1"/>
  <c r="EJ70" i="1"/>
  <c r="FD70" i="1"/>
  <c r="EQ51" i="1"/>
  <c r="EM57" i="1"/>
  <c r="FB57" i="1"/>
  <c r="ER80" i="1"/>
  <c r="EM45" i="1"/>
  <c r="FB45" i="1"/>
  <c r="EM30" i="1"/>
  <c r="FB30" i="1"/>
  <c r="EL47" i="1"/>
  <c r="EQ27" i="1"/>
  <c r="ER91" i="1"/>
  <c r="EJ84" i="1"/>
  <c r="ER84" i="1"/>
  <c r="EN84" i="1"/>
  <c r="EL84" i="1"/>
  <c r="EK84" i="1"/>
  <c r="EQ84" i="1"/>
  <c r="EM84" i="1"/>
  <c r="FB84" i="1"/>
  <c r="EN63" i="1"/>
  <c r="EK63" i="1"/>
  <c r="EK45" i="1"/>
  <c r="EN45" i="1"/>
  <c r="EN32" i="1"/>
  <c r="EK32" i="1"/>
  <c r="EN91" i="1"/>
  <c r="EK91" i="1"/>
  <c r="EN87" i="1"/>
  <c r="EK87" i="1"/>
  <c r="EK44" i="1"/>
  <c r="EN44" i="1"/>
  <c r="EL33" i="1"/>
  <c r="EQ44" i="1"/>
  <c r="ER93" i="1"/>
  <c r="EL55" i="1"/>
  <c r="EL49" i="1"/>
  <c r="ER35" i="1"/>
  <c r="EM83" i="1"/>
  <c r="FB83" i="1"/>
  <c r="EJ67" i="1"/>
  <c r="FD67" i="1"/>
  <c r="EQ48" i="1"/>
  <c r="EL40" i="1"/>
  <c r="EJ59" i="1"/>
  <c r="FF59" i="1"/>
  <c r="EM85" i="1"/>
  <c r="FB85" i="1"/>
  <c r="ER72" i="1"/>
  <c r="ER78" i="1"/>
  <c r="EM28" i="1"/>
  <c r="FB28" i="1"/>
  <c r="EM46" i="1"/>
  <c r="FB46" i="1"/>
  <c r="EL56" i="1"/>
  <c r="EM50" i="1"/>
  <c r="FB50" i="1"/>
  <c r="EL34" i="1"/>
  <c r="EM70" i="1"/>
  <c r="FB70" i="1"/>
  <c r="EL51" i="1"/>
  <c r="EL57" i="1"/>
  <c r="EM80" i="1"/>
  <c r="FB80" i="1"/>
  <c r="EL45" i="1"/>
  <c r="EQ30" i="1"/>
  <c r="EQ47" i="1"/>
  <c r="ER27" i="1"/>
  <c r="EM91" i="1"/>
  <c r="FB91" i="1"/>
  <c r="EM53" i="1"/>
  <c r="FB53" i="1"/>
  <c r="EL53" i="1"/>
  <c r="EK53" i="1"/>
  <c r="ER53" i="1"/>
  <c r="EQ53" i="1"/>
  <c r="EN53" i="1"/>
  <c r="EJ53" i="1"/>
  <c r="EN28" i="1"/>
  <c r="EK28" i="1"/>
  <c r="EN83" i="1"/>
  <c r="EK83" i="1"/>
  <c r="EN35" i="1"/>
  <c r="EK35" i="1"/>
  <c r="EK62" i="1"/>
  <c r="EN62" i="1"/>
  <c r="EK42" i="1"/>
  <c r="EN42" i="1"/>
  <c r="EK59" i="1"/>
  <c r="EN59" i="1"/>
  <c r="EK74" i="1"/>
  <c r="ER74" i="1"/>
  <c r="EQ74" i="1"/>
  <c r="EL74" i="1"/>
  <c r="EN74" i="1"/>
  <c r="EJ74" i="1"/>
  <c r="EM74" i="1"/>
  <c r="FB74" i="1"/>
  <c r="EQ33" i="1"/>
  <c r="ER44" i="1"/>
  <c r="EL93" i="1"/>
  <c r="ER55" i="1"/>
  <c r="ER49" i="1"/>
  <c r="EJ35" i="1"/>
  <c r="EL83" i="1"/>
  <c r="EQ67" i="1"/>
  <c r="EL48" i="1"/>
  <c r="EJ40" i="1"/>
  <c r="EL59" i="1"/>
  <c r="EQ85" i="1"/>
  <c r="EM72" i="1"/>
  <c r="FB72" i="1"/>
  <c r="EL78" i="1"/>
  <c r="EJ28" i="1"/>
  <c r="FF28" i="1"/>
  <c r="EQ46" i="1"/>
  <c r="EJ56" i="1"/>
  <c r="FF56" i="1"/>
  <c r="EQ50" i="1"/>
  <c r="EJ34" i="1"/>
  <c r="FD34" i="1"/>
  <c r="EQ70" i="1"/>
  <c r="EJ51" i="1"/>
  <c r="EJ57" i="1"/>
  <c r="EJ80" i="1"/>
  <c r="EQ45" i="1"/>
  <c r="EJ47" i="1"/>
  <c r="FF47" i="1"/>
  <c r="EL27" i="1"/>
  <c r="EQ91" i="1"/>
  <c r="EK77" i="1"/>
  <c r="ER77" i="1"/>
  <c r="EQ77" i="1"/>
  <c r="EL77" i="1"/>
  <c r="EJ77" i="1"/>
  <c r="EN77" i="1"/>
  <c r="EM77" i="1"/>
  <c r="FB77" i="1"/>
  <c r="EN39" i="1"/>
  <c r="EK39" i="1"/>
  <c r="EK47" i="1"/>
  <c r="EN47" i="1"/>
  <c r="EN79" i="1"/>
  <c r="EK79" i="1"/>
  <c r="EK78" i="1"/>
  <c r="EN78" i="1"/>
  <c r="EN31" i="1"/>
  <c r="EK31" i="1"/>
  <c r="EN72" i="1"/>
  <c r="EK72" i="1"/>
  <c r="ER62" i="1"/>
  <c r="EJ33" i="1"/>
  <c r="EL44" i="1"/>
  <c r="EJ93" i="1"/>
  <c r="EN36" i="1"/>
  <c r="EK36" i="1"/>
  <c r="EK69" i="1"/>
  <c r="EN69" i="1"/>
  <c r="EN81" i="1"/>
  <c r="EK81" i="1"/>
  <c r="EK56" i="1"/>
  <c r="EN56" i="1"/>
  <c r="EK27" i="1"/>
  <c r="EN27" i="1"/>
  <c r="EN55" i="1"/>
  <c r="EK55" i="1"/>
  <c r="EN50" i="1"/>
  <c r="EK50" i="1"/>
  <c r="EJ96" i="1"/>
  <c r="ER37" i="1"/>
  <c r="EM36" i="1"/>
  <c r="FB36" i="1"/>
  <c r="EJ68" i="1"/>
  <c r="FD68" i="1"/>
  <c r="EL54" i="1"/>
  <c r="EJ92" i="1"/>
  <c r="EM65" i="1"/>
  <c r="FB65" i="1"/>
  <c r="EJ38" i="1"/>
  <c r="EJ29" i="1"/>
  <c r="FF29" i="1"/>
  <c r="EQ97" i="1"/>
  <c r="EJ32" i="1"/>
  <c r="ER81" i="1"/>
  <c r="EQ79" i="1"/>
  <c r="EQ87" i="1"/>
  <c r="EM66" i="1"/>
  <c r="FB66" i="1"/>
  <c r="EL43" i="1"/>
  <c r="EL63" i="1"/>
  <c r="ER42" i="1"/>
  <c r="EM52" i="1"/>
  <c r="FB52" i="1"/>
  <c r="EJ58" i="1"/>
  <c r="EM41" i="1"/>
  <c r="FB41" i="1"/>
  <c r="EM61" i="1"/>
  <c r="FB61" i="1"/>
  <c r="EQ31" i="1"/>
  <c r="EJ39" i="1"/>
  <c r="FD39" i="1"/>
  <c r="EJ73" i="1"/>
  <c r="FD73" i="1"/>
  <c r="EQ94" i="1"/>
  <c r="EM94" i="1"/>
  <c r="FB94" i="1"/>
  <c r="EL94" i="1"/>
  <c r="EN94" i="1"/>
  <c r="ER94" i="1"/>
  <c r="EJ94" i="1"/>
  <c r="EK94" i="1"/>
  <c r="EN46" i="1"/>
  <c r="EK46" i="1"/>
  <c r="EN49" i="1"/>
  <c r="EK49" i="1"/>
  <c r="EN93" i="1"/>
  <c r="EK93" i="1"/>
  <c r="EN30" i="1"/>
  <c r="EK30" i="1"/>
  <c r="EK34" i="1"/>
  <c r="EN34" i="1"/>
  <c r="EK48" i="1"/>
  <c r="EN48" i="1"/>
  <c r="EM60" i="1"/>
  <c r="FB60" i="1"/>
  <c r="EQ71" i="1"/>
  <c r="EJ69" i="1"/>
  <c r="EJ62" i="1"/>
  <c r="EM96" i="1"/>
  <c r="FB96" i="1"/>
  <c r="EQ37" i="1"/>
  <c r="ER36" i="1"/>
  <c r="ER68" i="1"/>
  <c r="EJ54" i="1"/>
  <c r="FD54" i="1"/>
  <c r="ER92" i="1"/>
  <c r="EL65" i="1"/>
  <c r="EQ38" i="1"/>
  <c r="EM29" i="1"/>
  <c r="FB29" i="1"/>
  <c r="EJ97" i="1"/>
  <c r="FD97" i="1"/>
  <c r="ER32" i="1"/>
  <c r="EJ81" i="1"/>
  <c r="EL79" i="1"/>
  <c r="EL87" i="1"/>
  <c r="EL66" i="1"/>
  <c r="EM43" i="1"/>
  <c r="FB43" i="1"/>
  <c r="EQ63" i="1"/>
  <c r="EJ42" i="1"/>
  <c r="FF42" i="1"/>
  <c r="EQ52" i="1"/>
  <c r="EM58" i="1"/>
  <c r="FB58" i="1"/>
  <c r="EL41" i="1"/>
  <c r="EJ61" i="1"/>
  <c r="FD61" i="1"/>
  <c r="ER31" i="1"/>
  <c r="EQ39" i="1"/>
  <c r="EQ73" i="1"/>
  <c r="EM82" i="1"/>
  <c r="FB82" i="1"/>
  <c r="EL82" i="1"/>
  <c r="EK82" i="1"/>
  <c r="ER82" i="1"/>
  <c r="EQ82" i="1"/>
  <c r="EN82" i="1"/>
  <c r="EJ82" i="1"/>
  <c r="EK33" i="1"/>
  <c r="EN33" i="1"/>
  <c r="EK65" i="1"/>
  <c r="EN65" i="1"/>
  <c r="EK58" i="1"/>
  <c r="EN58" i="1"/>
  <c r="EK60" i="1"/>
  <c r="EN60" i="1"/>
  <c r="EN80" i="1"/>
  <c r="EK80" i="1"/>
  <c r="EL60" i="1"/>
  <c r="ER71" i="1"/>
  <c r="EQ69" i="1"/>
  <c r="EM62" i="1"/>
  <c r="FB62" i="1"/>
  <c r="EL96" i="1"/>
  <c r="EJ37" i="1"/>
  <c r="FF37" i="1"/>
  <c r="EL36" i="1"/>
  <c r="EM68" i="1"/>
  <c r="FB68" i="1"/>
  <c r="EM54" i="1"/>
  <c r="FB54" i="1"/>
  <c r="EM92" i="1"/>
  <c r="FB92" i="1"/>
  <c r="EQ65" i="1"/>
  <c r="ER38" i="1"/>
  <c r="EL29" i="1"/>
  <c r="EM97" i="1"/>
  <c r="FB97" i="1"/>
  <c r="EL32" i="1"/>
  <c r="EM81" i="1"/>
  <c r="FB81" i="1"/>
  <c r="EM79" i="1"/>
  <c r="FB79" i="1"/>
  <c r="EJ87" i="1"/>
  <c r="FF87" i="1"/>
  <c r="EQ66" i="1"/>
  <c r="EQ43" i="1"/>
  <c r="EM63" i="1"/>
  <c r="FB63" i="1"/>
  <c r="EQ42" i="1"/>
  <c r="EJ52" i="1"/>
  <c r="EL58" i="1"/>
  <c r="EQ41" i="1"/>
  <c r="EL61" i="1"/>
  <c r="EJ31" i="1"/>
  <c r="EL39" i="1"/>
  <c r="ER73" i="1"/>
  <c r="EK37" i="1"/>
  <c r="EN37" i="1"/>
  <c r="EK29" i="1"/>
  <c r="EN29" i="1"/>
  <c r="EN38" i="1"/>
  <c r="EK38" i="1"/>
  <c r="EN40" i="1"/>
  <c r="EK40" i="1"/>
  <c r="EN54" i="1"/>
  <c r="EK54" i="1"/>
  <c r="EK71" i="1"/>
  <c r="EN71" i="1"/>
  <c r="EQ60" i="1"/>
  <c r="EJ71" i="1"/>
  <c r="ER69" i="1"/>
  <c r="EQ62" i="1"/>
  <c r="EQ96" i="1"/>
  <c r="EL37" i="1"/>
  <c r="EJ36" i="1"/>
  <c r="EQ68" i="1"/>
  <c r="ER54" i="1"/>
  <c r="EL92" i="1"/>
  <c r="EJ65" i="1"/>
  <c r="EM38" i="1"/>
  <c r="FB38" i="1"/>
  <c r="EQ29" i="1"/>
  <c r="EL97" i="1"/>
  <c r="EM32" i="1"/>
  <c r="EQ81" i="1"/>
  <c r="EJ79" i="1"/>
  <c r="EM87" i="1"/>
  <c r="FB87" i="1"/>
  <c r="EJ66" i="1"/>
  <c r="ER43" i="1"/>
  <c r="ER63" i="1"/>
  <c r="EL42" i="1"/>
  <c r="EL52" i="1"/>
  <c r="EQ58" i="1"/>
  <c r="EJ41" i="1"/>
  <c r="FF41" i="1"/>
  <c r="EQ61" i="1"/>
  <c r="EM31" i="1"/>
  <c r="FB31" i="1"/>
  <c r="EM39" i="1"/>
  <c r="FB39" i="1"/>
  <c r="EL73" i="1"/>
  <c r="ER76" i="1"/>
  <c r="EJ76" i="1"/>
  <c r="EN76" i="1"/>
  <c r="EK76" i="1"/>
  <c r="EQ76" i="1"/>
  <c r="EM76" i="1"/>
  <c r="FB76" i="1"/>
  <c r="EL76" i="1"/>
  <c r="EN73" i="1"/>
  <c r="EK73" i="1"/>
  <c r="EK66" i="1"/>
  <c r="EN66" i="1"/>
  <c r="EN52" i="1"/>
  <c r="EK52" i="1"/>
  <c r="EN85" i="1"/>
  <c r="EK85" i="1"/>
  <c r="EN70" i="1"/>
  <c r="EK70" i="1"/>
  <c r="EL62" i="1"/>
  <c r="FB37" i="1"/>
  <c r="AH100" i="1"/>
  <c r="K112" i="1"/>
  <c r="EW95" i="1"/>
  <c r="EY95" i="1"/>
  <c r="EW86" i="1"/>
  <c r="EY86" i="1"/>
  <c r="EV95" i="1"/>
  <c r="EX95" i="1"/>
  <c r="EV86" i="1"/>
  <c r="EX86" i="1"/>
  <c r="AW100" i="1"/>
  <c r="FB69" i="1"/>
  <c r="FB59" i="1"/>
  <c r="FD60" i="1"/>
  <c r="FB78" i="1"/>
  <c r="FB48" i="1"/>
  <c r="FB71" i="1"/>
  <c r="FB73" i="1"/>
  <c r="K121" i="1"/>
  <c r="EV88" i="1"/>
  <c r="EX88" i="1"/>
  <c r="EO64" i="1"/>
  <c r="FF88" i="1"/>
  <c r="EV64" i="1"/>
  <c r="EX64" i="1"/>
  <c r="EW64" i="1"/>
  <c r="EY64" i="1"/>
  <c r="EV58" i="1"/>
  <c r="EX58" i="1"/>
  <c r="FA64" i="1"/>
  <c r="FB64" i="1"/>
  <c r="ES88" i="1"/>
  <c r="FF64" i="1"/>
  <c r="ES64" i="1"/>
  <c r="FD64" i="1"/>
  <c r="EO88" i="1"/>
  <c r="FA88" i="1"/>
  <c r="EW88" i="1"/>
  <c r="EY88" i="1"/>
  <c r="ET88" i="1"/>
  <c r="ET92" i="1"/>
  <c r="EJ100" i="1"/>
  <c r="K120" i="1"/>
  <c r="EN99" i="1"/>
  <c r="EM100" i="1"/>
  <c r="K122" i="1"/>
  <c r="EM99" i="1"/>
  <c r="EK99" i="1"/>
  <c r="EL99" i="1"/>
  <c r="EJ99" i="1"/>
  <c r="EW50" i="1"/>
  <c r="EY50" i="1"/>
  <c r="EO97" i="1"/>
  <c r="FD27" i="1"/>
  <c r="EV45" i="1"/>
  <c r="EX45" i="1"/>
  <c r="ET60" i="1"/>
  <c r="FB32" i="1"/>
  <c r="FD42" i="1"/>
  <c r="EW28" i="1"/>
  <c r="EY28" i="1"/>
  <c r="EW63" i="1"/>
  <c r="EY63" i="1"/>
  <c r="ES27" i="1"/>
  <c r="EV27" i="1"/>
  <c r="EX27" i="1"/>
  <c r="ET80" i="1"/>
  <c r="EV69" i="1"/>
  <c r="EX69" i="1"/>
  <c r="EW60" i="1"/>
  <c r="EY60" i="1"/>
  <c r="EW57" i="1"/>
  <c r="EY57" i="1"/>
  <c r="EO74" i="1"/>
  <c r="EW36" i="1"/>
  <c r="EY36" i="1"/>
  <c r="EW34" i="1"/>
  <c r="EY34" i="1"/>
  <c r="EW61" i="1"/>
  <c r="EY61" i="1"/>
  <c r="EW55" i="1"/>
  <c r="EY55" i="1"/>
  <c r="EW70" i="1"/>
  <c r="EY70" i="1"/>
  <c r="EV46" i="1"/>
  <c r="EX46" i="1"/>
  <c r="EV91" i="1"/>
  <c r="EX91" i="1"/>
  <c r="ES42" i="1"/>
  <c r="FD91" i="1"/>
  <c r="EW33" i="1"/>
  <c r="EY33" i="1"/>
  <c r="EW47" i="1"/>
  <c r="EY47" i="1"/>
  <c r="EO54" i="1"/>
  <c r="EV44" i="1"/>
  <c r="EX44" i="1"/>
  <c r="FA27" i="1"/>
  <c r="EW38" i="1"/>
  <c r="EY38" i="1"/>
  <c r="EW73" i="1"/>
  <c r="EY73" i="1"/>
  <c r="ET85" i="1"/>
  <c r="EV42" i="1"/>
  <c r="EX42" i="1"/>
  <c r="EW66" i="1"/>
  <c r="EY66" i="1"/>
  <c r="EW91" i="1"/>
  <c r="EY91" i="1"/>
  <c r="EV78" i="1"/>
  <c r="EX78" i="1"/>
  <c r="FD29" i="1"/>
  <c r="FA46" i="1"/>
  <c r="FD46" i="1"/>
  <c r="ES54" i="1"/>
  <c r="ET55" i="1"/>
  <c r="EV73" i="1"/>
  <c r="EX73" i="1"/>
  <c r="EW92" i="1"/>
  <c r="EY92" i="1"/>
  <c r="EV85" i="1"/>
  <c r="EX85" i="1"/>
  <c r="EW52" i="1"/>
  <c r="EY52" i="1"/>
  <c r="EW85" i="1"/>
  <c r="EY85" i="1"/>
  <c r="ET73" i="1"/>
  <c r="FD58" i="1"/>
  <c r="FF58" i="1"/>
  <c r="EW27" i="1"/>
  <c r="EY27" i="1"/>
  <c r="FA65" i="1"/>
  <c r="EW80" i="1"/>
  <c r="EY80" i="1"/>
  <c r="EV61" i="1"/>
  <c r="EX61" i="1"/>
  <c r="ES83" i="1"/>
  <c r="ES91" i="1"/>
  <c r="ET29" i="1"/>
  <c r="FF67" i="1"/>
  <c r="FA40" i="1"/>
  <c r="EV67" i="1"/>
  <c r="EX67" i="1"/>
  <c r="EW41" i="1"/>
  <c r="EY41" i="1"/>
  <c r="EW29" i="1"/>
  <c r="EY29" i="1"/>
  <c r="EV29" i="1"/>
  <c r="EX29" i="1"/>
  <c r="EV34" i="1"/>
  <c r="EX34" i="1"/>
  <c r="EW78" i="1"/>
  <c r="EY78" i="1"/>
  <c r="FF39" i="1"/>
  <c r="ET83" i="1"/>
  <c r="ES58" i="1"/>
  <c r="EV83" i="1"/>
  <c r="EX83" i="1"/>
  <c r="EW49" i="1"/>
  <c r="EY49" i="1"/>
  <c r="ET72" i="1"/>
  <c r="FA47" i="1"/>
  <c r="EW65" i="1"/>
  <c r="EY65" i="1"/>
  <c r="FD41" i="1"/>
  <c r="EW72" i="1"/>
  <c r="EY72" i="1"/>
  <c r="ES41" i="1"/>
  <c r="EV30" i="1"/>
  <c r="EX30" i="1"/>
  <c r="EV41" i="1"/>
  <c r="EX41" i="1"/>
  <c r="EV47" i="1"/>
  <c r="EX47" i="1"/>
  <c r="EO67" i="1"/>
  <c r="FD83" i="1"/>
  <c r="EW40" i="1"/>
  <c r="EY40" i="1"/>
  <c r="FD47" i="1"/>
  <c r="EW93" i="1"/>
  <c r="EY93" i="1"/>
  <c r="FD44" i="1"/>
  <c r="FA44" i="1"/>
  <c r="ET42" i="1"/>
  <c r="ET48" i="1"/>
  <c r="ES44" i="1"/>
  <c r="FF44" i="1"/>
  <c r="EW69" i="1"/>
  <c r="EY69" i="1"/>
  <c r="EV56" i="1"/>
  <c r="EX56" i="1"/>
  <c r="FD56" i="1"/>
  <c r="EV43" i="1"/>
  <c r="EX43" i="1"/>
  <c r="FD87" i="1"/>
  <c r="ET44" i="1"/>
  <c r="FA39" i="1"/>
  <c r="EW81" i="1"/>
  <c r="EY81" i="1"/>
  <c r="EV39" i="1"/>
  <c r="EX39" i="1"/>
  <c r="EW42" i="1"/>
  <c r="EY42" i="1"/>
  <c r="EV87" i="1"/>
  <c r="EX87" i="1"/>
  <c r="FA83" i="1"/>
  <c r="FF83" i="1"/>
  <c r="EW44" i="1"/>
  <c r="EY44" i="1"/>
  <c r="FA54" i="1"/>
  <c r="ET49" i="1"/>
  <c r="FF54" i="1"/>
  <c r="FF65" i="1"/>
  <c r="ES97" i="1"/>
  <c r="FF97" i="1"/>
  <c r="ES39" i="1"/>
  <c r="FA58" i="1"/>
  <c r="FA91" i="1"/>
  <c r="EV65" i="1"/>
  <c r="EX65" i="1"/>
  <c r="FD65" i="1"/>
  <c r="EV37" i="1"/>
  <c r="EX37" i="1"/>
  <c r="FA29" i="1"/>
  <c r="EW58" i="1"/>
  <c r="EY58" i="1"/>
  <c r="FF61" i="1"/>
  <c r="ET52" i="1"/>
  <c r="EW83" i="1"/>
  <c r="EY83" i="1"/>
  <c r="FD37" i="1"/>
  <c r="EW48" i="1"/>
  <c r="EY48" i="1"/>
  <c r="EV70" i="1"/>
  <c r="EX70" i="1"/>
  <c r="FA60" i="1"/>
  <c r="FF70" i="1"/>
  <c r="FA42" i="1"/>
  <c r="FF60" i="1"/>
  <c r="FD30" i="1"/>
  <c r="FA59" i="1"/>
  <c r="FD59" i="1"/>
  <c r="EV60" i="1"/>
  <c r="EX60" i="1"/>
  <c r="ES70" i="1"/>
  <c r="EV28" i="1"/>
  <c r="EX28" i="1"/>
  <c r="FF40" i="1"/>
  <c r="ET40" i="1"/>
  <c r="FD40" i="1"/>
  <c r="ET81" i="1"/>
  <c r="FD28" i="1"/>
  <c r="ES40" i="1"/>
  <c r="FF73" i="1"/>
  <c r="EW71" i="1"/>
  <c r="EY71" i="1"/>
  <c r="EV59" i="1"/>
  <c r="EX59" i="1"/>
  <c r="EX97" i="1"/>
  <c r="FF34" i="1"/>
  <c r="EV40" i="1"/>
  <c r="EX40" i="1"/>
  <c r="EV97" i="1"/>
  <c r="EW87" i="1"/>
  <c r="EY87" i="1"/>
  <c r="EW37" i="1"/>
  <c r="EY37" i="1"/>
  <c r="EO50" i="1"/>
  <c r="EV31" i="1"/>
  <c r="EX31" i="1"/>
  <c r="EO73" i="1"/>
  <c r="EW46" i="1"/>
  <c r="EY46" i="1"/>
  <c r="EV55" i="1"/>
  <c r="EX55" i="1"/>
  <c r="EO69" i="1"/>
  <c r="EW77" i="1"/>
  <c r="EY77" i="1"/>
  <c r="EV38" i="1"/>
  <c r="EX38" i="1"/>
  <c r="EO52" i="1"/>
  <c r="EO63" i="1"/>
  <c r="EO91" i="1"/>
  <c r="EO49" i="1"/>
  <c r="EO37" i="1"/>
  <c r="EV32" i="1"/>
  <c r="EX32" i="1"/>
  <c r="EV77" i="1"/>
  <c r="EX77" i="1"/>
  <c r="EO61" i="1"/>
  <c r="EV33" i="1"/>
  <c r="EX33" i="1"/>
  <c r="EO62" i="1"/>
  <c r="EW35" i="1"/>
  <c r="EY35" i="1"/>
  <c r="ES29" i="1"/>
  <c r="ET58" i="1"/>
  <c r="EO78" i="1"/>
  <c r="ET27" i="1"/>
  <c r="EW82" i="1"/>
  <c r="EY82" i="1"/>
  <c r="EO27" i="1"/>
  <c r="EO46" i="1"/>
  <c r="EW68" i="1"/>
  <c r="EY68" i="1"/>
  <c r="EO65" i="1"/>
  <c r="EO34" i="1"/>
  <c r="EO75" i="1"/>
  <c r="EO68" i="1"/>
  <c r="EO47" i="1"/>
  <c r="EV62" i="1"/>
  <c r="EX62" i="1"/>
  <c r="EO81" i="1"/>
  <c r="EO31" i="1"/>
  <c r="EO87" i="1"/>
  <c r="EW54" i="1"/>
  <c r="EY54" i="1"/>
  <c r="EW84" i="1"/>
  <c r="EY84" i="1"/>
  <c r="FA70" i="1"/>
  <c r="ES56" i="1"/>
  <c r="ES46" i="1"/>
  <c r="EO82" i="1"/>
  <c r="EV79" i="1"/>
  <c r="EX79" i="1"/>
  <c r="EW79" i="1"/>
  <c r="EY79" i="1"/>
  <c r="EO43" i="1"/>
  <c r="EW45" i="1"/>
  <c r="EY45" i="1"/>
  <c r="EO93" i="1"/>
  <c r="EV84" i="1"/>
  <c r="EX84" i="1"/>
  <c r="EO94" i="1"/>
  <c r="EV51" i="1"/>
  <c r="EX51" i="1"/>
  <c r="EO76" i="1"/>
  <c r="EO79" i="1"/>
  <c r="EO70" i="1"/>
  <c r="EW76" i="1"/>
  <c r="EY76" i="1"/>
  <c r="FF94" i="1"/>
  <c r="FA94" i="1"/>
  <c r="FD94" i="1"/>
  <c r="ES94" i="1"/>
  <c r="EO30" i="1"/>
  <c r="EO28" i="1"/>
  <c r="EV75" i="1"/>
  <c r="EX75" i="1"/>
  <c r="EV94" i="1"/>
  <c r="EX94" i="1"/>
  <c r="EO85" i="1"/>
  <c r="EO29" i="1"/>
  <c r="FF53" i="1"/>
  <c r="ES53" i="1"/>
  <c r="FD53" i="1"/>
  <c r="FA53" i="1"/>
  <c r="ET30" i="1"/>
  <c r="EO56" i="1"/>
  <c r="FA93" i="1"/>
  <c r="FF93" i="1"/>
  <c r="ES93" i="1"/>
  <c r="FD93" i="1"/>
  <c r="EO42" i="1"/>
  <c r="EY97" i="1"/>
  <c r="ET97" i="1"/>
  <c r="EO39" i="1"/>
  <c r="FA48" i="1"/>
  <c r="FF48" i="1"/>
  <c r="ES48" i="1"/>
  <c r="FD48" i="1"/>
  <c r="FA84" i="1"/>
  <c r="ES84" i="1"/>
  <c r="FD84" i="1"/>
  <c r="FF84" i="1"/>
  <c r="FA73" i="1"/>
  <c r="K117" i="1"/>
  <c r="FA30" i="1"/>
  <c r="ET33" i="1"/>
  <c r="ES28" i="1"/>
  <c r="FA43" i="1"/>
  <c r="FF43" i="1"/>
  <c r="FD43" i="1"/>
  <c r="ES43" i="1"/>
  <c r="ET51" i="1"/>
  <c r="ES92" i="1"/>
  <c r="FF92" i="1"/>
  <c r="FA92" i="1"/>
  <c r="FD92" i="1"/>
  <c r="ET74" i="1"/>
  <c r="FA87" i="1"/>
  <c r="ES65" i="1"/>
  <c r="ES72" i="1"/>
  <c r="FD72" i="1"/>
  <c r="FF72" i="1"/>
  <c r="FA72" i="1"/>
  <c r="EO38" i="1"/>
  <c r="ES81" i="1"/>
  <c r="FA81" i="1"/>
  <c r="FF81" i="1"/>
  <c r="FD81" i="1"/>
  <c r="EW59" i="1"/>
  <c r="EY59" i="1"/>
  <c r="ES37" i="1"/>
  <c r="K118" i="1"/>
  <c r="FF36" i="1"/>
  <c r="FA36" i="1"/>
  <c r="ES36" i="1"/>
  <c r="FD36" i="1"/>
  <c r="FA49" i="1"/>
  <c r="ES49" i="1"/>
  <c r="FD49" i="1"/>
  <c r="FF49" i="1"/>
  <c r="EW75" i="1"/>
  <c r="EY75" i="1"/>
  <c r="EW94" i="1"/>
  <c r="EY94" i="1"/>
  <c r="EV68" i="1"/>
  <c r="EX68" i="1"/>
  <c r="ET61" i="1"/>
  <c r="EV36" i="1"/>
  <c r="EX36" i="1"/>
  <c r="ET35" i="1"/>
  <c r="EO33" i="1"/>
  <c r="EO72" i="1"/>
  <c r="EW53" i="1"/>
  <c r="EY53" i="1"/>
  <c r="EV92" i="1"/>
  <c r="EX92" i="1"/>
  <c r="EV82" i="1"/>
  <c r="EX82" i="1"/>
  <c r="EO57" i="1"/>
  <c r="ET56" i="1"/>
  <c r="FD52" i="1"/>
  <c r="ES52" i="1"/>
  <c r="FF52" i="1"/>
  <c r="FA52" i="1"/>
  <c r="EO36" i="1"/>
  <c r="EO96" i="1"/>
  <c r="EO35" i="1"/>
  <c r="ET38" i="1"/>
  <c r="ET53" i="1"/>
  <c r="ES57" i="1"/>
  <c r="FD57" i="1"/>
  <c r="FF57" i="1"/>
  <c r="FA57" i="1"/>
  <c r="ET32" i="1"/>
  <c r="K113" i="1"/>
  <c r="EV54" i="1"/>
  <c r="EX54" i="1"/>
  <c r="EW62" i="1"/>
  <c r="EY62" i="1"/>
  <c r="ET70" i="1"/>
  <c r="ES77" i="1"/>
  <c r="FA77" i="1"/>
  <c r="FD77" i="1"/>
  <c r="FF77" i="1"/>
  <c r="ET82" i="1"/>
  <c r="ET45" i="1"/>
  <c r="ET46" i="1"/>
  <c r="EV63" i="1"/>
  <c r="EX63" i="1"/>
  <c r="FA31" i="1"/>
  <c r="FD31" i="1"/>
  <c r="FF31" i="1"/>
  <c r="ES31" i="1"/>
  <c r="ES67" i="1"/>
  <c r="FF76" i="1"/>
  <c r="ES76" i="1"/>
  <c r="FD76" i="1"/>
  <c r="FA76" i="1"/>
  <c r="EO71" i="1"/>
  <c r="ET87" i="1"/>
  <c r="EO80" i="1"/>
  <c r="EV52" i="1"/>
  <c r="EX52" i="1"/>
  <c r="EV57" i="1"/>
  <c r="EX57" i="1"/>
  <c r="ES47" i="1"/>
  <c r="EW97" i="1"/>
  <c r="ES68" i="1"/>
  <c r="FA68" i="1"/>
  <c r="FF68" i="1"/>
  <c r="EV49" i="1"/>
  <c r="EX49" i="1"/>
  <c r="EV81" i="1"/>
  <c r="EX81" i="1"/>
  <c r="FA96" i="1"/>
  <c r="FD96" i="1"/>
  <c r="ES96" i="1"/>
  <c r="EX96" i="1"/>
  <c r="FF96" i="1"/>
  <c r="ET77" i="1"/>
  <c r="EO40" i="1"/>
  <c r="ES74" i="1"/>
  <c r="FD74" i="1"/>
  <c r="FA74" i="1"/>
  <c r="FF74" i="1"/>
  <c r="ET36" i="1"/>
  <c r="EO32" i="1"/>
  <c r="ET31" i="1"/>
  <c r="EV71" i="1"/>
  <c r="EX71" i="1"/>
  <c r="FA56" i="1"/>
  <c r="FA67" i="1"/>
  <c r="ET76" i="1"/>
  <c r="ET54" i="1"/>
  <c r="ET34" i="1"/>
  <c r="ET71" i="1"/>
  <c r="ES34" i="1"/>
  <c r="ET59" i="1"/>
  <c r="FF50" i="1"/>
  <c r="FD50" i="1"/>
  <c r="ES50" i="1"/>
  <c r="FA50" i="1"/>
  <c r="EW67" i="1"/>
  <c r="EY67" i="1"/>
  <c r="FA35" i="1"/>
  <c r="FF35" i="1"/>
  <c r="ES35" i="1"/>
  <c r="FD35" i="1"/>
  <c r="EV72" i="1"/>
  <c r="EX72" i="1"/>
  <c r="ET66" i="1"/>
  <c r="ET37" i="1"/>
  <c r="FA82" i="1"/>
  <c r="ES82" i="1"/>
  <c r="FD82" i="1"/>
  <c r="FF82" i="1"/>
  <c r="FF71" i="1"/>
  <c r="FA71" i="1"/>
  <c r="FD71" i="1"/>
  <c r="ES71" i="1"/>
  <c r="ET93" i="1"/>
  <c r="ET39" i="1"/>
  <c r="EO84" i="1"/>
  <c r="FA41" i="1"/>
  <c r="FA37" i="1"/>
  <c r="ES60" i="1"/>
  <c r="FA97" i="1"/>
  <c r="EW32" i="1"/>
  <c r="EY32" i="1"/>
  <c r="FA34" i="1"/>
  <c r="FA61" i="1"/>
  <c r="EO83" i="1"/>
  <c r="ET50" i="1"/>
  <c r="ET68" i="1"/>
  <c r="ET62" i="1"/>
  <c r="EV53" i="1"/>
  <c r="EX53" i="1"/>
  <c r="EO77" i="1"/>
  <c r="FA79" i="1"/>
  <c r="ES79" i="1"/>
  <c r="FD79" i="1"/>
  <c r="FF79" i="1"/>
  <c r="FA38" i="1"/>
  <c r="ES38" i="1"/>
  <c r="FF38" i="1"/>
  <c r="FD38" i="1"/>
  <c r="ES80" i="1"/>
  <c r="FD80" i="1"/>
  <c r="FF80" i="1"/>
  <c r="FA80" i="1"/>
  <c r="ET43" i="1"/>
  <c r="EW51" i="1"/>
  <c r="EY51" i="1"/>
  <c r="ET91" i="1"/>
  <c r="EV96" i="1"/>
  <c r="EO92" i="1"/>
  <c r="EW74" i="1"/>
  <c r="EY74" i="1"/>
  <c r="ET65" i="1"/>
  <c r="FF69" i="1"/>
  <c r="FA69" i="1"/>
  <c r="FD69" i="1"/>
  <c r="ES69" i="1"/>
  <c r="ES73" i="1"/>
  <c r="EV74" i="1"/>
  <c r="EX74" i="1"/>
  <c r="ES30" i="1"/>
  <c r="ES59" i="1"/>
  <c r="EW56" i="1"/>
  <c r="EY56" i="1"/>
  <c r="ES61" i="1"/>
  <c r="EV50" i="1"/>
  <c r="EX50" i="1"/>
  <c r="EO55" i="1"/>
  <c r="EW96" i="1"/>
  <c r="EO66" i="1"/>
  <c r="EO48" i="1"/>
  <c r="FD78" i="1"/>
  <c r="FA78" i="1"/>
  <c r="FF78" i="1"/>
  <c r="ES78" i="1"/>
  <c r="EO60" i="1"/>
  <c r="FA32" i="1"/>
  <c r="FD32" i="1"/>
  <c r="FF32" i="1"/>
  <c r="ES32" i="1"/>
  <c r="EV35" i="1"/>
  <c r="EX35" i="1"/>
  <c r="FF45" i="1"/>
  <c r="FD45" i="1"/>
  <c r="FA45" i="1"/>
  <c r="ES45" i="1"/>
  <c r="EO51" i="1"/>
  <c r="ET78" i="1"/>
  <c r="EV80" i="1"/>
  <c r="EX80" i="1"/>
  <c r="EV48" i="1"/>
  <c r="EX48" i="1"/>
  <c r="EV93" i="1"/>
  <c r="EX93" i="1"/>
  <c r="ET84" i="1"/>
  <c r="FF55" i="1"/>
  <c r="FA55" i="1"/>
  <c r="ES55" i="1"/>
  <c r="FD55" i="1"/>
  <c r="EW30" i="1"/>
  <c r="EY30" i="1"/>
  <c r="ES87" i="1"/>
  <c r="FA28" i="1"/>
  <c r="FF75" i="1"/>
  <c r="FD75" i="1"/>
  <c r="FA75" i="1"/>
  <c r="ES75" i="1"/>
  <c r="ET57" i="1"/>
  <c r="EO58" i="1"/>
  <c r="ET67" i="1"/>
  <c r="EY96" i="1"/>
  <c r="ET96" i="1"/>
  <c r="ET75" i="1"/>
  <c r="ET94" i="1"/>
  <c r="EO44" i="1"/>
  <c r="FD66" i="1"/>
  <c r="FA66" i="1"/>
  <c r="ES66" i="1"/>
  <c r="FF66" i="1"/>
  <c r="ET69" i="1"/>
  <c r="FD62" i="1"/>
  <c r="FF62" i="1"/>
  <c r="FA62" i="1"/>
  <c r="ES62" i="1"/>
  <c r="EO53" i="1"/>
  <c r="FD85" i="1"/>
  <c r="FA85" i="1"/>
  <c r="ES85" i="1"/>
  <c r="FF85" i="1"/>
  <c r="ET63" i="1"/>
  <c r="EO45" i="1"/>
  <c r="FF63" i="1"/>
  <c r="ES63" i="1"/>
  <c r="FA63" i="1"/>
  <c r="FD63" i="1"/>
  <c r="ET79" i="1"/>
  <c r="FD33" i="1"/>
  <c r="ES33" i="1"/>
  <c r="FA33" i="1"/>
  <c r="FF33" i="1"/>
  <c r="FD51" i="1"/>
  <c r="FF51" i="1"/>
  <c r="ES51" i="1"/>
  <c r="FA51" i="1"/>
  <c r="EO41" i="1"/>
  <c r="EW43" i="1"/>
  <c r="EY43" i="1"/>
  <c r="ET28" i="1"/>
  <c r="EV76" i="1"/>
  <c r="EX76" i="1"/>
  <c r="ET41" i="1"/>
  <c r="EO59" i="1"/>
  <c r="ET47" i="1"/>
  <c r="EW31" i="1"/>
  <c r="EY31" i="1"/>
  <c r="EV66" i="1"/>
  <c r="EX66" i="1"/>
  <c r="EW39" i="1"/>
  <c r="EY39" i="1"/>
  <c r="EO99" i="1"/>
  <c r="CY71" i="39" l="1"/>
  <c r="DA71" i="39"/>
  <c r="CZ71" i="39"/>
  <c r="DA11" i="39"/>
  <c r="CZ11" i="39"/>
  <c r="CY11" i="39"/>
  <c r="CY33" i="39"/>
  <c r="DA33" i="39"/>
  <c r="CZ33" i="39"/>
  <c r="DA50" i="39"/>
  <c r="CZ50" i="39"/>
  <c r="CY50" i="39"/>
  <c r="CZ65" i="39"/>
  <c r="DA65" i="39"/>
  <c r="CY65" i="39"/>
  <c r="CZ80" i="39"/>
  <c r="DA80" i="39"/>
  <c r="CY80" i="39"/>
  <c r="DA59" i="39"/>
  <c r="CZ59" i="39"/>
  <c r="CY59" i="39"/>
  <c r="DA98" i="39"/>
  <c r="CY98" i="39"/>
  <c r="CZ98" i="39"/>
  <c r="CY75" i="39"/>
  <c r="DA75" i="39"/>
  <c r="CZ75" i="39"/>
  <c r="CZ15" i="39"/>
  <c r="DA15" i="39"/>
  <c r="CY15" i="39"/>
  <c r="CZ25" i="39"/>
  <c r="DA25" i="39"/>
  <c r="CY25" i="39"/>
  <c r="DA57" i="39"/>
  <c r="CZ57" i="39"/>
  <c r="CY57" i="39"/>
  <c r="CY60" i="39"/>
  <c r="CZ60" i="39"/>
  <c r="DA60" i="39"/>
  <c r="CZ73" i="39"/>
  <c r="CY73" i="39"/>
  <c r="DA73" i="39"/>
  <c r="DA72" i="39"/>
  <c r="CZ72" i="39"/>
  <c r="CY72" i="39"/>
  <c r="CY84" i="39"/>
  <c r="DA84" i="39"/>
  <c r="CZ84" i="39"/>
  <c r="DA52" i="39"/>
  <c r="CZ52" i="39"/>
  <c r="CY52" i="39"/>
  <c r="CY43" i="39"/>
  <c r="DA43" i="39"/>
  <c r="CZ43" i="39"/>
  <c r="DA82" i="39"/>
  <c r="CZ82" i="39"/>
  <c r="CY82" i="39"/>
  <c r="DA12" i="39"/>
  <c r="CZ12" i="39"/>
  <c r="CY12" i="39"/>
  <c r="CZ46" i="39"/>
  <c r="DA46" i="39"/>
  <c r="CY46" i="39"/>
  <c r="DA64" i="39"/>
  <c r="CY64" i="39"/>
  <c r="CZ64" i="39"/>
  <c r="DA51" i="39"/>
  <c r="CZ51" i="39"/>
  <c r="CY51" i="39"/>
  <c r="CY93" i="39"/>
  <c r="DA93" i="39"/>
  <c r="CZ93" i="39"/>
  <c r="CY66" i="39"/>
  <c r="CZ66" i="39"/>
  <c r="DA66" i="39"/>
  <c r="CZ49" i="39"/>
  <c r="CY49" i="39"/>
  <c r="DA49" i="39"/>
  <c r="DA56" i="39"/>
  <c r="CZ56" i="39"/>
  <c r="CY56" i="39"/>
  <c r="DA45" i="39"/>
  <c r="CZ45" i="39"/>
  <c r="CY45" i="39"/>
  <c r="DA10" i="39"/>
  <c r="CZ10" i="39"/>
  <c r="CY10" i="39"/>
  <c r="DA42" i="39"/>
  <c r="CZ42" i="39"/>
  <c r="CY42" i="39"/>
  <c r="DA18" i="39"/>
  <c r="CZ18" i="39"/>
  <c r="CY18" i="39"/>
  <c r="DA41" i="39"/>
  <c r="CZ41" i="39"/>
  <c r="CY41" i="39"/>
  <c r="DA88" i="39"/>
  <c r="CZ88" i="39"/>
  <c r="CY88" i="39"/>
  <c r="DA95" i="39"/>
  <c r="CZ95" i="39"/>
  <c r="CY95" i="39"/>
  <c r="CY70" i="39"/>
  <c r="CZ70" i="39"/>
  <c r="DA70" i="39"/>
  <c r="DA55" i="39"/>
  <c r="CZ55" i="39"/>
  <c r="CY55" i="39"/>
  <c r="DA14" i="39"/>
  <c r="CZ14" i="39"/>
  <c r="CY14" i="39"/>
  <c r="CZ48" i="39"/>
  <c r="CY48" i="39"/>
  <c r="DA48" i="39"/>
  <c r="CZ53" i="39"/>
  <c r="CY53" i="39"/>
  <c r="DA53" i="39"/>
  <c r="DA62" i="39"/>
  <c r="CZ62" i="39"/>
  <c r="CY62" i="39"/>
  <c r="CZ74" i="39"/>
  <c r="CY74" i="39"/>
  <c r="DA74" i="39"/>
  <c r="DA96" i="39"/>
  <c r="CZ96" i="39"/>
  <c r="CY96" i="39"/>
  <c r="DA99" i="39"/>
  <c r="CZ99" i="39"/>
  <c r="CY99" i="39"/>
  <c r="DA19" i="39"/>
  <c r="CZ19" i="39"/>
  <c r="CY19" i="39"/>
  <c r="DA39" i="39"/>
  <c r="CZ39" i="39"/>
  <c r="CY39" i="39"/>
  <c r="CZ27" i="39"/>
  <c r="DA27" i="39"/>
  <c r="CY27" i="39"/>
  <c r="CZ16" i="39"/>
  <c r="CY16" i="39"/>
  <c r="DA16" i="39"/>
  <c r="CZ17" i="39"/>
  <c r="CY17" i="39"/>
  <c r="DA17" i="39"/>
  <c r="DA23" i="39"/>
  <c r="CZ23" i="39"/>
  <c r="CY23" i="39"/>
  <c r="DA22" i="39"/>
  <c r="CZ22" i="39"/>
  <c r="CY22" i="39"/>
  <c r="CY76" i="39"/>
  <c r="CZ76" i="39"/>
  <c r="DA76" i="39"/>
  <c r="CY21" i="39"/>
  <c r="DA21" i="39"/>
  <c r="CZ21" i="39"/>
  <c r="DA30" i="39"/>
  <c r="CZ30" i="39"/>
  <c r="CY30" i="39"/>
  <c r="DA38" i="39"/>
  <c r="CZ38" i="39"/>
  <c r="CY38" i="39"/>
  <c r="DA61" i="39"/>
  <c r="CZ61" i="39"/>
  <c r="CY61" i="39"/>
  <c r="CZ29" i="39"/>
  <c r="CY29" i="39"/>
  <c r="DA29" i="39"/>
  <c r="DA31" i="39"/>
  <c r="CZ31" i="39"/>
  <c r="CY31" i="39"/>
  <c r="CZ63" i="39"/>
  <c r="CY63" i="39"/>
  <c r="DA63" i="39"/>
  <c r="CZ100" i="39"/>
  <c r="CY100" i="39"/>
  <c r="DA100" i="39"/>
  <c r="CY13" i="39"/>
  <c r="DA13" i="39"/>
  <c r="CZ13" i="39"/>
  <c r="DA87" i="39"/>
  <c r="CZ87" i="39"/>
  <c r="CY87" i="39"/>
  <c r="CZ32" i="39"/>
  <c r="CY32" i="39"/>
  <c r="DA32" i="39"/>
  <c r="CZ58" i="39"/>
  <c r="CY58" i="39"/>
  <c r="DA58" i="39"/>
  <c r="DA36" i="39"/>
  <c r="CZ36" i="39"/>
  <c r="CY36" i="39"/>
  <c r="DA37" i="39"/>
  <c r="CY37" i="39"/>
  <c r="CZ37" i="39"/>
  <c r="DA92" i="39"/>
  <c r="CZ92" i="39"/>
  <c r="CY92" i="39"/>
  <c r="CZ94" i="39"/>
  <c r="CY94" i="39"/>
  <c r="DA94" i="39"/>
  <c r="CY97" i="39"/>
  <c r="DA97" i="39"/>
  <c r="CZ97" i="39"/>
  <c r="DA40" i="39"/>
  <c r="CZ40" i="39"/>
  <c r="CY40" i="39"/>
  <c r="CY44" i="39"/>
  <c r="DA44" i="39"/>
  <c r="CZ44" i="39"/>
  <c r="CZ54" i="39"/>
  <c r="CY54" i="39"/>
  <c r="DA54" i="39"/>
  <c r="CZ24" i="39"/>
  <c r="CY24" i="39"/>
  <c r="DA24" i="39"/>
  <c r="CZ28" i="39"/>
  <c r="CY28" i="39"/>
  <c r="DA28" i="39"/>
  <c r="CZ26" i="39"/>
  <c r="CY26" i="39"/>
  <c r="DA26" i="39"/>
  <c r="DA68" i="39"/>
  <c r="CZ68" i="39"/>
  <c r="CY68" i="39"/>
  <c r="CZ35" i="39"/>
  <c r="CY35" i="39"/>
  <c r="DA35" i="39"/>
  <c r="CZ85" i="39"/>
  <c r="CY85" i="39"/>
  <c r="DA85" i="39"/>
  <c r="DA47" i="39"/>
  <c r="CZ47" i="39"/>
  <c r="CY47" i="39"/>
  <c r="DA79" i="39"/>
  <c r="CZ79" i="39"/>
  <c r="CY79" i="39"/>
  <c r="DA90" i="39"/>
  <c r="CZ90" i="39"/>
  <c r="CY90" i="39"/>
  <c r="J147" i="39"/>
  <c r="J139" i="39"/>
  <c r="J20" i="39"/>
  <c r="F99" i="47"/>
  <c r="G98" i="47"/>
  <c r="G92" i="47"/>
  <c r="G78" i="47"/>
  <c r="G82" i="47"/>
  <c r="G90" i="47"/>
  <c r="G69" i="47"/>
  <c r="G29" i="47"/>
  <c r="F15" i="47"/>
  <c r="G95" i="47"/>
  <c r="F29" i="47"/>
  <c r="G89" i="47"/>
  <c r="G46" i="47"/>
  <c r="G45" i="47"/>
  <c r="F40" i="47"/>
  <c r="G40" i="47"/>
  <c r="G21" i="47"/>
  <c r="F45" i="47"/>
  <c r="G30" i="47"/>
  <c r="G56" i="47"/>
  <c r="G11" i="47"/>
  <c r="G94" i="47"/>
  <c r="G80" i="47"/>
  <c r="G63" i="47"/>
  <c r="G39" i="47"/>
  <c r="G58" i="47"/>
  <c r="G88" i="47"/>
  <c r="G23" i="47"/>
  <c r="G60" i="47"/>
  <c r="G16" i="47"/>
  <c r="G14" i="47"/>
  <c r="G35" i="47"/>
  <c r="G79" i="47"/>
  <c r="G38" i="47"/>
  <c r="G27" i="47"/>
  <c r="F79" i="47"/>
  <c r="F22" i="47"/>
  <c r="F41" i="47"/>
  <c r="F96" i="47"/>
  <c r="F50" i="47"/>
  <c r="F37" i="47"/>
  <c r="F59" i="47"/>
  <c r="F13" i="47"/>
  <c r="F42" i="47"/>
  <c r="F76" i="47"/>
  <c r="F95" i="47"/>
  <c r="F78" i="47"/>
  <c r="F18" i="47"/>
  <c r="F63" i="47"/>
  <c r="F26" i="47"/>
  <c r="F100" i="47"/>
  <c r="F14" i="47"/>
  <c r="F86" i="47"/>
  <c r="F32" i="47"/>
  <c r="G37" i="47"/>
  <c r="G71" i="47"/>
  <c r="G86" i="47"/>
  <c r="G51" i="47"/>
  <c r="G20" i="47"/>
  <c r="G53" i="47"/>
  <c r="G67" i="47"/>
  <c r="G12" i="47"/>
  <c r="G36" i="47"/>
  <c r="F30" i="47"/>
  <c r="F17" i="47"/>
  <c r="F51" i="47"/>
  <c r="F57" i="47"/>
  <c r="F54" i="47"/>
  <c r="F36" i="47"/>
  <c r="F31" i="47"/>
  <c r="F58" i="47"/>
  <c r="G73" i="47"/>
  <c r="G61" i="47"/>
  <c r="G66" i="47"/>
  <c r="G33" i="47"/>
  <c r="G81" i="47"/>
  <c r="G34" i="47"/>
  <c r="G75" i="47"/>
  <c r="G85" i="47"/>
  <c r="F73" i="47"/>
  <c r="F93" i="47"/>
  <c r="F20" i="47"/>
  <c r="F94" i="47"/>
  <c r="F75" i="47"/>
  <c r="F56" i="47"/>
  <c r="G55" i="47"/>
  <c r="G10" i="47"/>
  <c r="G72" i="47"/>
  <c r="G74" i="47"/>
  <c r="G41" i="47"/>
  <c r="G22" i="47"/>
  <c r="G15" i="47"/>
  <c r="G57" i="47"/>
  <c r="G83" i="47"/>
  <c r="F19" i="47"/>
  <c r="F21" i="47"/>
  <c r="F91" i="47"/>
  <c r="F72" i="47"/>
  <c r="F92" i="47"/>
  <c r="F74" i="47"/>
  <c r="F23" i="47"/>
  <c r="G49" i="47"/>
  <c r="F53" i="47"/>
  <c r="F34" i="47"/>
  <c r="F39" i="47"/>
  <c r="F70" i="47"/>
  <c r="F90" i="47"/>
  <c r="F46" i="47"/>
  <c r="F84" i="47"/>
  <c r="F55" i="47"/>
  <c r="F71" i="47"/>
  <c r="F60" i="47"/>
  <c r="F66" i="47"/>
  <c r="F64" i="47"/>
  <c r="G59" i="47"/>
  <c r="G42" i="47"/>
  <c r="G44" i="47"/>
  <c r="G25" i="47"/>
  <c r="G19" i="47"/>
  <c r="G96" i="47"/>
  <c r="G68" i="47"/>
  <c r="G64" i="47"/>
  <c r="G54" i="47"/>
  <c r="F62" i="47"/>
  <c r="F24" i="47"/>
  <c r="G93" i="47"/>
  <c r="G48" i="47"/>
  <c r="G24" i="47"/>
  <c r="G100" i="47"/>
  <c r="G76" i="47"/>
  <c r="G50" i="47"/>
  <c r="F28" i="47"/>
  <c r="F48" i="47"/>
  <c r="F88" i="47"/>
  <c r="F68" i="47"/>
  <c r="F89" i="47"/>
  <c r="F69" i="47"/>
  <c r="F77" i="47"/>
  <c r="F12" i="47"/>
  <c r="F44" i="47"/>
  <c r="G47" i="47"/>
  <c r="G77" i="47"/>
  <c r="G84" i="47"/>
  <c r="G91" i="47"/>
  <c r="F80" i="47"/>
  <c r="F83" i="47"/>
  <c r="F16" i="47"/>
  <c r="F87" i="47"/>
  <c r="F67" i="47"/>
  <c r="F47" i="47"/>
  <c r="G26" i="47"/>
  <c r="F27" i="47"/>
  <c r="G70" i="47"/>
  <c r="G31" i="47"/>
  <c r="G18" i="47"/>
  <c r="F49" i="47"/>
  <c r="G97" i="47"/>
  <c r="G28" i="47"/>
  <c r="F38" i="47"/>
  <c r="F82" i="47"/>
  <c r="F33" i="47"/>
  <c r="F61" i="47"/>
  <c r="F35" i="47"/>
  <c r="G17" i="47"/>
  <c r="G43" i="47"/>
  <c r="G65" i="47"/>
  <c r="G32" i="47"/>
  <c r="G87" i="47"/>
  <c r="G62" i="47"/>
  <c r="G99" i="47"/>
  <c r="G13" i="47"/>
  <c r="F43" i="47"/>
  <c r="F11" i="47"/>
  <c r="F25" i="47"/>
  <c r="F65" i="47"/>
  <c r="F81" i="47"/>
  <c r="F10" i="47"/>
  <c r="F85" i="47"/>
  <c r="F97" i="47"/>
  <c r="F98" i="47"/>
  <c r="G49" i="45"/>
  <c r="F49" i="45"/>
  <c r="AB33" i="47"/>
  <c r="B15" i="39"/>
  <c r="B16" i="39" s="1"/>
  <c r="B17" i="39" s="1"/>
  <c r="B18" i="39" s="1"/>
  <c r="B19" i="39" s="1"/>
  <c r="B20" i="39" s="1"/>
  <c r="B21" i="39" s="1"/>
  <c r="B22" i="39" s="1"/>
  <c r="B23" i="39" s="1"/>
  <c r="B24" i="39" s="1"/>
  <c r="B25" i="39" s="1"/>
  <c r="B26" i="39" s="1"/>
  <c r="B27" i="39" s="1"/>
  <c r="B28" i="39" s="1"/>
  <c r="B29" i="39" s="1"/>
  <c r="B30" i="39" s="1"/>
  <c r="B31" i="39" s="1"/>
  <c r="B32" i="39" s="1"/>
  <c r="B33" i="39" s="1"/>
  <c r="B34" i="39" s="1"/>
  <c r="B35" i="39" s="1"/>
  <c r="B36" i="39" s="1"/>
  <c r="CX15" i="39"/>
  <c r="CV15" i="39"/>
  <c r="CX25" i="39"/>
  <c r="CV25" i="39"/>
  <c r="CX57" i="39"/>
  <c r="CV57" i="39"/>
  <c r="CX60" i="39"/>
  <c r="CV60" i="39"/>
  <c r="CW73" i="39"/>
  <c r="CX73" i="39"/>
  <c r="CV73" i="39"/>
  <c r="CX72" i="39"/>
  <c r="CV72" i="39"/>
  <c r="CV84" i="39"/>
  <c r="CX84" i="39"/>
  <c r="CW84" i="39"/>
  <c r="CX52" i="39"/>
  <c r="CV52" i="39"/>
  <c r="CX13" i="39"/>
  <c r="CV13" i="39"/>
  <c r="CX19" i="39"/>
  <c r="CV19" i="39"/>
  <c r="CX55" i="39"/>
  <c r="CV55" i="39"/>
  <c r="CX43" i="39"/>
  <c r="CV43" i="39"/>
  <c r="CX54" i="39"/>
  <c r="CV54" i="39"/>
  <c r="CW54" i="39"/>
  <c r="CV56" i="39"/>
  <c r="CX56" i="39"/>
  <c r="CW87" i="39"/>
  <c r="CV87" i="39"/>
  <c r="CX87" i="39"/>
  <c r="CX39" i="39"/>
  <c r="CV39" i="39"/>
  <c r="CX27" i="39"/>
  <c r="CV27" i="39"/>
  <c r="CX16" i="39"/>
  <c r="CV16" i="39"/>
  <c r="CW16" i="39"/>
  <c r="CX17" i="39"/>
  <c r="CV17" i="39"/>
  <c r="CX45" i="39"/>
  <c r="CV45" i="39"/>
  <c r="CX23" i="39"/>
  <c r="CV23" i="39"/>
  <c r="CX82" i="39"/>
  <c r="CV82" i="39"/>
  <c r="CX22" i="39"/>
  <c r="CV22" i="39"/>
  <c r="CV76" i="39"/>
  <c r="CX76" i="39"/>
  <c r="CX10" i="39"/>
  <c r="CV10" i="39"/>
  <c r="CX42" i="39"/>
  <c r="CV42" i="39"/>
  <c r="CX18" i="39"/>
  <c r="CV18" i="39"/>
  <c r="CX41" i="39"/>
  <c r="CV41" i="39"/>
  <c r="CV88" i="39"/>
  <c r="CW88" i="39"/>
  <c r="CX88" i="39"/>
  <c r="CW95" i="39"/>
  <c r="CX95" i="39"/>
  <c r="CV95" i="39"/>
  <c r="CW70" i="39"/>
  <c r="CX70" i="39"/>
  <c r="CV70" i="39"/>
  <c r="CX12" i="39"/>
  <c r="CV12" i="39"/>
  <c r="CX46" i="39"/>
  <c r="CV46" i="39"/>
  <c r="CX64" i="39"/>
  <c r="CV64" i="39"/>
  <c r="CW51" i="39"/>
  <c r="CX51" i="39"/>
  <c r="CV51" i="39"/>
  <c r="CV93" i="39"/>
  <c r="CW93" i="39"/>
  <c r="CX93" i="39"/>
  <c r="CX66" i="39"/>
  <c r="CV66" i="39"/>
  <c r="CX49" i="39"/>
  <c r="CV49" i="39"/>
  <c r="CX14" i="39"/>
  <c r="CV14" i="39"/>
  <c r="CX48" i="39"/>
  <c r="CV48" i="39"/>
  <c r="CX53" i="39"/>
  <c r="CV53" i="39"/>
  <c r="CX62" i="39"/>
  <c r="CV62" i="39"/>
  <c r="CX74" i="39"/>
  <c r="CV74" i="39"/>
  <c r="CW74" i="39"/>
  <c r="CV96" i="39"/>
  <c r="CW96" i="39"/>
  <c r="CX96" i="39"/>
  <c r="CW99" i="39"/>
  <c r="CX99" i="39"/>
  <c r="CV99" i="39"/>
  <c r="CX21" i="39"/>
  <c r="CV21" i="39"/>
  <c r="CX30" i="39"/>
  <c r="CV30" i="39"/>
  <c r="CV38" i="39"/>
  <c r="CX38" i="39"/>
  <c r="CX61" i="39"/>
  <c r="CV61" i="39"/>
  <c r="CW61" i="39"/>
  <c r="CX29" i="39"/>
  <c r="CV29" i="39"/>
  <c r="CV31" i="39"/>
  <c r="CX31" i="39"/>
  <c r="CW31" i="39"/>
  <c r="CW63" i="39"/>
  <c r="CV63" i="39"/>
  <c r="CX63" i="39"/>
  <c r="CV100" i="39"/>
  <c r="CX100" i="39"/>
  <c r="CW100" i="39"/>
  <c r="CV24" i="39"/>
  <c r="CX24" i="39"/>
  <c r="CX28" i="39"/>
  <c r="CV28" i="39"/>
  <c r="CX26" i="39"/>
  <c r="CV26" i="39"/>
  <c r="CX68" i="39"/>
  <c r="CV68" i="39"/>
  <c r="CV35" i="39"/>
  <c r="CW35" i="39"/>
  <c r="CX35" i="39"/>
  <c r="CV85" i="39"/>
  <c r="CX85" i="39"/>
  <c r="CX47" i="39"/>
  <c r="CV47" i="39"/>
  <c r="CV79" i="39"/>
  <c r="CX79" i="39"/>
  <c r="CW79" i="39"/>
  <c r="CX90" i="39"/>
  <c r="CV90" i="39"/>
  <c r="CV32" i="39"/>
  <c r="CX32" i="39"/>
  <c r="CX58" i="39"/>
  <c r="CV58" i="39"/>
  <c r="CW58" i="39"/>
  <c r="CX36" i="39"/>
  <c r="CV36" i="39"/>
  <c r="CX37" i="39"/>
  <c r="CV37" i="39"/>
  <c r="CX92" i="39"/>
  <c r="CW92" i="39"/>
  <c r="CV92" i="39"/>
  <c r="CW94" i="39"/>
  <c r="CX94" i="39"/>
  <c r="CV94" i="39"/>
  <c r="CV97" i="39"/>
  <c r="CX97" i="39"/>
  <c r="CW97" i="39"/>
  <c r="CX40" i="39"/>
  <c r="CV40" i="39"/>
  <c r="CW44" i="39"/>
  <c r="CX44" i="39"/>
  <c r="CV44" i="39"/>
  <c r="CV71" i="39"/>
  <c r="CX71" i="39"/>
  <c r="CX11" i="39"/>
  <c r="CV11" i="39"/>
  <c r="CX33" i="39"/>
  <c r="CV33" i="39"/>
  <c r="CX50" i="39"/>
  <c r="CV50" i="39"/>
  <c r="CX65" i="39"/>
  <c r="CV65" i="39"/>
  <c r="CX80" i="39"/>
  <c r="CV80" i="39"/>
  <c r="CW59" i="39"/>
  <c r="CX59" i="39"/>
  <c r="CV59" i="39"/>
  <c r="CW98" i="39"/>
  <c r="CX98" i="39"/>
  <c r="CV98" i="39"/>
  <c r="CW75" i="39"/>
  <c r="CV75" i="39"/>
  <c r="CX75" i="39"/>
  <c r="G51" i="45"/>
  <c r="F17" i="45"/>
  <c r="F58" i="45"/>
  <c r="F96" i="45"/>
  <c r="G96" i="45"/>
  <c r="G74" i="45"/>
  <c r="G41" i="45"/>
  <c r="G29" i="45"/>
  <c r="G42" i="45"/>
  <c r="G85" i="45"/>
  <c r="F15" i="45"/>
  <c r="G88" i="45"/>
  <c r="F63" i="45"/>
  <c r="F81" i="45"/>
  <c r="F41" i="45"/>
  <c r="F16" i="45"/>
  <c r="F65" i="45"/>
  <c r="F61" i="45"/>
  <c r="G32" i="45"/>
  <c r="G84" i="45"/>
  <c r="G19" i="45"/>
  <c r="G97" i="45"/>
  <c r="G52" i="45"/>
  <c r="G65" i="45"/>
  <c r="G61" i="45"/>
  <c r="F78" i="45"/>
  <c r="F36" i="45"/>
  <c r="F83" i="45"/>
  <c r="F25" i="45"/>
  <c r="F26" i="45"/>
  <c r="F27" i="45"/>
  <c r="F35" i="45"/>
  <c r="G86" i="45"/>
  <c r="G48" i="45"/>
  <c r="F46" i="45"/>
  <c r="F34" i="45"/>
  <c r="F84" i="45"/>
  <c r="F13" i="45"/>
  <c r="F24" i="45"/>
  <c r="F19" i="45"/>
  <c r="G22" i="45"/>
  <c r="G10" i="45"/>
  <c r="G93" i="45"/>
  <c r="G21" i="45"/>
  <c r="G94" i="45"/>
  <c r="G40" i="45"/>
  <c r="G50" i="45"/>
  <c r="F70" i="45"/>
  <c r="G16" i="45"/>
  <c r="G82" i="45"/>
  <c r="G24" i="45"/>
  <c r="G69" i="45"/>
  <c r="G39" i="45"/>
  <c r="F11" i="45"/>
  <c r="G98" i="45"/>
  <c r="G31" i="45"/>
  <c r="F28" i="45"/>
  <c r="F39" i="45"/>
  <c r="F67" i="45"/>
  <c r="F37" i="45"/>
  <c r="F48" i="45"/>
  <c r="F68" i="45"/>
  <c r="F85" i="45"/>
  <c r="F43" i="45"/>
  <c r="F30" i="45"/>
  <c r="F87" i="45"/>
  <c r="F51" i="45"/>
  <c r="G13" i="45"/>
  <c r="G18" i="45"/>
  <c r="G30" i="45"/>
  <c r="F14" i="45"/>
  <c r="G44" i="45"/>
  <c r="G43" i="45"/>
  <c r="F47" i="45"/>
  <c r="G47" i="45"/>
  <c r="G90" i="45"/>
  <c r="G58" i="45"/>
  <c r="G59" i="45"/>
  <c r="G14" i="45"/>
  <c r="F69" i="45"/>
  <c r="F86" i="45"/>
  <c r="F88" i="45"/>
  <c r="F38" i="45"/>
  <c r="G55" i="45"/>
  <c r="G72" i="45"/>
  <c r="G54" i="45"/>
  <c r="G15" i="45"/>
  <c r="G36" i="45"/>
  <c r="F95" i="45"/>
  <c r="F12" i="45"/>
  <c r="F59" i="45"/>
  <c r="G73" i="45"/>
  <c r="F42" i="45"/>
  <c r="F77" i="45"/>
  <c r="F56" i="45"/>
  <c r="F89" i="45"/>
  <c r="F10" i="45"/>
  <c r="F90" i="45"/>
  <c r="F72" i="45"/>
  <c r="F92" i="45"/>
  <c r="F40" i="45"/>
  <c r="G33" i="45"/>
  <c r="G95" i="45"/>
  <c r="G99" i="45"/>
  <c r="G23" i="45"/>
  <c r="G60" i="45"/>
  <c r="G57" i="45"/>
  <c r="G71" i="45"/>
  <c r="G38" i="45"/>
  <c r="G12" i="45"/>
  <c r="F20" i="45"/>
  <c r="F73" i="45"/>
  <c r="F71" i="45"/>
  <c r="F91" i="45"/>
  <c r="F54" i="45"/>
  <c r="F33" i="45"/>
  <c r="F53" i="45"/>
  <c r="F74" i="45"/>
  <c r="F23" i="45"/>
  <c r="F94" i="45"/>
  <c r="G70" i="45"/>
  <c r="G27" i="45"/>
  <c r="G64" i="45"/>
  <c r="F22" i="45"/>
  <c r="G46" i="45"/>
  <c r="G26" i="45"/>
  <c r="G67" i="45"/>
  <c r="G45" i="45"/>
  <c r="G56" i="45"/>
  <c r="G83" i="45"/>
  <c r="G20" i="45"/>
  <c r="G11" i="45"/>
  <c r="F93" i="45"/>
  <c r="F80" i="45"/>
  <c r="F29" i="45"/>
  <c r="G87" i="45"/>
  <c r="F32" i="45"/>
  <c r="G35" i="45"/>
  <c r="G92" i="45"/>
  <c r="G77" i="45"/>
  <c r="G79" i="45"/>
  <c r="G53" i="45"/>
  <c r="G75" i="45"/>
  <c r="G62" i="45"/>
  <c r="G68" i="45"/>
  <c r="G81" i="45"/>
  <c r="G91" i="45"/>
  <c r="F31" i="45"/>
  <c r="F21" i="45"/>
  <c r="F75" i="45"/>
  <c r="F50" i="45"/>
  <c r="F57" i="45"/>
  <c r="F45" i="45"/>
  <c r="F76" i="45"/>
  <c r="F97" i="45"/>
  <c r="F79" i="45"/>
  <c r="F44" i="45"/>
  <c r="F55" i="45"/>
  <c r="F99" i="45"/>
  <c r="F82" i="45"/>
  <c r="G28" i="45"/>
  <c r="G17" i="45"/>
  <c r="G78" i="45"/>
  <c r="G34" i="45"/>
  <c r="G63" i="45"/>
  <c r="G66" i="45"/>
  <c r="G37" i="45"/>
  <c r="G80" i="45"/>
  <c r="G76" i="45"/>
  <c r="G89" i="45"/>
  <c r="G25" i="45"/>
  <c r="F60" i="45"/>
  <c r="F62" i="45"/>
  <c r="F52" i="45"/>
  <c r="F98" i="45"/>
  <c r="F64" i="45"/>
  <c r="F18" i="45"/>
  <c r="F66" i="45"/>
  <c r="G71" i="38"/>
  <c r="G13" i="38"/>
  <c r="G40" i="38"/>
  <c r="G67" i="38"/>
  <c r="G31" i="38"/>
  <c r="G76" i="38"/>
  <c r="G91" i="38"/>
  <c r="G78" i="38"/>
  <c r="G94" i="38"/>
  <c r="F49" i="38"/>
  <c r="F75" i="38"/>
  <c r="F89" i="38"/>
  <c r="F70" i="38"/>
  <c r="F33" i="38"/>
  <c r="F21" i="38"/>
  <c r="F65" i="38"/>
  <c r="F23" i="38"/>
  <c r="F53" i="38"/>
  <c r="G93" i="38"/>
  <c r="F64" i="38"/>
  <c r="G18" i="38"/>
  <c r="G92" i="38"/>
  <c r="G96" i="38"/>
  <c r="G74" i="38"/>
  <c r="G75" i="38"/>
  <c r="G12" i="38"/>
  <c r="G77" i="38"/>
  <c r="G84" i="38"/>
  <c r="G97" i="38"/>
  <c r="F66" i="38"/>
  <c r="F47" i="38"/>
  <c r="F87" i="38"/>
  <c r="F34" i="38"/>
  <c r="F95" i="38"/>
  <c r="F80" i="38"/>
  <c r="F29" i="38"/>
  <c r="F54" i="38"/>
  <c r="F26" i="38"/>
  <c r="F78" i="38"/>
  <c r="F35" i="38"/>
  <c r="F14" i="38"/>
  <c r="G19" i="38"/>
  <c r="G23" i="38"/>
  <c r="G62" i="38"/>
  <c r="G60" i="38"/>
  <c r="G48" i="38"/>
  <c r="G82" i="38"/>
  <c r="G20" i="38"/>
  <c r="G90" i="38"/>
  <c r="G31" i="37"/>
  <c r="G35" i="38"/>
  <c r="G30" i="38"/>
  <c r="F43" i="38"/>
  <c r="F63" i="38"/>
  <c r="F10" i="38"/>
  <c r="F31" i="38"/>
  <c r="F93" i="38"/>
  <c r="F97" i="38"/>
  <c r="F48" i="38"/>
  <c r="F57" i="38"/>
  <c r="F85" i="38"/>
  <c r="F90" i="38"/>
  <c r="G46" i="38"/>
  <c r="G54" i="38"/>
  <c r="G55" i="38"/>
  <c r="G88" i="38"/>
  <c r="G89" i="38"/>
  <c r="G73" i="38"/>
  <c r="F55" i="38"/>
  <c r="F76" i="38"/>
  <c r="F40" i="38"/>
  <c r="F13" i="38"/>
  <c r="G53" i="38"/>
  <c r="G65" i="38"/>
  <c r="G66" i="38"/>
  <c r="G44" i="38"/>
  <c r="G14" i="38"/>
  <c r="G22" i="38"/>
  <c r="G52" i="38"/>
  <c r="G39" i="38"/>
  <c r="G11" i="38"/>
  <c r="F56" i="38"/>
  <c r="F32" i="38"/>
  <c r="F42" i="38"/>
  <c r="F27" i="38"/>
  <c r="F83" i="38"/>
  <c r="F11" i="38"/>
  <c r="F88" i="38"/>
  <c r="F74" i="38"/>
  <c r="F59" i="38"/>
  <c r="F19" i="38"/>
  <c r="F58" i="38"/>
  <c r="F37" i="38"/>
  <c r="F71" i="38"/>
  <c r="G64" i="38"/>
  <c r="G72" i="38"/>
  <c r="G49" i="38"/>
  <c r="G37" i="38"/>
  <c r="G24" i="38"/>
  <c r="G45" i="38"/>
  <c r="G38" i="38"/>
  <c r="G51" i="38"/>
  <c r="G29" i="38"/>
  <c r="F51" i="38"/>
  <c r="F36" i="38"/>
  <c r="F45" i="38"/>
  <c r="F20" i="38"/>
  <c r="F86" i="38"/>
  <c r="F72" i="38"/>
  <c r="G70" i="38"/>
  <c r="G21" i="38"/>
  <c r="G81" i="38"/>
  <c r="G50" i="38"/>
  <c r="G58" i="38"/>
  <c r="G27" i="38"/>
  <c r="G36" i="38"/>
  <c r="G63" i="38"/>
  <c r="G41" i="38"/>
  <c r="F39" i="38"/>
  <c r="F22" i="38"/>
  <c r="F24" i="38"/>
  <c r="F81" i="38"/>
  <c r="F60" i="38"/>
  <c r="F15" i="38"/>
  <c r="F41" i="38"/>
  <c r="F16" i="38"/>
  <c r="F92" i="38"/>
  <c r="F30" i="38"/>
  <c r="F79" i="38"/>
  <c r="G17" i="38"/>
  <c r="G86" i="38"/>
  <c r="G87" i="38"/>
  <c r="G26" i="38"/>
  <c r="G43" i="38"/>
  <c r="G59" i="38"/>
  <c r="G42" i="38"/>
  <c r="G34" i="38"/>
  <c r="G80" i="38"/>
  <c r="F38" i="38"/>
  <c r="F73" i="38"/>
  <c r="F50" i="38"/>
  <c r="F17" i="38"/>
  <c r="F62" i="38"/>
  <c r="F84" i="38"/>
  <c r="F69" i="38"/>
  <c r="F28" i="38"/>
  <c r="G79" i="38"/>
  <c r="G15" i="38"/>
  <c r="F52" i="38"/>
  <c r="F94" i="38"/>
  <c r="F18" i="38"/>
  <c r="F12" i="38"/>
  <c r="F68" i="38"/>
  <c r="F61" i="38"/>
  <c r="G10" i="38"/>
  <c r="G33" i="38"/>
  <c r="G98" i="38"/>
  <c r="G16" i="38"/>
  <c r="G57" i="38"/>
  <c r="G47" i="38"/>
  <c r="G61" i="38"/>
  <c r="G25" i="38"/>
  <c r="G32" i="38"/>
  <c r="G56" i="38"/>
  <c r="G28" i="38"/>
  <c r="G68" i="38"/>
  <c r="G83" i="38"/>
  <c r="G69" i="38"/>
  <c r="G85" i="38"/>
  <c r="G95" i="38"/>
  <c r="F98" i="38"/>
  <c r="F25" i="38"/>
  <c r="F91" i="38"/>
  <c r="F77" i="38"/>
  <c r="F44" i="38"/>
  <c r="F82" i="38"/>
  <c r="F67" i="38"/>
  <c r="F96" i="38"/>
  <c r="F46" i="38"/>
  <c r="F31" i="37"/>
  <c r="AB32" i="45"/>
  <c r="CS21" i="39"/>
  <c r="CU21" i="39"/>
  <c r="CU30" i="39"/>
  <c r="CS30" i="39"/>
  <c r="CU38" i="39"/>
  <c r="CS38" i="39"/>
  <c r="CU61" i="39"/>
  <c r="CS61" i="39"/>
  <c r="CT61" i="39"/>
  <c r="CU29" i="39"/>
  <c r="CS29" i="39"/>
  <c r="CU31" i="39"/>
  <c r="CT31" i="39"/>
  <c r="CS31" i="39"/>
  <c r="CS63" i="39"/>
  <c r="CU63" i="39"/>
  <c r="CT63" i="39"/>
  <c r="CU100" i="39"/>
  <c r="CT100" i="39"/>
  <c r="CS100" i="39"/>
  <c r="CT97" i="39"/>
  <c r="CS97" i="39"/>
  <c r="CU97" i="39"/>
  <c r="CU44" i="39"/>
  <c r="CT44" i="39"/>
  <c r="CS44" i="39"/>
  <c r="CU36" i="39"/>
  <c r="CS36" i="39"/>
  <c r="CT24" i="39"/>
  <c r="CS24" i="39"/>
  <c r="CU24" i="39"/>
  <c r="CU28" i="39"/>
  <c r="CS28" i="39"/>
  <c r="CU26" i="39"/>
  <c r="CS26" i="39"/>
  <c r="CU68" i="39"/>
  <c r="CT68" i="39"/>
  <c r="CS68" i="39"/>
  <c r="CT35" i="39"/>
  <c r="CS35" i="39"/>
  <c r="CU35" i="39"/>
  <c r="CU85" i="39"/>
  <c r="CT85" i="39"/>
  <c r="CS85" i="39"/>
  <c r="CS47" i="39"/>
  <c r="CU47" i="39"/>
  <c r="CU79" i="39"/>
  <c r="CT79" i="39"/>
  <c r="CS79" i="39"/>
  <c r="CU90" i="39"/>
  <c r="CS90" i="39"/>
  <c r="CU71" i="39"/>
  <c r="CT71" i="39"/>
  <c r="CS71" i="39"/>
  <c r="CU33" i="39"/>
  <c r="CT33" i="39"/>
  <c r="CS33" i="39"/>
  <c r="CU65" i="39"/>
  <c r="CS65" i="39"/>
  <c r="CU98" i="39"/>
  <c r="CT98" i="39"/>
  <c r="CS98" i="39"/>
  <c r="CS75" i="39"/>
  <c r="CU75" i="39"/>
  <c r="CT75" i="39"/>
  <c r="CU59" i="39"/>
  <c r="CT59" i="39"/>
  <c r="CS59" i="39"/>
  <c r="CS15" i="39"/>
  <c r="CU15" i="39"/>
  <c r="CU25" i="39"/>
  <c r="CS25" i="39"/>
  <c r="CU57" i="39"/>
  <c r="CT57" i="39"/>
  <c r="CS57" i="39"/>
  <c r="CU60" i="39"/>
  <c r="CT60" i="39"/>
  <c r="CS60" i="39"/>
  <c r="CU73" i="39"/>
  <c r="CT73" i="39"/>
  <c r="CS73" i="39"/>
  <c r="CU72" i="39"/>
  <c r="CT72" i="39"/>
  <c r="CS72" i="39"/>
  <c r="CU84" i="39"/>
  <c r="CS84" i="39"/>
  <c r="CT84" i="39"/>
  <c r="CS52" i="39"/>
  <c r="CU52" i="39"/>
  <c r="CU11" i="39"/>
  <c r="CS11" i="39"/>
  <c r="CU50" i="39"/>
  <c r="CS50" i="39"/>
  <c r="CU80" i="39"/>
  <c r="CS80" i="39"/>
  <c r="CU13" i="39"/>
  <c r="CS13" i="39"/>
  <c r="CU19" i="39"/>
  <c r="CS19" i="39"/>
  <c r="CU55" i="39"/>
  <c r="CS55" i="39"/>
  <c r="CU43" i="39"/>
  <c r="CS43" i="39"/>
  <c r="CT54" i="39"/>
  <c r="CS54" i="39"/>
  <c r="CU54" i="39"/>
  <c r="CU56" i="39"/>
  <c r="CT56" i="39"/>
  <c r="CS56" i="39"/>
  <c r="CT87" i="39"/>
  <c r="CS87" i="39"/>
  <c r="CU87" i="39"/>
  <c r="CU39" i="39"/>
  <c r="CS39" i="39"/>
  <c r="CU27" i="39"/>
  <c r="CT27" i="39"/>
  <c r="CS27" i="39"/>
  <c r="CT16" i="39"/>
  <c r="CU16" i="39"/>
  <c r="CS16" i="39"/>
  <c r="CU17" i="39"/>
  <c r="CS17" i="39"/>
  <c r="CU45" i="39"/>
  <c r="CS45" i="39"/>
  <c r="CU23" i="39"/>
  <c r="CT23" i="39"/>
  <c r="CS23" i="39"/>
  <c r="CU82" i="39"/>
  <c r="CT82" i="39"/>
  <c r="CS82" i="39"/>
  <c r="CU22" i="39"/>
  <c r="CS22" i="39"/>
  <c r="CU76" i="39"/>
  <c r="CT76" i="39"/>
  <c r="CS76" i="39"/>
  <c r="CS12" i="39"/>
  <c r="CU12" i="39"/>
  <c r="CU46" i="39"/>
  <c r="CS46" i="39"/>
  <c r="CS64" i="39"/>
  <c r="CU64" i="39"/>
  <c r="CT64" i="39"/>
  <c r="CU51" i="39"/>
  <c r="CT51" i="39"/>
  <c r="CS51" i="39"/>
  <c r="CU93" i="39"/>
  <c r="CT93" i="39"/>
  <c r="CS93" i="39"/>
  <c r="CS66" i="39"/>
  <c r="CU66" i="39"/>
  <c r="CU49" i="39"/>
  <c r="CT49" i="39"/>
  <c r="CS49" i="39"/>
  <c r="CS32" i="39"/>
  <c r="CU32" i="39"/>
  <c r="CT32" i="39"/>
  <c r="CU37" i="39"/>
  <c r="CS37" i="39"/>
  <c r="CS94" i="39"/>
  <c r="CU94" i="39"/>
  <c r="CT94" i="39"/>
  <c r="CS40" i="39"/>
  <c r="CU40" i="39"/>
  <c r="CU10" i="39"/>
  <c r="CS10" i="39"/>
  <c r="CU42" i="39"/>
  <c r="CS42" i="39"/>
  <c r="CU18" i="39"/>
  <c r="CS18" i="39"/>
  <c r="CU41" i="39"/>
  <c r="CS41" i="39"/>
  <c r="CU88" i="39"/>
  <c r="CS88" i="39"/>
  <c r="CT88" i="39"/>
  <c r="CU95" i="39"/>
  <c r="CT95" i="39"/>
  <c r="CS95" i="39"/>
  <c r="CU70" i="39"/>
  <c r="CT70" i="39"/>
  <c r="CS70" i="39"/>
  <c r="CU58" i="39"/>
  <c r="CT58" i="39"/>
  <c r="CS58" i="39"/>
  <c r="CU92" i="39"/>
  <c r="CT92" i="39"/>
  <c r="CS92" i="39"/>
  <c r="CS14" i="39"/>
  <c r="CU14" i="39"/>
  <c r="CU48" i="39"/>
  <c r="CS48" i="39"/>
  <c r="CS53" i="39"/>
  <c r="CU53" i="39"/>
  <c r="CU62" i="39"/>
  <c r="CS62" i="39"/>
  <c r="CS74" i="39"/>
  <c r="CU74" i="39"/>
  <c r="CT74" i="39"/>
  <c r="CU96" i="39"/>
  <c r="CT96" i="39"/>
  <c r="CS96" i="39"/>
  <c r="CU99" i="39"/>
  <c r="CT99" i="39"/>
  <c r="CS99" i="39"/>
  <c r="CP71" i="39"/>
  <c r="CQ71" i="39"/>
  <c r="CR71" i="39"/>
  <c r="CP15" i="39"/>
  <c r="CR15" i="39"/>
  <c r="CQ15" i="39"/>
  <c r="CR25" i="39"/>
  <c r="CP25" i="39"/>
  <c r="CR57" i="39"/>
  <c r="CP57" i="39"/>
  <c r="CQ57" i="39"/>
  <c r="CP60" i="39"/>
  <c r="CQ60" i="39"/>
  <c r="CR60" i="39"/>
  <c r="CR73" i="39"/>
  <c r="CP73" i="39"/>
  <c r="CQ73" i="39"/>
  <c r="CP72" i="39"/>
  <c r="CQ72" i="39"/>
  <c r="CR72" i="39"/>
  <c r="CR84" i="39"/>
  <c r="CP84" i="39"/>
  <c r="CQ84" i="39"/>
  <c r="CR52" i="39"/>
  <c r="CP52" i="39"/>
  <c r="CR13" i="39"/>
  <c r="CP13" i="39"/>
  <c r="CR19" i="39"/>
  <c r="CP19" i="39"/>
  <c r="CR55" i="39"/>
  <c r="CQ55" i="39"/>
  <c r="CP55" i="39"/>
  <c r="CR43" i="39"/>
  <c r="CQ43" i="39"/>
  <c r="CP43" i="39"/>
  <c r="CQ54" i="39"/>
  <c r="CP54" i="39"/>
  <c r="CR54" i="39"/>
  <c r="CR56" i="39"/>
  <c r="CP56" i="39"/>
  <c r="CR87" i="39"/>
  <c r="CP87" i="39"/>
  <c r="CQ87" i="39"/>
  <c r="CR39" i="39"/>
  <c r="CP39" i="39"/>
  <c r="CP27" i="39"/>
  <c r="CQ27" i="39"/>
  <c r="CR27" i="39"/>
  <c r="CR16" i="39"/>
  <c r="CP16" i="39"/>
  <c r="CR17" i="39"/>
  <c r="CP17" i="39"/>
  <c r="CR45" i="39"/>
  <c r="CP45" i="39"/>
  <c r="CR23" i="39"/>
  <c r="CP23" i="39"/>
  <c r="CQ23" i="39"/>
  <c r="CR82" i="39"/>
  <c r="CQ82" i="39"/>
  <c r="CP82" i="39"/>
  <c r="CP22" i="39"/>
  <c r="CQ22" i="39"/>
  <c r="CR22" i="39"/>
  <c r="CP76" i="39"/>
  <c r="CQ76" i="39"/>
  <c r="CR76" i="39"/>
  <c r="CP11" i="39"/>
  <c r="CQ11" i="39"/>
  <c r="CR11" i="39"/>
  <c r="CR33" i="39"/>
  <c r="CP33" i="39"/>
  <c r="CR50" i="39"/>
  <c r="CQ50" i="39"/>
  <c r="CP50" i="39"/>
  <c r="CR65" i="39"/>
  <c r="CP65" i="39"/>
  <c r="CP80" i="39"/>
  <c r="CR80" i="39"/>
  <c r="CQ80" i="39"/>
  <c r="CR59" i="39"/>
  <c r="CP59" i="39"/>
  <c r="CQ59" i="39"/>
  <c r="CR98" i="39"/>
  <c r="CQ98" i="39"/>
  <c r="CP98" i="39"/>
  <c r="CP75" i="39"/>
  <c r="CR75" i="39"/>
  <c r="CQ75" i="39"/>
  <c r="CP12" i="39"/>
  <c r="CQ12" i="39"/>
  <c r="CR12" i="39"/>
  <c r="CR46" i="39"/>
  <c r="CP46" i="39"/>
  <c r="CR64" i="39"/>
  <c r="CP64" i="39"/>
  <c r="CQ64" i="39"/>
  <c r="CP51" i="39"/>
  <c r="CR51" i="39"/>
  <c r="CQ51" i="39"/>
  <c r="CP93" i="39"/>
  <c r="CQ93" i="39"/>
  <c r="CR93" i="39"/>
  <c r="CR66" i="39"/>
  <c r="CP66" i="39"/>
  <c r="CR49" i="39"/>
  <c r="CP49" i="39"/>
  <c r="CQ49" i="39"/>
  <c r="CP10" i="39"/>
  <c r="CQ10" i="39"/>
  <c r="CR10" i="39"/>
  <c r="CR18" i="39"/>
  <c r="CP18" i="39"/>
  <c r="CP88" i="39"/>
  <c r="CQ88" i="39"/>
  <c r="CR88" i="39"/>
  <c r="CP70" i="39"/>
  <c r="CQ70" i="39"/>
  <c r="CR70" i="39"/>
  <c r="CR14" i="39"/>
  <c r="CP14" i="39"/>
  <c r="CR48" i="39"/>
  <c r="CP48" i="39"/>
  <c r="CR53" i="39"/>
  <c r="CP53" i="39"/>
  <c r="CR62" i="39"/>
  <c r="CP62" i="39"/>
  <c r="CQ74" i="39"/>
  <c r="CR74" i="39"/>
  <c r="CP74" i="39"/>
  <c r="CR96" i="39"/>
  <c r="CP96" i="39"/>
  <c r="CQ96" i="39"/>
  <c r="CQ99" i="39"/>
  <c r="CP99" i="39"/>
  <c r="CR99" i="39"/>
  <c r="CR21" i="39"/>
  <c r="CP21" i="39"/>
  <c r="CQ21" i="39"/>
  <c r="CR30" i="39"/>
  <c r="CP30" i="39"/>
  <c r="CR38" i="39"/>
  <c r="CP38" i="39"/>
  <c r="CP61" i="39"/>
  <c r="CQ61" i="39"/>
  <c r="CR61" i="39"/>
  <c r="CR29" i="39"/>
  <c r="CP29" i="39"/>
  <c r="CR31" i="39"/>
  <c r="CQ31" i="39"/>
  <c r="CP31" i="39"/>
  <c r="CQ63" i="39"/>
  <c r="CR63" i="39"/>
  <c r="CP63" i="39"/>
  <c r="CQ100" i="39"/>
  <c r="CR100" i="39"/>
  <c r="CP100" i="39"/>
  <c r="CR42" i="39"/>
  <c r="CP42" i="39"/>
  <c r="CR41" i="39"/>
  <c r="CP41" i="39"/>
  <c r="CR95" i="39"/>
  <c r="CP95" i="39"/>
  <c r="CQ95" i="39"/>
  <c r="CQ32" i="39"/>
  <c r="CP32" i="39"/>
  <c r="CR32" i="39"/>
  <c r="CR58" i="39"/>
  <c r="CP58" i="39"/>
  <c r="CQ58" i="39"/>
  <c r="CR36" i="39"/>
  <c r="CP36" i="39"/>
  <c r="CR37" i="39"/>
  <c r="CP37" i="39"/>
  <c r="CQ37" i="39"/>
  <c r="CP92" i="39"/>
  <c r="CR92" i="39"/>
  <c r="CQ92" i="39"/>
  <c r="CP94" i="39"/>
  <c r="CR94" i="39"/>
  <c r="CQ94" i="39"/>
  <c r="CR97" i="39"/>
  <c r="CP97" i="39"/>
  <c r="CQ97" i="39"/>
  <c r="CR40" i="39"/>
  <c r="CQ40" i="39"/>
  <c r="CP40" i="39"/>
  <c r="CR44" i="39"/>
  <c r="CP44" i="39"/>
  <c r="CQ44" i="39"/>
  <c r="CR24" i="39"/>
  <c r="CP24" i="39"/>
  <c r="CR28" i="39"/>
  <c r="CP28" i="39"/>
  <c r="CQ28" i="39"/>
  <c r="CR26" i="39"/>
  <c r="CP26" i="39"/>
  <c r="CQ26" i="39"/>
  <c r="CR68" i="39"/>
  <c r="CQ68" i="39"/>
  <c r="CP68" i="39"/>
  <c r="CR35" i="39"/>
  <c r="CP35" i="39"/>
  <c r="CP85" i="39"/>
  <c r="CQ85" i="39"/>
  <c r="CR85" i="39"/>
  <c r="CR47" i="39"/>
  <c r="CP47" i="39"/>
  <c r="CR79" i="39"/>
  <c r="CP79" i="39"/>
  <c r="CQ79" i="39"/>
  <c r="CP90" i="39"/>
  <c r="CQ90" i="39"/>
  <c r="CR90" i="39"/>
  <c r="AB27" i="38"/>
  <c r="F49" i="37"/>
  <c r="G23" i="37"/>
  <c r="F78" i="37"/>
  <c r="F74" i="37"/>
  <c r="G43" i="37"/>
  <c r="F43" i="37"/>
  <c r="G30" i="37"/>
  <c r="G70" i="37"/>
  <c r="G61" i="37"/>
  <c r="G36" i="37"/>
  <c r="G13" i="37"/>
  <c r="F70" i="37"/>
  <c r="F17" i="37"/>
  <c r="F32" i="37"/>
  <c r="F13" i="37"/>
  <c r="G34" i="37"/>
  <c r="F37" i="37"/>
  <c r="G63" i="37"/>
  <c r="G57" i="37"/>
  <c r="G74" i="37"/>
  <c r="G79" i="37"/>
  <c r="F80" i="37"/>
  <c r="G42" i="37"/>
  <c r="G39" i="37"/>
  <c r="F93" i="37"/>
  <c r="F50" i="37"/>
  <c r="F66" i="37"/>
  <c r="F94" i="37"/>
  <c r="F26" i="37"/>
  <c r="F36" i="37"/>
  <c r="F16" i="37"/>
  <c r="F53" i="37"/>
  <c r="F89" i="37"/>
  <c r="F91" i="37"/>
  <c r="G87" i="37"/>
  <c r="F63" i="37"/>
  <c r="G72" i="37"/>
  <c r="G47" i="37"/>
  <c r="G11" i="37"/>
  <c r="G10" i="37"/>
  <c r="G71" i="37"/>
  <c r="G90" i="37"/>
  <c r="G17" i="37"/>
  <c r="F11" i="37"/>
  <c r="G27" i="37"/>
  <c r="F19" i="37"/>
  <c r="G77" i="37"/>
  <c r="G37" i="37"/>
  <c r="F57" i="37"/>
  <c r="F68" i="37"/>
  <c r="F10" i="37"/>
  <c r="G51" i="37"/>
  <c r="F62" i="37"/>
  <c r="F46" i="37"/>
  <c r="F90" i="37"/>
  <c r="F20" i="37"/>
  <c r="F21" i="37"/>
  <c r="F85" i="37"/>
  <c r="G78" i="37"/>
  <c r="G84" i="37"/>
  <c r="G96" i="37"/>
  <c r="F61" i="37"/>
  <c r="G88" i="37"/>
  <c r="G44" i="37"/>
  <c r="G59" i="37"/>
  <c r="F55" i="37"/>
  <c r="F27" i="37"/>
  <c r="G22" i="37"/>
  <c r="F76" i="37"/>
  <c r="F47" i="37"/>
  <c r="G97" i="37"/>
  <c r="F65" i="37"/>
  <c r="F73" i="37"/>
  <c r="F69" i="37"/>
  <c r="F35" i="37"/>
  <c r="G80" i="37"/>
  <c r="G28" i="37"/>
  <c r="G33" i="37"/>
  <c r="G95" i="37"/>
  <c r="G98" i="37"/>
  <c r="F22" i="37"/>
  <c r="G64" i="37"/>
  <c r="F64" i="37"/>
  <c r="G53" i="37"/>
  <c r="G48" i="37"/>
  <c r="F97" i="37"/>
  <c r="G65" i="37"/>
  <c r="F81" i="37"/>
  <c r="F45" i="37"/>
  <c r="F59" i="37"/>
  <c r="G85" i="37"/>
  <c r="G40" i="37"/>
  <c r="G76" i="37"/>
  <c r="G54" i="37"/>
  <c r="G73" i="37"/>
  <c r="G35" i="37"/>
  <c r="G81" i="37"/>
  <c r="F34" i="37"/>
  <c r="F14" i="37"/>
  <c r="F24" i="37"/>
  <c r="F48" i="37"/>
  <c r="F71" i="37"/>
  <c r="F83" i="37"/>
  <c r="F84" i="37"/>
  <c r="G60" i="37"/>
  <c r="F30" i="37"/>
  <c r="G45" i="37"/>
  <c r="G20" i="37"/>
  <c r="G67" i="37"/>
  <c r="G24" i="37"/>
  <c r="G49" i="37"/>
  <c r="G12" i="37"/>
  <c r="F82" i="37"/>
  <c r="F95" i="37"/>
  <c r="F79" i="37"/>
  <c r="F58" i="37"/>
  <c r="F54" i="37"/>
  <c r="G89" i="37"/>
  <c r="F38" i="37"/>
  <c r="G91" i="37"/>
  <c r="F86" i="37"/>
  <c r="G41" i="37"/>
  <c r="G18" i="37"/>
  <c r="G52" i="37"/>
  <c r="G14" i="37"/>
  <c r="G86" i="37"/>
  <c r="G25" i="37"/>
  <c r="F77" i="37"/>
  <c r="F75" i="37"/>
  <c r="F18" i="37"/>
  <c r="G46" i="37"/>
  <c r="F88" i="37"/>
  <c r="F28" i="37"/>
  <c r="F12" i="37"/>
  <c r="G50" i="37"/>
  <c r="G82" i="37"/>
  <c r="G19" i="37"/>
  <c r="G38" i="37"/>
  <c r="G94" i="37"/>
  <c r="G29" i="37"/>
  <c r="G55" i="37"/>
  <c r="F40" i="37"/>
  <c r="F72" i="37"/>
  <c r="F96" i="37"/>
  <c r="F60" i="37"/>
  <c r="F51" i="37"/>
  <c r="G62" i="37"/>
  <c r="F33" i="37"/>
  <c r="G75" i="37"/>
  <c r="G83" i="37"/>
  <c r="G66" i="37"/>
  <c r="G68" i="37"/>
  <c r="G32" i="37"/>
  <c r="G21" i="37"/>
  <c r="F52" i="37"/>
  <c r="F41" i="37"/>
  <c r="F87" i="37"/>
  <c r="F67" i="37"/>
  <c r="F15" i="37"/>
  <c r="G56" i="37"/>
  <c r="F44" i="37"/>
  <c r="F92" i="37"/>
  <c r="G69" i="37"/>
  <c r="G92" i="37"/>
  <c r="G15" i="37"/>
  <c r="G26" i="37"/>
  <c r="G58" i="37"/>
  <c r="G16" i="37"/>
  <c r="F42" i="37"/>
  <c r="F39" i="37"/>
  <c r="F98" i="37"/>
  <c r="F25" i="37"/>
  <c r="G93" i="37"/>
  <c r="F56" i="37"/>
  <c r="F23" i="37"/>
  <c r="F29" i="37"/>
  <c r="B7" i="40"/>
  <c r="AB29" i="37"/>
  <c r="F50" i="36"/>
  <c r="G50" i="36"/>
  <c r="CN75" i="39"/>
  <c r="CO75" i="39"/>
  <c r="CM75" i="39"/>
  <c r="CO90" i="39"/>
  <c r="CM90" i="39"/>
  <c r="CO44" i="39"/>
  <c r="CM44" i="39"/>
  <c r="CO52" i="39"/>
  <c r="CN52" i="39"/>
  <c r="CM52" i="39"/>
  <c r="CM40" i="39"/>
  <c r="CO40" i="39"/>
  <c r="CN100" i="39"/>
  <c r="CO100" i="39"/>
  <c r="CM100" i="39"/>
  <c r="CO99" i="39"/>
  <c r="CM99" i="39"/>
  <c r="CN99" i="39"/>
  <c r="CM70" i="39"/>
  <c r="CO70" i="39"/>
  <c r="CN70" i="39"/>
  <c r="CO49" i="39"/>
  <c r="CM49" i="39"/>
  <c r="CN49" i="39"/>
  <c r="CM76" i="39"/>
  <c r="CO76" i="39"/>
  <c r="CM39" i="39"/>
  <c r="CO39" i="39"/>
  <c r="CN84" i="39"/>
  <c r="CM84" i="39"/>
  <c r="CO84" i="39"/>
  <c r="CM98" i="39"/>
  <c r="CN98" i="39"/>
  <c r="CO98" i="39"/>
  <c r="CM79" i="39"/>
  <c r="CN79" i="39"/>
  <c r="CO79" i="39"/>
  <c r="CO97" i="39"/>
  <c r="CN97" i="39"/>
  <c r="CM97" i="39"/>
  <c r="CN63" i="39"/>
  <c r="CM63" i="39"/>
  <c r="CO63" i="39"/>
  <c r="CN96" i="39"/>
  <c r="CO96" i="39"/>
  <c r="CM96" i="39"/>
  <c r="CO95" i="39"/>
  <c r="CM95" i="39"/>
  <c r="CN95" i="39"/>
  <c r="CM66" i="39"/>
  <c r="CO66" i="39"/>
  <c r="CM22" i="39"/>
  <c r="CO22" i="39"/>
  <c r="CO87" i="39"/>
  <c r="CM87" i="39"/>
  <c r="CN87" i="39"/>
  <c r="CM72" i="39"/>
  <c r="CO72" i="39"/>
  <c r="CM59" i="39"/>
  <c r="CO59" i="39"/>
  <c r="CM47" i="39"/>
  <c r="CO47" i="39"/>
  <c r="CN94" i="39"/>
  <c r="CO94" i="39"/>
  <c r="CM94" i="39"/>
  <c r="CM31" i="39"/>
  <c r="CO31" i="39"/>
  <c r="CM74" i="39"/>
  <c r="CN74" i="39"/>
  <c r="CO74" i="39"/>
  <c r="CO88" i="39"/>
  <c r="CM88" i="39"/>
  <c r="CO93" i="39"/>
  <c r="CM93" i="39"/>
  <c r="CO82" i="39"/>
  <c r="CN82" i="39"/>
  <c r="CM82" i="39"/>
  <c r="CO56" i="39"/>
  <c r="CM56" i="39"/>
  <c r="CO73" i="39"/>
  <c r="CM73" i="39"/>
  <c r="CN73" i="39"/>
  <c r="CN80" i="39"/>
  <c r="CM80" i="39"/>
  <c r="CO80" i="39"/>
  <c r="CO85" i="39"/>
  <c r="CM85" i="39"/>
  <c r="CN85" i="39"/>
  <c r="CN92" i="39"/>
  <c r="CM92" i="39"/>
  <c r="CO92" i="39"/>
  <c r="CO29" i="39"/>
  <c r="CM29" i="39"/>
  <c r="CO62" i="39"/>
  <c r="CM62" i="39"/>
  <c r="CO23" i="39"/>
  <c r="CM23" i="39"/>
  <c r="CO54" i="39"/>
  <c r="CM54" i="39"/>
  <c r="CM60" i="39"/>
  <c r="CO60" i="39"/>
  <c r="CO65" i="39"/>
  <c r="CM65" i="39"/>
  <c r="CM35" i="39"/>
  <c r="CO35" i="39"/>
  <c r="CM37" i="39"/>
  <c r="CO37" i="39"/>
  <c r="CM61" i="39"/>
  <c r="CO61" i="39"/>
  <c r="CO53" i="39"/>
  <c r="CM53" i="39"/>
  <c r="CO41" i="39"/>
  <c r="CM41" i="39"/>
  <c r="CM51" i="39"/>
  <c r="CO51" i="39"/>
  <c r="CO45" i="39"/>
  <c r="CM45" i="39"/>
  <c r="CM43" i="39"/>
  <c r="CO43" i="39"/>
  <c r="CM50" i="39"/>
  <c r="CO50" i="39"/>
  <c r="CO68" i="39"/>
  <c r="CM68" i="39"/>
  <c r="CO36" i="39"/>
  <c r="CM36" i="39"/>
  <c r="CM38" i="39"/>
  <c r="CO38" i="39"/>
  <c r="CM18" i="39"/>
  <c r="CO18" i="39"/>
  <c r="CO64" i="39"/>
  <c r="CN64" i="39"/>
  <c r="CM64" i="39"/>
  <c r="CM17" i="39"/>
  <c r="CO17" i="39"/>
  <c r="CN17" i="39"/>
  <c r="CM55" i="39"/>
  <c r="CO55" i="39"/>
  <c r="CM57" i="39"/>
  <c r="CO57" i="39"/>
  <c r="CO33" i="39"/>
  <c r="CM33" i="39"/>
  <c r="CO26" i="39"/>
  <c r="CM26" i="39"/>
  <c r="CO58" i="39"/>
  <c r="CM58" i="39"/>
  <c r="CM30" i="39"/>
  <c r="CO30" i="39"/>
  <c r="CO48" i="39"/>
  <c r="CM48" i="39"/>
  <c r="CM42" i="39"/>
  <c r="CO42" i="39"/>
  <c r="CO46" i="39"/>
  <c r="CM46" i="39"/>
  <c r="CO16" i="39"/>
  <c r="CM16" i="39"/>
  <c r="CM19" i="39"/>
  <c r="CO19" i="39"/>
  <c r="CM25" i="39"/>
  <c r="CO25" i="39"/>
  <c r="CO11" i="39"/>
  <c r="CM11" i="39"/>
  <c r="CO28" i="39"/>
  <c r="CM28" i="39"/>
  <c r="CO32" i="39"/>
  <c r="CM32" i="39"/>
  <c r="CO21" i="39"/>
  <c r="CM21" i="39"/>
  <c r="CM14" i="39"/>
  <c r="CO14" i="39"/>
  <c r="CO10" i="39"/>
  <c r="CM10" i="39"/>
  <c r="CN10" i="39"/>
  <c r="CM12" i="39"/>
  <c r="CO12" i="39"/>
  <c r="CO27" i="39"/>
  <c r="CM27" i="39"/>
  <c r="CM13" i="39"/>
  <c r="CO13" i="39"/>
  <c r="CO15" i="39"/>
  <c r="CM15" i="39"/>
  <c r="CM71" i="39"/>
  <c r="CN71" i="39"/>
  <c r="CO71" i="39"/>
  <c r="CM24" i="39"/>
  <c r="CO24" i="39"/>
  <c r="F76" i="35"/>
  <c r="G95" i="36"/>
  <c r="F94" i="36"/>
  <c r="F91" i="36"/>
  <c r="G90" i="36"/>
  <c r="G88" i="36"/>
  <c r="F87" i="36"/>
  <c r="G86" i="36"/>
  <c r="F85" i="36"/>
  <c r="G84" i="36"/>
  <c r="G72" i="36"/>
  <c r="G69" i="36"/>
  <c r="G58" i="36"/>
  <c r="F61" i="36"/>
  <c r="G37" i="36"/>
  <c r="G28" i="36"/>
  <c r="G56" i="36"/>
  <c r="G11" i="36"/>
  <c r="G20" i="36"/>
  <c r="G15" i="36"/>
  <c r="F47" i="36"/>
  <c r="G45" i="36"/>
  <c r="F79" i="36"/>
  <c r="G32" i="36"/>
  <c r="F78" i="36"/>
  <c r="G77" i="36"/>
  <c r="F76" i="36"/>
  <c r="G75" i="36"/>
  <c r="G73" i="36"/>
  <c r="F51" i="36"/>
  <c r="F71" i="36"/>
  <c r="F65" i="36"/>
  <c r="F27" i="36"/>
  <c r="G18" i="36"/>
  <c r="G22" i="36"/>
  <c r="G13" i="36"/>
  <c r="F67" i="36"/>
  <c r="G60" i="36"/>
  <c r="G57" i="36"/>
  <c r="G59" i="36"/>
  <c r="G81" i="36"/>
  <c r="G39" i="36"/>
  <c r="G48" i="36"/>
  <c r="G49" i="36"/>
  <c r="G44" i="36"/>
  <c r="G53" i="36"/>
  <c r="G70" i="36"/>
  <c r="F55" i="36"/>
  <c r="G34" i="36"/>
  <c r="G19" i="36"/>
  <c r="G92" i="36"/>
  <c r="G36" i="36"/>
  <c r="G12" i="36"/>
  <c r="G40" i="36"/>
  <c r="G17" i="36"/>
  <c r="G97" i="36"/>
  <c r="G80" i="36"/>
  <c r="F83" i="36"/>
  <c r="F68" i="36"/>
  <c r="G41" i="36"/>
  <c r="G33" i="36"/>
  <c r="G25" i="36"/>
  <c r="G35" i="36"/>
  <c r="F24" i="36"/>
  <c r="G16" i="36"/>
  <c r="G26" i="36"/>
  <c r="G10" i="36"/>
  <c r="G93" i="36"/>
  <c r="F93" i="36"/>
  <c r="F89" i="36"/>
  <c r="G89" i="36"/>
  <c r="G82" i="36"/>
  <c r="F82" i="36"/>
  <c r="F74" i="36"/>
  <c r="G74" i="36"/>
  <c r="G66" i="36"/>
  <c r="F66" i="36"/>
  <c r="F63" i="36"/>
  <c r="G63" i="36"/>
  <c r="G62" i="36"/>
  <c r="F62" i="36"/>
  <c r="G21" i="36"/>
  <c r="F21" i="36"/>
  <c r="F31" i="36"/>
  <c r="G31" i="36"/>
  <c r="F43" i="36"/>
  <c r="G43" i="36"/>
  <c r="G42" i="36"/>
  <c r="F42" i="36"/>
  <c r="F38" i="36"/>
  <c r="G38" i="36"/>
  <c r="G64" i="36"/>
  <c r="F64" i="36"/>
  <c r="G46" i="36"/>
  <c r="F46" i="36"/>
  <c r="F54" i="36"/>
  <c r="G54" i="36"/>
  <c r="G30" i="36"/>
  <c r="G14" i="36"/>
  <c r="F14" i="36"/>
  <c r="F23" i="36"/>
  <c r="F29" i="36"/>
  <c r="G29" i="36"/>
  <c r="F17" i="36"/>
  <c r="G23" i="36"/>
  <c r="F35" i="36"/>
  <c r="F19" i="36"/>
  <c r="F39" i="36"/>
  <c r="G71" i="36"/>
  <c r="F77" i="36"/>
  <c r="G83" i="36"/>
  <c r="F59" i="36"/>
  <c r="F44" i="36"/>
  <c r="G27" i="36"/>
  <c r="F48" i="36"/>
  <c r="G55" i="36"/>
  <c r="F18" i="36"/>
  <c r="F57" i="36"/>
  <c r="F73" i="36"/>
  <c r="G79" i="36"/>
  <c r="F86" i="36"/>
  <c r="G94" i="36"/>
  <c r="F16" i="36"/>
  <c r="G67" i="36"/>
  <c r="F11" i="36"/>
  <c r="G24" i="36"/>
  <c r="F28" i="36"/>
  <c r="F60" i="36"/>
  <c r="G68" i="36"/>
  <c r="F72" i="36"/>
  <c r="G78" i="36"/>
  <c r="F45" i="36"/>
  <c r="G87" i="36"/>
  <c r="F90" i="36"/>
  <c r="F40" i="36"/>
  <c r="F12" i="36"/>
  <c r="F36" i="36"/>
  <c r="F56" i="36"/>
  <c r="G61" i="36"/>
  <c r="F58" i="36"/>
  <c r="G51" i="36"/>
  <c r="F13" i="36"/>
  <c r="F20" i="36"/>
  <c r="G65" i="36"/>
  <c r="F32" i="36"/>
  <c r="F81" i="36"/>
  <c r="F92" i="36"/>
  <c r="F26" i="36"/>
  <c r="F33" i="36"/>
  <c r="F15" i="36"/>
  <c r="F22" i="36"/>
  <c r="F53" i="36"/>
  <c r="F41" i="36"/>
  <c r="F75" i="36"/>
  <c r="G47" i="36"/>
  <c r="F84" i="36"/>
  <c r="G91" i="36"/>
  <c r="F95" i="36"/>
  <c r="F34" i="36"/>
  <c r="F49" i="36"/>
  <c r="F69" i="36"/>
  <c r="G76" i="36"/>
  <c r="G85" i="36"/>
  <c r="F88" i="36"/>
  <c r="G96" i="36"/>
  <c r="F97" i="36"/>
  <c r="F37" i="36"/>
  <c r="F80" i="36"/>
  <c r="F10" i="36"/>
  <c r="F30" i="36"/>
  <c r="F25" i="36"/>
  <c r="F70" i="36"/>
  <c r="G52" i="36"/>
  <c r="F52" i="36"/>
  <c r="G11" i="35"/>
  <c r="G24" i="35"/>
  <c r="G96" i="35"/>
  <c r="G95" i="35"/>
  <c r="G94" i="35"/>
  <c r="G29" i="35"/>
  <c r="G92" i="35"/>
  <c r="G76" i="35"/>
  <c r="G58" i="35"/>
  <c r="G34" i="35"/>
  <c r="G63" i="35"/>
  <c r="G61" i="35"/>
  <c r="G59" i="35"/>
  <c r="G15" i="35"/>
  <c r="G35" i="35"/>
  <c r="G78" i="35"/>
  <c r="G27" i="35"/>
  <c r="G52" i="35"/>
  <c r="G32" i="35"/>
  <c r="G93" i="35"/>
  <c r="F50" i="35"/>
  <c r="G91" i="35"/>
  <c r="G90" i="35"/>
  <c r="G89" i="35"/>
  <c r="G88" i="35"/>
  <c r="G87" i="35"/>
  <c r="G28" i="35"/>
  <c r="G86" i="35"/>
  <c r="G85" i="35"/>
  <c r="G84" i="35"/>
  <c r="G53" i="35"/>
  <c r="G83" i="35"/>
  <c r="G21" i="35"/>
  <c r="G22" i="35"/>
  <c r="G81" i="35"/>
  <c r="G57" i="35"/>
  <c r="G10" i="35"/>
  <c r="G38" i="35"/>
  <c r="G80" i="35"/>
  <c r="G42" i="35"/>
  <c r="G74" i="35"/>
  <c r="G73" i="35"/>
  <c r="G51" i="35"/>
  <c r="G71" i="35"/>
  <c r="G70" i="35"/>
  <c r="G69" i="35"/>
  <c r="G68" i="35"/>
  <c r="G67" i="35"/>
  <c r="G66" i="35"/>
  <c r="G48" i="35"/>
  <c r="G65" i="35"/>
  <c r="G44" i="35"/>
  <c r="G64" i="35"/>
  <c r="G77" i="35"/>
  <c r="G47" i="35"/>
  <c r="G49" i="35"/>
  <c r="G31" i="35"/>
  <c r="G36" i="35"/>
  <c r="G82" i="35"/>
  <c r="G55" i="35"/>
  <c r="G46" i="35"/>
  <c r="G18" i="35"/>
  <c r="G33" i="35"/>
  <c r="G72" i="35"/>
  <c r="G40" i="35"/>
  <c r="G25" i="35"/>
  <c r="F54" i="35"/>
  <c r="G39" i="35"/>
  <c r="G62" i="35"/>
  <c r="G79" i="35"/>
  <c r="G19" i="35"/>
  <c r="F41" i="35"/>
  <c r="G26" i="35"/>
  <c r="G43" i="35"/>
  <c r="G16" i="35"/>
  <c r="G30" i="35"/>
  <c r="F12" i="35"/>
  <c r="G45" i="35"/>
  <c r="G13" i="35"/>
  <c r="G56" i="35"/>
  <c r="G20" i="35"/>
  <c r="F60" i="35"/>
  <c r="F17" i="35"/>
  <c r="G23" i="35"/>
  <c r="G14" i="35"/>
  <c r="F37" i="35"/>
  <c r="F75" i="35"/>
  <c r="G41" i="34"/>
  <c r="G90" i="34"/>
  <c r="G89" i="34"/>
  <c r="G88" i="34"/>
  <c r="G86" i="34"/>
  <c r="G85" i="34"/>
  <c r="G47" i="34"/>
  <c r="G70" i="34"/>
  <c r="G69" i="34"/>
  <c r="G68" i="34"/>
  <c r="G28" i="34"/>
  <c r="G67" i="34"/>
  <c r="G45" i="34"/>
  <c r="G66" i="34"/>
  <c r="G65" i="34"/>
  <c r="G50" i="34"/>
  <c r="G64" i="34"/>
  <c r="G18" i="34"/>
  <c r="G61" i="34"/>
  <c r="G80" i="34"/>
  <c r="G33" i="34"/>
  <c r="F51" i="34"/>
  <c r="G11" i="34"/>
  <c r="G20" i="34"/>
  <c r="G96" i="34"/>
  <c r="G94" i="34"/>
  <c r="G93" i="34"/>
  <c r="G92" i="34"/>
  <c r="G91" i="34"/>
  <c r="G83" i="34"/>
  <c r="G82" i="34"/>
  <c r="G81" i="34"/>
  <c r="G79" i="34"/>
  <c r="G36" i="34"/>
  <c r="G76" i="34"/>
  <c r="G75" i="34"/>
  <c r="G74" i="34"/>
  <c r="G73" i="34"/>
  <c r="G72" i="34"/>
  <c r="G32" i="34"/>
  <c r="G63" i="34"/>
  <c r="G62" i="34"/>
  <c r="G46" i="34"/>
  <c r="G60" i="34"/>
  <c r="G87" i="34"/>
  <c r="G44" i="34"/>
  <c r="G55" i="34"/>
  <c r="G31" i="34"/>
  <c r="G27" i="34"/>
  <c r="G71" i="34"/>
  <c r="G40" i="34"/>
  <c r="G35" i="34"/>
  <c r="G42" i="34"/>
  <c r="G29" i="34"/>
  <c r="G23" i="34"/>
  <c r="G39" i="34"/>
  <c r="G78" i="34"/>
  <c r="G95" i="34"/>
  <c r="G24" i="34"/>
  <c r="G84" i="34"/>
  <c r="G49" i="34"/>
  <c r="G37" i="34"/>
  <c r="G19" i="34"/>
  <c r="G17" i="34"/>
  <c r="G77" i="34"/>
  <c r="G34" i="34"/>
  <c r="G38" i="34"/>
  <c r="G26" i="34"/>
  <c r="G13" i="34"/>
  <c r="G12" i="34"/>
  <c r="G14" i="34"/>
  <c r="G48" i="34"/>
  <c r="G58" i="34"/>
  <c r="G57" i="34"/>
  <c r="G56" i="34"/>
  <c r="G54" i="34"/>
  <c r="G15" i="34"/>
  <c r="G53" i="34"/>
  <c r="G52" i="34"/>
  <c r="F43" i="34"/>
  <c r="G59" i="34"/>
  <c r="G30" i="34"/>
  <c r="G25" i="34"/>
  <c r="G22" i="34"/>
  <c r="F16" i="34"/>
  <c r="G10" i="34"/>
  <c r="G21" i="34"/>
  <c r="F59" i="35"/>
  <c r="F96" i="36"/>
  <c r="F64" i="35"/>
  <c r="F23" i="35"/>
  <c r="F78" i="35"/>
  <c r="F39" i="35"/>
  <c r="F52" i="35"/>
  <c r="F27" i="35"/>
  <c r="F95" i="35"/>
  <c r="F44" i="35"/>
  <c r="F80" i="35"/>
  <c r="F57" i="35"/>
  <c r="F29" i="34"/>
  <c r="F54" i="34"/>
  <c r="F47" i="34"/>
  <c r="F93" i="34"/>
  <c r="G29" i="32"/>
  <c r="G70" i="32"/>
  <c r="G68" i="32"/>
  <c r="G28" i="32"/>
  <c r="G36" i="32"/>
  <c r="G81" i="32"/>
  <c r="G43" i="32"/>
  <c r="G46" i="32"/>
  <c r="F14" i="35"/>
  <c r="G54" i="35"/>
  <c r="F43" i="35"/>
  <c r="F41" i="34"/>
  <c r="G50" i="35"/>
  <c r="F68" i="35"/>
  <c r="F53" i="35"/>
  <c r="G12" i="35"/>
  <c r="G75" i="35"/>
  <c r="F92" i="35"/>
  <c r="F20" i="35"/>
  <c r="F30" i="35"/>
  <c r="G41" i="35"/>
  <c r="F72" i="35"/>
  <c r="G37" i="35"/>
  <c r="F49" i="35"/>
  <c r="F66" i="35"/>
  <c r="F96" i="35"/>
  <c r="F81" i="35"/>
  <c r="F63" i="35"/>
  <c r="F26" i="34"/>
  <c r="F33" i="34"/>
  <c r="F12" i="34"/>
  <c r="F84" i="34"/>
  <c r="F91" i="34"/>
  <c r="F86" i="34"/>
  <c r="F83" i="34"/>
  <c r="F36" i="34"/>
  <c r="F73" i="34"/>
  <c r="F70" i="34"/>
  <c r="F67" i="34"/>
  <c r="F50" i="34"/>
  <c r="F62" i="34"/>
  <c r="F58" i="34"/>
  <c r="F15" i="34"/>
  <c r="F87" i="34"/>
  <c r="F44" i="34"/>
  <c r="F49" i="34"/>
  <c r="F64" i="34"/>
  <c r="F60" i="34"/>
  <c r="G21" i="32"/>
  <c r="G50" i="32"/>
  <c r="G75" i="32"/>
  <c r="G88" i="32"/>
  <c r="G45" i="32"/>
  <c r="G22" i="32"/>
  <c r="G12" i="32"/>
  <c r="G35" i="32"/>
  <c r="G19" i="32"/>
  <c r="F51" i="35"/>
  <c r="F10" i="35"/>
  <c r="F22" i="35"/>
  <c r="F94" i="35"/>
  <c r="F11" i="35"/>
  <c r="F26" i="35"/>
  <c r="G17" i="35"/>
  <c r="F19" i="35"/>
  <c r="F93" i="35"/>
  <c r="F65" i="35"/>
  <c r="F67" i="35"/>
  <c r="F73" i="35"/>
  <c r="F42" i="35"/>
  <c r="F21" i="35"/>
  <c r="F84" i="35"/>
  <c r="F46" i="35"/>
  <c r="F91" i="35"/>
  <c r="F48" i="35"/>
  <c r="F71" i="35"/>
  <c r="F74" i="35"/>
  <c r="F83" i="35"/>
  <c r="F77" i="35"/>
  <c r="F34" i="35"/>
  <c r="F58" i="35"/>
  <c r="F70" i="35"/>
  <c r="F88" i="35"/>
  <c r="G51" i="34"/>
  <c r="G43" i="34"/>
  <c r="F59" i="34"/>
  <c r="F17" i="34"/>
  <c r="F14" i="34"/>
  <c r="F20" i="34"/>
  <c r="F48" i="34"/>
  <c r="F27" i="34"/>
  <c r="F78" i="34"/>
  <c r="F94" i="34"/>
  <c r="F13" i="34"/>
  <c r="F18" i="34"/>
  <c r="F69" i="34"/>
  <c r="F79" i="34"/>
  <c r="F74" i="34"/>
  <c r="F88" i="34"/>
  <c r="F31" i="34"/>
  <c r="F23" i="34"/>
  <c r="F19" i="34"/>
  <c r="F11" i="34"/>
  <c r="F39" i="34"/>
  <c r="F77" i="34"/>
  <c r="F89" i="34"/>
  <c r="F81" i="34"/>
  <c r="F75" i="34"/>
  <c r="F32" i="34"/>
  <c r="F68" i="34"/>
  <c r="F66" i="34"/>
  <c r="F63" i="34"/>
  <c r="F46" i="34"/>
  <c r="F56" i="34"/>
  <c r="F71" i="34"/>
  <c r="F40" i="34"/>
  <c r="F35" i="34"/>
  <c r="F55" i="34"/>
  <c r="F25" i="34"/>
  <c r="F82" i="34"/>
  <c r="G51" i="32"/>
  <c r="G31" i="32"/>
  <c r="G32" i="32"/>
  <c r="G17" i="32"/>
  <c r="G15" i="32"/>
  <c r="G16" i="32"/>
  <c r="G11" i="32"/>
  <c r="G10" i="32"/>
  <c r="F45" i="34"/>
  <c r="F37" i="34"/>
  <c r="F61" i="34"/>
  <c r="F28" i="34"/>
  <c r="F76" i="34"/>
  <c r="F90" i="34"/>
  <c r="F96" i="34"/>
  <c r="F21" i="34"/>
  <c r="F80" i="34"/>
  <c r="F57" i="34"/>
  <c r="F65" i="34"/>
  <c r="F72" i="34"/>
  <c r="F85" i="34"/>
  <c r="F38" i="34"/>
  <c r="F42" i="34"/>
  <c r="F53" i="34"/>
  <c r="G96" i="32"/>
  <c r="G95" i="32"/>
  <c r="G94" i="32"/>
  <c r="G93" i="32"/>
  <c r="G92" i="32"/>
  <c r="G91" i="32"/>
  <c r="G90" i="32"/>
  <c r="G89" i="32"/>
  <c r="G49" i="32"/>
  <c r="G87" i="32"/>
  <c r="G86" i="32"/>
  <c r="G85" i="32"/>
  <c r="G84" i="32"/>
  <c r="G83" i="32"/>
  <c r="G47" i="32"/>
  <c r="G82" i="32"/>
  <c r="G33" i="32"/>
  <c r="G24" i="32"/>
  <c r="G79" i="32"/>
  <c r="G20" i="32"/>
  <c r="G78" i="32"/>
  <c r="G77" i="32"/>
  <c r="G76" i="32"/>
  <c r="G41" i="32"/>
  <c r="G48" i="32"/>
  <c r="G26" i="32"/>
  <c r="G37" i="32"/>
  <c r="G60" i="32"/>
  <c r="G58" i="32"/>
  <c r="G44" i="32"/>
  <c r="G57" i="32"/>
  <c r="G42" i="32"/>
  <c r="G52" i="32"/>
  <c r="F34" i="32"/>
  <c r="G38" i="32"/>
  <c r="G73" i="32"/>
  <c r="G72" i="32"/>
  <c r="G71" i="32"/>
  <c r="G67" i="32"/>
  <c r="G66" i="32"/>
  <c r="G65" i="32"/>
  <c r="G64" i="32"/>
  <c r="G63" i="32"/>
  <c r="G62" i="32"/>
  <c r="G61" i="32"/>
  <c r="G56" i="32"/>
  <c r="G55" i="32"/>
  <c r="G54" i="32"/>
  <c r="G53" i="32"/>
  <c r="G80" i="32"/>
  <c r="G74" i="32"/>
  <c r="G39" i="32"/>
  <c r="G27" i="32"/>
  <c r="G59" i="32"/>
  <c r="G40" i="32"/>
  <c r="G69" i="32"/>
  <c r="G36" i="31"/>
  <c r="F36" i="31"/>
  <c r="F40" i="35"/>
  <c r="F33" i="35"/>
  <c r="G16" i="34"/>
  <c r="F10" i="34"/>
  <c r="F52" i="34"/>
  <c r="F30" i="34"/>
  <c r="F34" i="34"/>
  <c r="F92" i="34"/>
  <c r="F24" i="34"/>
  <c r="F25" i="32"/>
  <c r="G23" i="32"/>
  <c r="G13" i="32"/>
  <c r="G18" i="32"/>
  <c r="G14" i="32"/>
  <c r="F38" i="35"/>
  <c r="F31" i="35"/>
  <c r="F61" i="35"/>
  <c r="F15" i="35"/>
  <c r="G60" i="35"/>
  <c r="F18" i="35"/>
  <c r="F28" i="35"/>
  <c r="F90" i="35"/>
  <c r="F25" i="35"/>
  <c r="F36" i="35"/>
  <c r="F45" i="35"/>
  <c r="F79" i="35"/>
  <c r="F56" i="35"/>
  <c r="F24" i="35"/>
  <c r="F82" i="35"/>
  <c r="F62" i="35"/>
  <c r="F13" i="35"/>
  <c r="F55" i="35"/>
  <c r="F29" i="35"/>
  <c r="F89" i="35"/>
  <c r="F87" i="35"/>
  <c r="F86" i="35"/>
  <c r="F47" i="35"/>
  <c r="F16" i="35"/>
  <c r="F32" i="35"/>
  <c r="F35" i="35"/>
  <c r="F69" i="35"/>
  <c r="F85" i="35"/>
  <c r="F22" i="34"/>
  <c r="F95" i="34"/>
  <c r="G30" i="32"/>
  <c r="F43" i="32"/>
  <c r="G34" i="32"/>
  <c r="F35" i="32"/>
  <c r="G25" i="32"/>
  <c r="F10" i="32"/>
  <c r="F15" i="32"/>
  <c r="F32" i="32"/>
  <c r="F11" i="32"/>
  <c r="F17" i="32"/>
  <c r="F70" i="32"/>
  <c r="F81" i="32"/>
  <c r="F40" i="32"/>
  <c r="F18" i="32"/>
  <c r="F22" i="32"/>
  <c r="F53" i="32"/>
  <c r="F74" i="32"/>
  <c r="F68" i="32"/>
  <c r="F95" i="32"/>
  <c r="F93" i="32"/>
  <c r="F91" i="32"/>
  <c r="F89" i="32"/>
  <c r="F87" i="32"/>
  <c r="F85" i="32"/>
  <c r="F83" i="32"/>
  <c r="F82" i="32"/>
  <c r="F24" i="32"/>
  <c r="F20" i="32"/>
  <c r="F77" i="32"/>
  <c r="F26" i="32"/>
  <c r="F38" i="32"/>
  <c r="F51" i="32"/>
  <c r="F75" i="32"/>
  <c r="F21" i="32"/>
  <c r="F88" i="32"/>
  <c r="F96" i="32"/>
  <c r="F94" i="32"/>
  <c r="F90" i="32"/>
  <c r="F86" i="32"/>
  <c r="F84" i="32"/>
  <c r="F47" i="32"/>
  <c r="F33" i="32"/>
  <c r="F79" i="32"/>
  <c r="F78" i="32"/>
  <c r="F76" i="32"/>
  <c r="F48" i="32"/>
  <c r="F37" i="32"/>
  <c r="F73" i="32"/>
  <c r="F71" i="32"/>
  <c r="F66" i="32"/>
  <c r="F64" i="32"/>
  <c r="F62" i="32"/>
  <c r="F60" i="32"/>
  <c r="F44" i="32"/>
  <c r="F42" i="32"/>
  <c r="F52" i="32"/>
  <c r="F31" i="32"/>
  <c r="F45" i="32"/>
  <c r="F27" i="32"/>
  <c r="F13" i="32"/>
  <c r="F41" i="32"/>
  <c r="F72" i="32"/>
  <c r="F67" i="32"/>
  <c r="F65" i="32"/>
  <c r="F63" i="32"/>
  <c r="F61" i="32"/>
  <c r="F58" i="32"/>
  <c r="F57" i="32"/>
  <c r="F56" i="32"/>
  <c r="F39" i="32"/>
  <c r="F12" i="32"/>
  <c r="F19" i="32"/>
  <c r="F50" i="32"/>
  <c r="F30" i="32"/>
  <c r="F54" i="32"/>
  <c r="F28" i="32"/>
  <c r="F46" i="32"/>
  <c r="F69" i="32"/>
  <c r="F29" i="32"/>
  <c r="F92" i="32"/>
  <c r="F49" i="32"/>
  <c r="F55" i="32"/>
  <c r="F80" i="32"/>
  <c r="F36" i="32"/>
  <c r="F59" i="32"/>
  <c r="F16" i="32"/>
  <c r="F23" i="32"/>
  <c r="F14" i="32"/>
  <c r="AB27" i="36"/>
  <c r="CJ13" i="39"/>
  <c r="CL13" i="39"/>
  <c r="CL19" i="39"/>
  <c r="CJ19" i="39"/>
  <c r="CJ55" i="39"/>
  <c r="CL55" i="39"/>
  <c r="CL43" i="39"/>
  <c r="CJ43" i="39"/>
  <c r="CL54" i="39"/>
  <c r="CJ54" i="39"/>
  <c r="CL56" i="39"/>
  <c r="CJ56" i="39"/>
  <c r="CJ87" i="39"/>
  <c r="CK87" i="39"/>
  <c r="CL87" i="39"/>
  <c r="CL39" i="39"/>
  <c r="CJ39" i="39"/>
  <c r="CJ52" i="39"/>
  <c r="CL52" i="39"/>
  <c r="CK52" i="39"/>
  <c r="CL12" i="39"/>
  <c r="CJ12" i="39"/>
  <c r="CJ46" i="39"/>
  <c r="CL46" i="39"/>
  <c r="CL51" i="39"/>
  <c r="CJ51" i="39"/>
  <c r="CK51" i="39"/>
  <c r="CK66" i="39"/>
  <c r="CJ66" i="39"/>
  <c r="CL66" i="39"/>
  <c r="CJ49" i="39"/>
  <c r="CL49" i="39"/>
  <c r="CK49" i="39"/>
  <c r="CJ10" i="39"/>
  <c r="CK10" i="39"/>
  <c r="CL10" i="39"/>
  <c r="CL42" i="39"/>
  <c r="CJ42" i="39"/>
  <c r="CL18" i="39"/>
  <c r="CJ18" i="39"/>
  <c r="CK18" i="39"/>
  <c r="CL41" i="39"/>
  <c r="CK41" i="39"/>
  <c r="CJ41" i="39"/>
  <c r="CL88" i="39"/>
  <c r="CK88" i="39"/>
  <c r="CJ88" i="39"/>
  <c r="CJ95" i="39"/>
  <c r="CL95" i="39"/>
  <c r="CK95" i="39"/>
  <c r="CL70" i="39"/>
  <c r="CK70" i="39"/>
  <c r="CJ70" i="39"/>
  <c r="CL23" i="39"/>
  <c r="CJ23" i="39"/>
  <c r="CJ64" i="39"/>
  <c r="CL64" i="39"/>
  <c r="CK64" i="39"/>
  <c r="CL93" i="39"/>
  <c r="CK93" i="39"/>
  <c r="CJ93" i="39"/>
  <c r="CL14" i="39"/>
  <c r="CJ14" i="39"/>
  <c r="CL48" i="39"/>
  <c r="CK48" i="39"/>
  <c r="CJ48" i="39"/>
  <c r="CL53" i="39"/>
  <c r="CJ53" i="39"/>
  <c r="CL62" i="39"/>
  <c r="CJ62" i="39"/>
  <c r="CJ74" i="39"/>
  <c r="CK74" i="39"/>
  <c r="CL74" i="39"/>
  <c r="CK96" i="39"/>
  <c r="CL96" i="39"/>
  <c r="CJ96" i="39"/>
  <c r="CL99" i="39"/>
  <c r="CK99" i="39"/>
  <c r="CJ99" i="39"/>
  <c r="CK27" i="39"/>
  <c r="CL27" i="39"/>
  <c r="CJ27" i="39"/>
  <c r="CJ21" i="39"/>
  <c r="CL21" i="39"/>
  <c r="CL30" i="39"/>
  <c r="CJ30" i="39"/>
  <c r="CJ38" i="39"/>
  <c r="CL38" i="39"/>
  <c r="CL61" i="39"/>
  <c r="CK61" i="39"/>
  <c r="CJ61" i="39"/>
  <c r="CJ29" i="39"/>
  <c r="CL29" i="39"/>
  <c r="CJ31" i="39"/>
  <c r="CL31" i="39"/>
  <c r="CK63" i="39"/>
  <c r="CJ63" i="39"/>
  <c r="CL63" i="39"/>
  <c r="CL100" i="39"/>
  <c r="CK100" i="39"/>
  <c r="CJ100" i="39"/>
  <c r="CJ32" i="39"/>
  <c r="CL32" i="39"/>
  <c r="CK58" i="39"/>
  <c r="CJ58" i="39"/>
  <c r="CL58" i="39"/>
  <c r="CJ36" i="39"/>
  <c r="CL36" i="39"/>
  <c r="CL37" i="39"/>
  <c r="CJ37" i="39"/>
  <c r="CK92" i="39"/>
  <c r="CJ92" i="39"/>
  <c r="CL92" i="39"/>
  <c r="CJ94" i="39"/>
  <c r="CL94" i="39"/>
  <c r="CK94" i="39"/>
  <c r="CK97" i="39"/>
  <c r="CL97" i="39"/>
  <c r="CJ97" i="39"/>
  <c r="CL40" i="39"/>
  <c r="CJ40" i="39"/>
  <c r="CL17" i="39"/>
  <c r="CJ17" i="39"/>
  <c r="CJ22" i="39"/>
  <c r="CL22" i="39"/>
  <c r="CL24" i="39"/>
  <c r="CJ24" i="39"/>
  <c r="CL28" i="39"/>
  <c r="CJ28" i="39"/>
  <c r="CJ26" i="39"/>
  <c r="CL26" i="39"/>
  <c r="CL68" i="39"/>
  <c r="CK68" i="39"/>
  <c r="CJ68" i="39"/>
  <c r="CL35" i="39"/>
  <c r="CJ35" i="39"/>
  <c r="CL85" i="39"/>
  <c r="CK85" i="39"/>
  <c r="CJ85" i="39"/>
  <c r="CJ47" i="39"/>
  <c r="CL47" i="39"/>
  <c r="CL79" i="39"/>
  <c r="CK79" i="39"/>
  <c r="CJ79" i="39"/>
  <c r="CJ44" i="39"/>
  <c r="CL44" i="39"/>
  <c r="CJ45" i="39"/>
  <c r="CL45" i="39"/>
  <c r="CK45" i="39"/>
  <c r="CL82" i="39"/>
  <c r="CK82" i="39"/>
  <c r="CJ82" i="39"/>
  <c r="CJ71" i="39"/>
  <c r="CL71" i="39"/>
  <c r="CJ11" i="39"/>
  <c r="CL11" i="39"/>
  <c r="CL33" i="39"/>
  <c r="CK33" i="39"/>
  <c r="CJ33" i="39"/>
  <c r="CJ50" i="39"/>
  <c r="CL50" i="39"/>
  <c r="CJ65" i="39"/>
  <c r="CL65" i="39"/>
  <c r="CL80" i="39"/>
  <c r="CJ80" i="39"/>
  <c r="CL59" i="39"/>
  <c r="CK59" i="39"/>
  <c r="CJ59" i="39"/>
  <c r="CK98" i="39"/>
  <c r="CJ98" i="39"/>
  <c r="CL98" i="39"/>
  <c r="CK90" i="39"/>
  <c r="CL90" i="39"/>
  <c r="CJ90" i="39"/>
  <c r="CJ16" i="39"/>
  <c r="CL16" i="39"/>
  <c r="CL76" i="39"/>
  <c r="CK76" i="39"/>
  <c r="CJ76" i="39"/>
  <c r="CL15" i="39"/>
  <c r="CJ15" i="39"/>
  <c r="CJ25" i="39"/>
  <c r="CL25" i="39"/>
  <c r="CJ57" i="39"/>
  <c r="CL57" i="39"/>
  <c r="CL60" i="39"/>
  <c r="CJ60" i="39"/>
  <c r="CJ73" i="39"/>
  <c r="CL73" i="39"/>
  <c r="CK73" i="39"/>
  <c r="CL72" i="39"/>
  <c r="CJ72" i="39"/>
  <c r="CL84" i="39"/>
  <c r="CK84" i="39"/>
  <c r="CJ84" i="39"/>
  <c r="CK75" i="39"/>
  <c r="CJ75" i="39"/>
  <c r="CL75" i="39"/>
  <c r="CI14" i="39"/>
  <c r="CG14" i="39"/>
  <c r="CI48" i="39"/>
  <c r="CH48" i="39"/>
  <c r="CG48" i="39"/>
  <c r="CI53" i="39"/>
  <c r="CH53" i="39"/>
  <c r="CG53" i="39"/>
  <c r="CI62" i="39"/>
  <c r="CH62" i="39"/>
  <c r="CG62" i="39"/>
  <c r="CI74" i="39"/>
  <c r="CH74" i="39"/>
  <c r="CG74" i="39"/>
  <c r="CG96" i="39"/>
  <c r="CH96" i="39"/>
  <c r="CI96" i="39"/>
  <c r="CH99" i="39"/>
  <c r="CG99" i="39"/>
  <c r="CI99" i="39"/>
  <c r="CG24" i="39"/>
  <c r="CI24" i="39"/>
  <c r="CH24" i="39"/>
  <c r="CH28" i="39"/>
  <c r="CG28" i="39"/>
  <c r="CI28" i="39"/>
  <c r="CI26" i="39"/>
  <c r="CG26" i="39"/>
  <c r="CI68" i="39"/>
  <c r="CG68" i="39"/>
  <c r="CI35" i="39"/>
  <c r="CG35" i="39"/>
  <c r="CH85" i="39"/>
  <c r="CI85" i="39"/>
  <c r="CG85" i="39"/>
  <c r="CI47" i="39"/>
  <c r="CG47" i="39"/>
  <c r="CG79" i="39"/>
  <c r="CH79" i="39"/>
  <c r="CI79" i="39"/>
  <c r="CI44" i="39"/>
  <c r="CG44" i="39"/>
  <c r="CH71" i="39"/>
  <c r="CI71" i="39"/>
  <c r="CG71" i="39"/>
  <c r="CI11" i="39"/>
  <c r="CG11" i="39"/>
  <c r="CI33" i="39"/>
  <c r="CG33" i="39"/>
  <c r="CI50" i="39"/>
  <c r="CG50" i="39"/>
  <c r="CI65" i="39"/>
  <c r="CG65" i="39"/>
  <c r="CG80" i="39"/>
  <c r="CH80" i="39"/>
  <c r="CI80" i="39"/>
  <c r="CI59" i="39"/>
  <c r="CG59" i="39"/>
  <c r="CI98" i="39"/>
  <c r="CG98" i="39"/>
  <c r="CH98" i="39"/>
  <c r="CG90" i="39"/>
  <c r="CI90" i="39"/>
  <c r="CH90" i="39"/>
  <c r="CI29" i="39"/>
  <c r="CG29" i="39"/>
  <c r="CI15" i="39"/>
  <c r="CG15" i="39"/>
  <c r="CH15" i="39"/>
  <c r="CI25" i="39"/>
  <c r="CG25" i="39"/>
  <c r="CI57" i="39"/>
  <c r="CG57" i="39"/>
  <c r="CI60" i="39"/>
  <c r="CH60" i="39"/>
  <c r="CG60" i="39"/>
  <c r="CI73" i="39"/>
  <c r="CH73" i="39"/>
  <c r="CG73" i="39"/>
  <c r="CG72" i="39"/>
  <c r="CI72" i="39"/>
  <c r="CH72" i="39"/>
  <c r="CI84" i="39"/>
  <c r="CH84" i="39"/>
  <c r="CG84" i="39"/>
  <c r="CI75" i="39"/>
  <c r="CG75" i="39"/>
  <c r="CI19" i="39"/>
  <c r="CG19" i="39"/>
  <c r="CI43" i="39"/>
  <c r="CG43" i="39"/>
  <c r="CI54" i="39"/>
  <c r="CH54" i="39"/>
  <c r="CG54" i="39"/>
  <c r="CH56" i="39"/>
  <c r="CI56" i="39"/>
  <c r="CG56" i="39"/>
  <c r="CH87" i="39"/>
  <c r="CG87" i="39"/>
  <c r="CI87" i="39"/>
  <c r="CI39" i="39"/>
  <c r="CH39" i="39"/>
  <c r="CG39" i="39"/>
  <c r="CI52" i="39"/>
  <c r="CG52" i="39"/>
  <c r="CH52" i="39"/>
  <c r="CI30" i="39"/>
  <c r="CG30" i="39"/>
  <c r="CH30" i="39"/>
  <c r="CG63" i="39"/>
  <c r="CH63" i="39"/>
  <c r="CI63" i="39"/>
  <c r="CI32" i="39"/>
  <c r="CG32" i="39"/>
  <c r="CI37" i="39"/>
  <c r="CG37" i="39"/>
  <c r="CI40" i="39"/>
  <c r="CG40" i="39"/>
  <c r="CI27" i="39"/>
  <c r="CG27" i="39"/>
  <c r="CH27" i="39"/>
  <c r="CI16" i="39"/>
  <c r="CG16" i="39"/>
  <c r="CI17" i="39"/>
  <c r="CG17" i="39"/>
  <c r="CI45" i="39"/>
  <c r="CG45" i="39"/>
  <c r="CG23" i="39"/>
  <c r="CH23" i="39"/>
  <c r="CI23" i="39"/>
  <c r="CG82" i="39"/>
  <c r="CH82" i="39"/>
  <c r="CI82" i="39"/>
  <c r="CI22" i="39"/>
  <c r="CG22" i="39"/>
  <c r="CG76" i="39"/>
  <c r="CH76" i="39"/>
  <c r="CI76" i="39"/>
  <c r="CI38" i="39"/>
  <c r="CG38" i="39"/>
  <c r="CI100" i="39"/>
  <c r="CH100" i="39"/>
  <c r="CG100" i="39"/>
  <c r="CG58" i="39"/>
  <c r="CH58" i="39"/>
  <c r="CI58" i="39"/>
  <c r="CG94" i="39"/>
  <c r="CI94" i="39"/>
  <c r="CH94" i="39"/>
  <c r="CI12" i="39"/>
  <c r="CG12" i="39"/>
  <c r="CI46" i="39"/>
  <c r="CG46" i="39"/>
  <c r="CI64" i="39"/>
  <c r="CH64" i="39"/>
  <c r="CG64" i="39"/>
  <c r="CI51" i="39"/>
  <c r="CH51" i="39"/>
  <c r="CG51" i="39"/>
  <c r="CI93" i="39"/>
  <c r="CH93" i="39"/>
  <c r="CG93" i="39"/>
  <c r="CI66" i="39"/>
  <c r="CG66" i="39"/>
  <c r="CI49" i="39"/>
  <c r="CG49" i="39"/>
  <c r="CH21" i="39"/>
  <c r="CG21" i="39"/>
  <c r="CI21" i="39"/>
  <c r="CI61" i="39"/>
  <c r="CG61" i="39"/>
  <c r="CH61" i="39"/>
  <c r="CI31" i="39"/>
  <c r="CG31" i="39"/>
  <c r="CH31" i="39"/>
  <c r="CI36" i="39"/>
  <c r="CG36" i="39"/>
  <c r="CI92" i="39"/>
  <c r="CH92" i="39"/>
  <c r="CG92" i="39"/>
  <c r="CI97" i="39"/>
  <c r="CH97" i="39"/>
  <c r="CG97" i="39"/>
  <c r="CG13" i="39"/>
  <c r="CI13" i="39"/>
  <c r="CH13" i="39"/>
  <c r="CI55" i="39"/>
  <c r="CG55" i="39"/>
  <c r="CI10" i="39"/>
  <c r="CG10" i="39"/>
  <c r="CI42" i="39"/>
  <c r="CG42" i="39"/>
  <c r="CI18" i="39"/>
  <c r="CG18" i="39"/>
  <c r="CI41" i="39"/>
  <c r="CG41" i="39"/>
  <c r="CI88" i="39"/>
  <c r="CH88" i="39"/>
  <c r="CG88" i="39"/>
  <c r="CG95" i="39"/>
  <c r="CI95" i="39"/>
  <c r="CH95" i="39"/>
  <c r="CG70" i="39"/>
  <c r="CI70" i="39"/>
  <c r="CH70" i="39"/>
  <c r="AB26" i="35"/>
  <c r="AB25" i="34"/>
  <c r="CF53" i="39"/>
  <c r="CD53" i="39"/>
  <c r="CD96" i="39"/>
  <c r="CF96" i="39"/>
  <c r="CE96" i="39"/>
  <c r="CF24" i="39"/>
  <c r="CE24" i="39"/>
  <c r="CD24" i="39"/>
  <c r="CF28" i="39"/>
  <c r="CD28" i="39"/>
  <c r="CF26" i="39"/>
  <c r="CD26" i="39"/>
  <c r="CF68" i="39"/>
  <c r="CD68" i="39"/>
  <c r="CF35" i="39"/>
  <c r="CD35" i="39"/>
  <c r="CE85" i="39"/>
  <c r="CF85" i="39"/>
  <c r="CD85" i="39"/>
  <c r="CF47" i="39"/>
  <c r="CD47" i="39"/>
  <c r="CD79" i="39"/>
  <c r="CF79" i="39"/>
  <c r="CE79" i="39"/>
  <c r="CF44" i="39"/>
  <c r="CD44" i="39"/>
  <c r="CE99" i="39"/>
  <c r="CF99" i="39"/>
  <c r="CD99" i="39"/>
  <c r="CF32" i="39"/>
  <c r="CD32" i="39"/>
  <c r="CF37" i="39"/>
  <c r="CD37" i="39"/>
  <c r="CE37" i="39"/>
  <c r="CD94" i="39"/>
  <c r="CF94" i="39"/>
  <c r="CE94" i="39"/>
  <c r="CD71" i="39"/>
  <c r="CE71" i="39"/>
  <c r="CF71" i="39"/>
  <c r="CF11" i="39"/>
  <c r="CD11" i="39"/>
  <c r="CF33" i="39"/>
  <c r="CD33" i="39"/>
  <c r="CF50" i="39"/>
  <c r="CD50" i="39"/>
  <c r="CF65" i="39"/>
  <c r="CD65" i="39"/>
  <c r="CD80" i="39"/>
  <c r="CF80" i="39"/>
  <c r="CE80" i="39"/>
  <c r="CF59" i="39"/>
  <c r="CD59" i="39"/>
  <c r="CE59" i="39"/>
  <c r="CE98" i="39"/>
  <c r="CF98" i="39"/>
  <c r="CD98" i="39"/>
  <c r="CE90" i="39"/>
  <c r="CD90" i="39"/>
  <c r="CF90" i="39"/>
  <c r="CE30" i="39"/>
  <c r="CD30" i="39"/>
  <c r="CF30" i="39"/>
  <c r="CF36" i="39"/>
  <c r="CD36" i="39"/>
  <c r="CF92" i="39"/>
  <c r="CD92" i="39"/>
  <c r="CE92" i="39"/>
  <c r="CF40" i="39"/>
  <c r="CD40" i="39"/>
  <c r="CF15" i="39"/>
  <c r="CD15" i="39"/>
  <c r="CF25" i="39"/>
  <c r="CD25" i="39"/>
  <c r="CF57" i="39"/>
  <c r="CD57" i="39"/>
  <c r="CF60" i="39"/>
  <c r="CD60" i="39"/>
  <c r="CF73" i="39"/>
  <c r="CE73" i="39"/>
  <c r="CD73" i="39"/>
  <c r="CD72" i="39"/>
  <c r="CE72" i="39"/>
  <c r="CF72" i="39"/>
  <c r="CE84" i="39"/>
  <c r="CD84" i="39"/>
  <c r="CF84" i="39"/>
  <c r="CF75" i="39"/>
  <c r="CD75" i="39"/>
  <c r="CE75" i="39"/>
  <c r="CD48" i="39"/>
  <c r="CF48" i="39"/>
  <c r="CE48" i="39"/>
  <c r="CF74" i="39"/>
  <c r="CE74" i="39"/>
  <c r="CD74" i="39"/>
  <c r="CF21" i="39"/>
  <c r="CD21" i="39"/>
  <c r="CF13" i="39"/>
  <c r="CD13" i="39"/>
  <c r="CF19" i="39"/>
  <c r="CD19" i="39"/>
  <c r="CD55" i="39"/>
  <c r="CF55" i="39"/>
  <c r="CE55" i="39"/>
  <c r="CF43" i="39"/>
  <c r="CD43" i="39"/>
  <c r="CE54" i="39"/>
  <c r="CD54" i="39"/>
  <c r="CF54" i="39"/>
  <c r="CF56" i="39"/>
  <c r="CD56" i="39"/>
  <c r="CD87" i="39"/>
  <c r="CE87" i="39"/>
  <c r="CF87" i="39"/>
  <c r="CD39" i="39"/>
  <c r="CE39" i="39"/>
  <c r="CF39" i="39"/>
  <c r="CF52" i="39"/>
  <c r="CD52" i="39"/>
  <c r="CE52" i="39"/>
  <c r="CF38" i="39"/>
  <c r="CD38" i="39"/>
  <c r="CF61" i="39"/>
  <c r="CE61" i="39"/>
  <c r="CD61" i="39"/>
  <c r="CF29" i="39"/>
  <c r="CD29" i="39"/>
  <c r="CE31" i="39"/>
  <c r="CD31" i="39"/>
  <c r="CF31" i="39"/>
  <c r="CD63" i="39"/>
  <c r="CF63" i="39"/>
  <c r="CE63" i="39"/>
  <c r="CF100" i="39"/>
  <c r="CE100" i="39"/>
  <c r="CD100" i="39"/>
  <c r="CD58" i="39"/>
  <c r="CF58" i="39"/>
  <c r="CE58" i="39"/>
  <c r="CD97" i="39"/>
  <c r="CF97" i="39"/>
  <c r="CE97" i="39"/>
  <c r="CD27" i="39"/>
  <c r="CE27" i="39"/>
  <c r="CF27" i="39"/>
  <c r="CF16" i="39"/>
  <c r="CD16" i="39"/>
  <c r="CF17" i="39"/>
  <c r="CD17" i="39"/>
  <c r="CF45" i="39"/>
  <c r="CD45" i="39"/>
  <c r="CF23" i="39"/>
  <c r="CD23" i="39"/>
  <c r="CD82" i="39"/>
  <c r="CF82" i="39"/>
  <c r="CE82" i="39"/>
  <c r="CF22" i="39"/>
  <c r="CD22" i="39"/>
  <c r="CE76" i="39"/>
  <c r="CF76" i="39"/>
  <c r="CD76" i="39"/>
  <c r="CF14" i="39"/>
  <c r="CD14" i="39"/>
  <c r="CF62" i="39"/>
  <c r="CD62" i="39"/>
  <c r="CF12" i="39"/>
  <c r="CD12" i="39"/>
  <c r="CF46" i="39"/>
  <c r="CD46" i="39"/>
  <c r="CD64" i="39"/>
  <c r="CE64" i="39"/>
  <c r="CF64" i="39"/>
  <c r="CF51" i="39"/>
  <c r="CD51" i="39"/>
  <c r="CE51" i="39"/>
  <c r="CE93" i="39"/>
  <c r="CD93" i="39"/>
  <c r="CF93" i="39"/>
  <c r="CF66" i="39"/>
  <c r="CD66" i="39"/>
  <c r="CE66" i="39"/>
  <c r="CD49" i="39"/>
  <c r="CE49" i="39"/>
  <c r="CF49" i="39"/>
  <c r="CF10" i="39"/>
  <c r="CD10" i="39"/>
  <c r="CF42" i="39"/>
  <c r="CD42" i="39"/>
  <c r="CF18" i="39"/>
  <c r="CD18" i="39"/>
  <c r="CF41" i="39"/>
  <c r="CD41" i="39"/>
  <c r="CE88" i="39"/>
  <c r="CF88" i="39"/>
  <c r="CD88" i="39"/>
  <c r="CF95" i="39"/>
  <c r="CD95" i="39"/>
  <c r="CE95" i="39"/>
  <c r="CF70" i="39"/>
  <c r="CD70" i="39"/>
  <c r="CE70" i="39"/>
  <c r="AB23" i="32"/>
  <c r="CA55" i="39"/>
  <c r="CC55" i="39"/>
  <c r="CA54" i="39"/>
  <c r="CC54" i="39"/>
  <c r="CA56" i="39"/>
  <c r="CC56" i="39"/>
  <c r="CA39" i="39"/>
  <c r="CB39" i="39"/>
  <c r="CC39" i="39"/>
  <c r="CC32" i="39"/>
  <c r="CA32" i="39"/>
  <c r="CB58" i="39"/>
  <c r="CA58" i="39"/>
  <c r="CC58" i="39"/>
  <c r="CC36" i="39"/>
  <c r="CA36" i="39"/>
  <c r="CA37" i="39"/>
  <c r="CC37" i="39"/>
  <c r="CA92" i="39"/>
  <c r="CB92" i="39"/>
  <c r="CC92" i="39"/>
  <c r="CA94" i="39"/>
  <c r="CB94" i="39"/>
  <c r="CC94" i="39"/>
  <c r="CC97" i="39"/>
  <c r="CB97" i="39"/>
  <c r="CA97" i="39"/>
  <c r="CC40" i="39"/>
  <c r="CA40" i="39"/>
  <c r="CC71" i="39"/>
  <c r="CB71" i="39"/>
  <c r="CA71" i="39"/>
  <c r="CA11" i="39"/>
  <c r="CC11" i="39"/>
  <c r="CC33" i="39"/>
  <c r="CA33" i="39"/>
  <c r="CC50" i="39"/>
  <c r="CA50" i="39"/>
  <c r="CC65" i="39"/>
  <c r="CA65" i="39"/>
  <c r="CC80" i="39"/>
  <c r="CA80" i="39"/>
  <c r="CB80" i="39"/>
  <c r="CC59" i="39"/>
  <c r="CA59" i="39"/>
  <c r="CC98" i="39"/>
  <c r="CB98" i="39"/>
  <c r="CA98" i="39"/>
  <c r="CC90" i="39"/>
  <c r="CA90" i="39"/>
  <c r="CA24" i="39"/>
  <c r="CC24" i="39"/>
  <c r="CC28" i="39"/>
  <c r="CA28" i="39"/>
  <c r="CA26" i="39"/>
  <c r="CC26" i="39"/>
  <c r="CC68" i="39"/>
  <c r="CA68" i="39"/>
  <c r="CA35" i="39"/>
  <c r="CC35" i="39"/>
  <c r="CC85" i="39"/>
  <c r="CA85" i="39"/>
  <c r="CB85" i="39"/>
  <c r="CA47" i="39"/>
  <c r="CC47" i="39"/>
  <c r="CB79" i="39"/>
  <c r="CA79" i="39"/>
  <c r="CC79" i="39"/>
  <c r="CC44" i="39"/>
  <c r="CA44" i="39"/>
  <c r="CC15" i="39"/>
  <c r="CA15" i="39"/>
  <c r="CA25" i="39"/>
  <c r="CB25" i="39"/>
  <c r="CC25" i="39"/>
  <c r="CA57" i="39"/>
  <c r="CC57" i="39"/>
  <c r="CC60" i="39"/>
  <c r="CA60" i="39"/>
  <c r="CA73" i="39"/>
  <c r="CB73" i="39"/>
  <c r="CC73" i="39"/>
  <c r="CC72" i="39"/>
  <c r="CA72" i="39"/>
  <c r="CB72" i="39"/>
  <c r="CB84" i="39"/>
  <c r="CA84" i="39"/>
  <c r="CC84" i="39"/>
  <c r="CC75" i="39"/>
  <c r="CA75" i="39"/>
  <c r="CB75" i="39"/>
  <c r="CA13" i="39"/>
  <c r="CC13" i="39"/>
  <c r="CC27" i="39"/>
  <c r="CA27" i="39"/>
  <c r="CA16" i="39"/>
  <c r="CC16" i="39"/>
  <c r="CA17" i="39"/>
  <c r="CC17" i="39"/>
  <c r="CC45" i="39"/>
  <c r="CA45" i="39"/>
  <c r="CA23" i="39"/>
  <c r="CC23" i="39"/>
  <c r="CB82" i="39"/>
  <c r="CA82" i="39"/>
  <c r="CC82" i="39"/>
  <c r="CC22" i="39"/>
  <c r="CA22" i="39"/>
  <c r="CA76" i="39"/>
  <c r="CB76" i="39"/>
  <c r="CC76" i="39"/>
  <c r="CC12" i="39"/>
  <c r="CA12" i="39"/>
  <c r="CC46" i="39"/>
  <c r="CA46" i="39"/>
  <c r="CC64" i="39"/>
  <c r="CA64" i="39"/>
  <c r="CB64" i="39"/>
  <c r="CC51" i="39"/>
  <c r="CA51" i="39"/>
  <c r="CB51" i="39"/>
  <c r="CB93" i="39"/>
  <c r="CC93" i="39"/>
  <c r="CA93" i="39"/>
  <c r="CC66" i="39"/>
  <c r="CA66" i="39"/>
  <c r="CC49" i="39"/>
  <c r="CA49" i="39"/>
  <c r="CB49" i="39"/>
  <c r="CA19" i="39"/>
  <c r="CC19" i="39"/>
  <c r="CC43" i="39"/>
  <c r="CA43" i="39"/>
  <c r="CB87" i="39"/>
  <c r="CC87" i="39"/>
  <c r="CA87" i="39"/>
  <c r="CA52" i="39"/>
  <c r="CC52" i="39"/>
  <c r="CC10" i="39"/>
  <c r="CA10" i="39"/>
  <c r="CA42" i="39"/>
  <c r="CC42" i="39"/>
  <c r="CC18" i="39"/>
  <c r="CA18" i="39"/>
  <c r="CA41" i="39"/>
  <c r="CC41" i="39"/>
  <c r="CB88" i="39"/>
  <c r="CC88" i="39"/>
  <c r="CA88" i="39"/>
  <c r="CB95" i="39"/>
  <c r="CA95" i="39"/>
  <c r="CC95" i="39"/>
  <c r="CC70" i="39"/>
  <c r="CA70" i="39"/>
  <c r="CB70" i="39"/>
  <c r="CA14" i="39"/>
  <c r="CC14" i="39"/>
  <c r="CC48" i="39"/>
  <c r="CA48" i="39"/>
  <c r="CA53" i="39"/>
  <c r="CC53" i="39"/>
  <c r="CA62" i="39"/>
  <c r="CC62" i="39"/>
  <c r="CA74" i="39"/>
  <c r="CB74" i="39"/>
  <c r="CC74" i="39"/>
  <c r="CA96" i="39"/>
  <c r="CB96" i="39"/>
  <c r="CC96" i="39"/>
  <c r="CB99" i="39"/>
  <c r="CC99" i="39"/>
  <c r="CA99" i="39"/>
  <c r="CC21" i="39"/>
  <c r="CA21" i="39"/>
  <c r="CC30" i="39"/>
  <c r="CA30" i="39"/>
  <c r="CC38" i="39"/>
  <c r="CA38" i="39"/>
  <c r="CA61" i="39"/>
  <c r="CC61" i="39"/>
  <c r="CC29" i="39"/>
  <c r="CA29" i="39"/>
  <c r="CC31" i="39"/>
  <c r="CB31" i="39"/>
  <c r="CA31" i="39"/>
  <c r="CA63" i="39"/>
  <c r="CC63" i="39"/>
  <c r="CA100" i="39"/>
  <c r="CC100" i="39"/>
  <c r="CB100" i="39"/>
  <c r="F11" i="31"/>
  <c r="F71" i="31"/>
  <c r="F20" i="31"/>
  <c r="F25" i="31"/>
  <c r="G35" i="31"/>
  <c r="F26" i="31"/>
  <c r="F44" i="31"/>
  <c r="G45" i="31"/>
  <c r="F84" i="31"/>
  <c r="G79" i="31"/>
  <c r="F33" i="31"/>
  <c r="G26" i="31"/>
  <c r="F55" i="31"/>
  <c r="F70" i="31"/>
  <c r="G16" i="31"/>
  <c r="G80" i="31"/>
  <c r="G13" i="31"/>
  <c r="F10" i="31"/>
  <c r="F13" i="31"/>
  <c r="G11" i="31"/>
  <c r="G59" i="31"/>
  <c r="G41" i="31"/>
  <c r="F21" i="31"/>
  <c r="G52" i="31"/>
  <c r="F38" i="31"/>
  <c r="G33" i="31"/>
  <c r="F86" i="31"/>
  <c r="F15" i="31"/>
  <c r="G20" i="31"/>
  <c r="F40" i="30"/>
  <c r="G63" i="31"/>
  <c r="G14" i="31"/>
  <c r="G85" i="31"/>
  <c r="G58" i="31"/>
  <c r="F30" i="31"/>
  <c r="F63" i="31"/>
  <c r="G67" i="31"/>
  <c r="G40" i="31"/>
  <c r="F75" i="31"/>
  <c r="F65" i="31"/>
  <c r="F68" i="31"/>
  <c r="F96" i="31"/>
  <c r="F72" i="31"/>
  <c r="F56" i="31"/>
  <c r="F41" i="31"/>
  <c r="F43" i="31"/>
  <c r="G71" i="31"/>
  <c r="G23" i="31"/>
  <c r="G76" i="31"/>
  <c r="G43" i="31"/>
  <c r="G84" i="31"/>
  <c r="G28" i="31"/>
  <c r="G50" i="31"/>
  <c r="F39" i="31"/>
  <c r="F23" i="31"/>
  <c r="F67" i="31"/>
  <c r="F40" i="31"/>
  <c r="F28" i="31"/>
  <c r="G77" i="31"/>
  <c r="G29" i="31"/>
  <c r="F59" i="31"/>
  <c r="F61" i="31"/>
  <c r="G54" i="31"/>
  <c r="G51" i="31"/>
  <c r="G91" i="31"/>
  <c r="G24" i="31"/>
  <c r="G44" i="31"/>
  <c r="G32" i="31"/>
  <c r="F50" i="31"/>
  <c r="F37" i="31"/>
  <c r="G34" i="31"/>
  <c r="G74" i="31"/>
  <c r="F42" i="31"/>
  <c r="F18" i="31"/>
  <c r="F76" i="31"/>
  <c r="F49" i="31"/>
  <c r="F77" i="31"/>
  <c r="F29" i="31"/>
  <c r="F16" i="31"/>
  <c r="F31" i="31"/>
  <c r="G40" i="30"/>
  <c r="G66" i="31"/>
  <c r="G61" i="31"/>
  <c r="F80" i="31"/>
  <c r="G69" i="31"/>
  <c r="F35" i="31"/>
  <c r="G22" i="31"/>
  <c r="F17" i="31"/>
  <c r="F73" i="31"/>
  <c r="F78" i="31"/>
  <c r="F74" i="31"/>
  <c r="F47" i="31"/>
  <c r="G48" i="31"/>
  <c r="F83" i="31"/>
  <c r="G57" i="31"/>
  <c r="G87" i="31"/>
  <c r="F46" i="31"/>
  <c r="F79" i="31"/>
  <c r="G37" i="31"/>
  <c r="G47" i="31"/>
  <c r="G73" i="31"/>
  <c r="G30" i="31"/>
  <c r="G82" i="31"/>
  <c r="G17" i="31"/>
  <c r="F32" i="31"/>
  <c r="G81" i="31"/>
  <c r="F48" i="31"/>
  <c r="F89" i="31"/>
  <c r="F57" i="31"/>
  <c r="F87" i="31"/>
  <c r="F14" i="31"/>
  <c r="F62" i="31"/>
  <c r="G64" i="31"/>
  <c r="F45" i="31"/>
  <c r="G15" i="31"/>
  <c r="F34" i="31"/>
  <c r="G72" i="31"/>
  <c r="G55" i="31"/>
  <c r="G25" i="31"/>
  <c r="G89" i="31"/>
  <c r="F91" i="31"/>
  <c r="F81" i="31"/>
  <c r="G12" i="31"/>
  <c r="F51" i="31"/>
  <c r="F93" i="31"/>
  <c r="G62" i="31"/>
  <c r="G90" i="31"/>
  <c r="F19" i="31"/>
  <c r="F90" i="31"/>
  <c r="G21" i="31"/>
  <c r="F58" i="31"/>
  <c r="F64" i="31"/>
  <c r="G68" i="31"/>
  <c r="F27" i="31"/>
  <c r="G10" i="31"/>
  <c r="G75" i="31"/>
  <c r="G65" i="31"/>
  <c r="G39" i="31"/>
  <c r="G18" i="31"/>
  <c r="F12" i="31"/>
  <c r="F95" i="31"/>
  <c r="G60" i="31"/>
  <c r="G88" i="31"/>
  <c r="F22" i="31"/>
  <c r="F85" i="31"/>
  <c r="G19" i="31"/>
  <c r="G86" i="31"/>
  <c r="G78" i="31"/>
  <c r="G83" i="31"/>
  <c r="G56" i="31"/>
  <c r="G31" i="31"/>
  <c r="F24" i="31"/>
  <c r="G53" i="31"/>
  <c r="F60" i="31"/>
  <c r="F88" i="31"/>
  <c r="G46" i="31"/>
  <c r="G94" i="31"/>
  <c r="F66" i="31"/>
  <c r="G92" i="31"/>
  <c r="G27" i="31"/>
  <c r="G38" i="31"/>
  <c r="G93" i="31"/>
  <c r="G95" i="31"/>
  <c r="G42" i="31"/>
  <c r="F54" i="31"/>
  <c r="F53" i="31"/>
  <c r="F82" i="31"/>
  <c r="F94" i="31"/>
  <c r="F52" i="31"/>
  <c r="G70" i="31"/>
  <c r="G49" i="31"/>
  <c r="F69" i="31"/>
  <c r="F92" i="31"/>
  <c r="G96" i="31"/>
  <c r="AB23" i="31"/>
  <c r="BX57" i="39"/>
  <c r="BZ57" i="39"/>
  <c r="BY57" i="39"/>
  <c r="BX84" i="39"/>
  <c r="BZ84" i="39"/>
  <c r="BY84" i="39"/>
  <c r="BX13" i="39"/>
  <c r="BZ13" i="39"/>
  <c r="BX19" i="39"/>
  <c r="BZ19" i="39"/>
  <c r="BX55" i="39"/>
  <c r="BZ55" i="39"/>
  <c r="BZ43" i="39"/>
  <c r="BX43" i="39"/>
  <c r="BZ54" i="39"/>
  <c r="BX54" i="39"/>
  <c r="BZ56" i="39"/>
  <c r="BX56" i="39"/>
  <c r="BZ87" i="39"/>
  <c r="BX87" i="39"/>
  <c r="BY87" i="39"/>
  <c r="BZ39" i="39"/>
  <c r="BX39" i="39"/>
  <c r="BY39" i="39"/>
  <c r="BZ52" i="39"/>
  <c r="BX52" i="39"/>
  <c r="BZ71" i="39"/>
  <c r="BX71" i="39"/>
  <c r="BY71" i="39"/>
  <c r="BX50" i="39"/>
  <c r="BZ50" i="39"/>
  <c r="BX59" i="39"/>
  <c r="BZ59" i="39"/>
  <c r="BY59" i="39"/>
  <c r="BZ90" i="39"/>
  <c r="BX90" i="39"/>
  <c r="BZ27" i="39"/>
  <c r="BX27" i="39"/>
  <c r="BZ16" i="39"/>
  <c r="BX16" i="39"/>
  <c r="BX17" i="39"/>
  <c r="BZ17" i="39"/>
  <c r="BZ45" i="39"/>
  <c r="BX45" i="39"/>
  <c r="BX23" i="39"/>
  <c r="BZ23" i="39"/>
  <c r="BZ82" i="39"/>
  <c r="BX82" i="39"/>
  <c r="BY82" i="39"/>
  <c r="BX22" i="39"/>
  <c r="BZ22" i="39"/>
  <c r="BZ76" i="39"/>
  <c r="BX76" i="39"/>
  <c r="BY76" i="39"/>
  <c r="BX15" i="39"/>
  <c r="BZ15" i="39"/>
  <c r="BZ72" i="39"/>
  <c r="BX72" i="39"/>
  <c r="BY72" i="39"/>
  <c r="BX12" i="39"/>
  <c r="BZ12" i="39"/>
  <c r="BY12" i="39"/>
  <c r="BX46" i="39"/>
  <c r="BZ46" i="39"/>
  <c r="BX64" i="39"/>
  <c r="BZ64" i="39"/>
  <c r="BY64" i="39"/>
  <c r="BX51" i="39"/>
  <c r="BZ51" i="39"/>
  <c r="BY51" i="39"/>
  <c r="BZ93" i="39"/>
  <c r="BX93" i="39"/>
  <c r="BY93" i="39"/>
  <c r="BX66" i="39"/>
  <c r="BZ66" i="39"/>
  <c r="BX49" i="39"/>
  <c r="BZ49" i="39"/>
  <c r="BY49" i="39"/>
  <c r="BZ10" i="39"/>
  <c r="BX10" i="39"/>
  <c r="BX42" i="39"/>
  <c r="BZ42" i="39"/>
  <c r="BY42" i="39"/>
  <c r="BZ18" i="39"/>
  <c r="BX18" i="39"/>
  <c r="BX41" i="39"/>
  <c r="BZ41" i="39"/>
  <c r="BY41" i="39"/>
  <c r="BX88" i="39"/>
  <c r="BZ88" i="39"/>
  <c r="BY88" i="39"/>
  <c r="BZ95" i="39"/>
  <c r="BX95" i="39"/>
  <c r="BX70" i="39"/>
  <c r="BZ70" i="39"/>
  <c r="BY70" i="39"/>
  <c r="BX14" i="39"/>
  <c r="BZ14" i="39"/>
  <c r="BX48" i="39"/>
  <c r="BZ48" i="39"/>
  <c r="BZ53" i="39"/>
  <c r="BX53" i="39"/>
  <c r="BY53" i="39"/>
  <c r="BZ62" i="39"/>
  <c r="BX62" i="39"/>
  <c r="BY62" i="39"/>
  <c r="BX74" i="39"/>
  <c r="BZ74" i="39"/>
  <c r="BY74" i="39"/>
  <c r="BZ96" i="39"/>
  <c r="BX96" i="39"/>
  <c r="BY96" i="39"/>
  <c r="BX99" i="39"/>
  <c r="BZ99" i="39"/>
  <c r="BY99" i="39"/>
  <c r="BZ60" i="39"/>
  <c r="BX60" i="39"/>
  <c r="BX75" i="39"/>
  <c r="BZ75" i="39"/>
  <c r="BY75" i="39"/>
  <c r="BZ21" i="39"/>
  <c r="BX21" i="39"/>
  <c r="BZ30" i="39"/>
  <c r="BX30" i="39"/>
  <c r="BZ38" i="39"/>
  <c r="BX38" i="39"/>
  <c r="BY61" i="39"/>
  <c r="BX61" i="39"/>
  <c r="BZ61" i="39"/>
  <c r="BX29" i="39"/>
  <c r="BZ29" i="39"/>
  <c r="BX31" i="39"/>
  <c r="BZ31" i="39"/>
  <c r="BY31" i="39"/>
  <c r="BZ63" i="39"/>
  <c r="BX63" i="39"/>
  <c r="BZ100" i="39"/>
  <c r="BX100" i="39"/>
  <c r="BY100" i="39"/>
  <c r="BZ11" i="39"/>
  <c r="BX11" i="39"/>
  <c r="BX33" i="39"/>
  <c r="BZ33" i="39"/>
  <c r="BX65" i="39"/>
  <c r="BZ65" i="39"/>
  <c r="BX80" i="39"/>
  <c r="BZ80" i="39"/>
  <c r="BY80" i="39"/>
  <c r="BX98" i="39"/>
  <c r="BZ98" i="39"/>
  <c r="BY98" i="39"/>
  <c r="BX32" i="39"/>
  <c r="BZ32" i="39"/>
  <c r="BZ58" i="39"/>
  <c r="BX58" i="39"/>
  <c r="BY58" i="39"/>
  <c r="BX36" i="39"/>
  <c r="BZ36" i="39"/>
  <c r="BZ37" i="39"/>
  <c r="BX37" i="39"/>
  <c r="BY92" i="39"/>
  <c r="BZ92" i="39"/>
  <c r="BX92" i="39"/>
  <c r="BZ94" i="39"/>
  <c r="BX94" i="39"/>
  <c r="BY94" i="39"/>
  <c r="BZ97" i="39"/>
  <c r="BX97" i="39"/>
  <c r="BY97" i="39"/>
  <c r="BZ40" i="39"/>
  <c r="BX40" i="39"/>
  <c r="BX25" i="39"/>
  <c r="BZ25" i="39"/>
  <c r="BY25" i="39"/>
  <c r="BZ73" i="39"/>
  <c r="BX73" i="39"/>
  <c r="BY73" i="39"/>
  <c r="BZ24" i="39"/>
  <c r="BX24" i="39"/>
  <c r="BZ28" i="39"/>
  <c r="BX28" i="39"/>
  <c r="BY28" i="39"/>
  <c r="BX26" i="39"/>
  <c r="BZ26" i="39"/>
  <c r="BZ68" i="39"/>
  <c r="BX68" i="39"/>
  <c r="BX35" i="39"/>
  <c r="BZ35" i="39"/>
  <c r="BY35" i="39"/>
  <c r="BZ85" i="39"/>
  <c r="BX85" i="39"/>
  <c r="BY85" i="39"/>
  <c r="BZ47" i="39"/>
  <c r="BX47" i="39"/>
  <c r="BX79" i="39"/>
  <c r="BZ79" i="39"/>
  <c r="BY79" i="39"/>
  <c r="BX44" i="39"/>
  <c r="BZ44" i="39"/>
  <c r="BY44" i="39"/>
  <c r="G27" i="29"/>
  <c r="G28" i="29"/>
  <c r="G81" i="30"/>
  <c r="G87" i="29"/>
  <c r="G62" i="29"/>
  <c r="G39" i="30"/>
  <c r="G42" i="30"/>
  <c r="G24" i="29"/>
  <c r="G16" i="29"/>
  <c r="G34" i="29"/>
  <c r="G15" i="30"/>
  <c r="G35" i="29"/>
  <c r="G21" i="29"/>
  <c r="G30" i="30"/>
  <c r="G63" i="30"/>
  <c r="F20" i="30"/>
  <c r="G22" i="29"/>
  <c r="G21" i="30"/>
  <c r="F43" i="30"/>
  <c r="F95" i="30"/>
  <c r="F38" i="30"/>
  <c r="F60" i="30"/>
  <c r="F80" i="30"/>
  <c r="F36" i="30"/>
  <c r="F19" i="30"/>
  <c r="F63" i="29"/>
  <c r="F23" i="29"/>
  <c r="F36" i="29"/>
  <c r="F41" i="29"/>
  <c r="F48" i="29"/>
  <c r="F18" i="29"/>
  <c r="F15" i="29"/>
  <c r="F58" i="29"/>
  <c r="F18" i="30"/>
  <c r="F93" i="30"/>
  <c r="G69" i="29"/>
  <c r="G78" i="29"/>
  <c r="G90" i="30"/>
  <c r="F21" i="30"/>
  <c r="G33" i="29"/>
  <c r="G35" i="30"/>
  <c r="G29" i="30"/>
  <c r="F13" i="29"/>
  <c r="G63" i="29"/>
  <c r="G59" i="29"/>
  <c r="G61" i="30"/>
  <c r="G73" i="29"/>
  <c r="G29" i="29"/>
  <c r="G62" i="30"/>
  <c r="G23" i="30"/>
  <c r="G58" i="30"/>
  <c r="G85" i="29"/>
  <c r="F50" i="29"/>
  <c r="G53" i="30"/>
  <c r="G19" i="29"/>
  <c r="G11" i="29"/>
  <c r="F31" i="30"/>
  <c r="G80" i="29"/>
  <c r="G92" i="30"/>
  <c r="G82" i="29"/>
  <c r="G91" i="29"/>
  <c r="G65" i="29"/>
  <c r="G55" i="29"/>
  <c r="G69" i="30"/>
  <c r="G94" i="30"/>
  <c r="G17" i="29"/>
  <c r="G70" i="30"/>
  <c r="G26" i="29"/>
  <c r="G42" i="29"/>
  <c r="G14" i="30"/>
  <c r="F27" i="30"/>
  <c r="G44" i="30"/>
  <c r="F84" i="30"/>
  <c r="F91" i="30"/>
  <c r="F75" i="30"/>
  <c r="F28" i="30"/>
  <c r="F77" i="30"/>
  <c r="F55" i="30"/>
  <c r="F57" i="30"/>
  <c r="F22" i="30"/>
  <c r="F35" i="29"/>
  <c r="F91" i="29"/>
  <c r="F80" i="29"/>
  <c r="F62" i="29"/>
  <c r="F47" i="29"/>
  <c r="F92" i="29"/>
  <c r="F74" i="29"/>
  <c r="F30" i="29"/>
  <c r="F51" i="29"/>
  <c r="F60" i="29"/>
  <c r="F89" i="29"/>
  <c r="F59" i="29"/>
  <c r="G31" i="30"/>
  <c r="F66" i="29"/>
  <c r="F32" i="29"/>
  <c r="F34" i="29"/>
  <c r="F17" i="30"/>
  <c r="G45" i="29"/>
  <c r="F28" i="29"/>
  <c r="F38" i="29"/>
  <c r="F81" i="29"/>
  <c r="F82" i="29"/>
  <c r="F49" i="29"/>
  <c r="F56" i="29"/>
  <c r="G84" i="30"/>
  <c r="G10" i="30"/>
  <c r="G23" i="29"/>
  <c r="G50" i="30"/>
  <c r="G88" i="29"/>
  <c r="G72" i="29"/>
  <c r="G33" i="30"/>
  <c r="G53" i="29"/>
  <c r="G83" i="29"/>
  <c r="G41" i="29"/>
  <c r="G78" i="30"/>
  <c r="G77" i="30"/>
  <c r="G56" i="29"/>
  <c r="G79" i="30"/>
  <c r="G20" i="29"/>
  <c r="F44" i="30"/>
  <c r="G72" i="30"/>
  <c r="F26" i="30"/>
  <c r="F72" i="30"/>
  <c r="F10" i="30"/>
  <c r="F14" i="30"/>
  <c r="F89" i="30"/>
  <c r="F45" i="30"/>
  <c r="F92" i="30"/>
  <c r="F39" i="30"/>
  <c r="F16" i="30"/>
  <c r="F13" i="30"/>
  <c r="F12" i="29"/>
  <c r="F94" i="29"/>
  <c r="F78" i="29"/>
  <c r="F21" i="29"/>
  <c r="F72" i="29"/>
  <c r="F90" i="30"/>
  <c r="F46" i="30"/>
  <c r="F52" i="30"/>
  <c r="F10" i="29"/>
  <c r="F22" i="29"/>
  <c r="F57" i="29"/>
  <c r="F87" i="29"/>
  <c r="F70" i="29"/>
  <c r="G43" i="30"/>
  <c r="G12" i="30"/>
  <c r="G25" i="29"/>
  <c r="G55" i="30"/>
  <c r="G17" i="30"/>
  <c r="G18" i="30"/>
  <c r="G83" i="30"/>
  <c r="G81" i="29"/>
  <c r="G13" i="30"/>
  <c r="G76" i="29"/>
  <c r="G86" i="30"/>
  <c r="G18" i="29"/>
  <c r="G67" i="29"/>
  <c r="G87" i="30"/>
  <c r="G10" i="29"/>
  <c r="F45" i="29"/>
  <c r="G52" i="30"/>
  <c r="F56" i="30"/>
  <c r="F87" i="30"/>
  <c r="F70" i="30"/>
  <c r="F73" i="30"/>
  <c r="F74" i="30"/>
  <c r="F63" i="30"/>
  <c r="F65" i="30"/>
  <c r="G89" i="30"/>
  <c r="G47" i="30"/>
  <c r="G71" i="29"/>
  <c r="G49" i="30"/>
  <c r="G27" i="30"/>
  <c r="G37" i="30"/>
  <c r="G28" i="30"/>
  <c r="G12" i="29"/>
  <c r="G19" i="30"/>
  <c r="G36" i="29"/>
  <c r="G32" i="30"/>
  <c r="G31" i="29"/>
  <c r="G77" i="29"/>
  <c r="G75" i="29"/>
  <c r="G37" i="29"/>
  <c r="G43" i="29"/>
  <c r="G25" i="30"/>
  <c r="F37" i="30"/>
  <c r="F25" i="30"/>
  <c r="F85" i="30"/>
  <c r="F68" i="30"/>
  <c r="F88" i="30"/>
  <c r="F41" i="30"/>
  <c r="F11" i="29"/>
  <c r="F14" i="29"/>
  <c r="F76" i="29"/>
  <c r="F55" i="29"/>
  <c r="F16" i="29"/>
  <c r="F86" i="29"/>
  <c r="F69" i="29"/>
  <c r="F75" i="29"/>
  <c r="F27" i="29"/>
  <c r="F44" i="29"/>
  <c r="F90" i="29"/>
  <c r="F73" i="29"/>
  <c r="F71" i="29"/>
  <c r="F17" i="29"/>
  <c r="F84" i="29"/>
  <c r="F67" i="29"/>
  <c r="F48" i="30"/>
  <c r="F49" i="30"/>
  <c r="F83" i="30"/>
  <c r="F67" i="30"/>
  <c r="F37" i="29"/>
  <c r="F29" i="29"/>
  <c r="F23" i="30"/>
  <c r="F20" i="29"/>
  <c r="G44" i="29"/>
  <c r="G24" i="30"/>
  <c r="G52" i="29"/>
  <c r="G75" i="30"/>
  <c r="G59" i="30"/>
  <c r="G71" i="30"/>
  <c r="G54" i="30"/>
  <c r="G54" i="29"/>
  <c r="G68" i="30"/>
  <c r="G14" i="29"/>
  <c r="G48" i="29"/>
  <c r="G74" i="29"/>
  <c r="G84" i="29"/>
  <c r="G50" i="29"/>
  <c r="G64" i="29"/>
  <c r="G47" i="29"/>
  <c r="G36" i="30"/>
  <c r="F71" i="30"/>
  <c r="F34" i="30"/>
  <c r="F30" i="30"/>
  <c r="F42" i="30"/>
  <c r="F66" i="30"/>
  <c r="F86" i="30"/>
  <c r="F69" i="30"/>
  <c r="F59" i="30"/>
  <c r="F51" i="30"/>
  <c r="F58" i="30"/>
  <c r="F31" i="29"/>
  <c r="G13" i="29"/>
  <c r="F42" i="29"/>
  <c r="F88" i="29"/>
  <c r="F33" i="29"/>
  <c r="F26" i="29"/>
  <c r="F83" i="29"/>
  <c r="F65" i="29"/>
  <c r="F35" i="30"/>
  <c r="G40" i="29"/>
  <c r="G26" i="30"/>
  <c r="G61" i="29"/>
  <c r="G82" i="30"/>
  <c r="G46" i="30"/>
  <c r="G57" i="30"/>
  <c r="G38" i="30"/>
  <c r="G90" i="29"/>
  <c r="G85" i="30"/>
  <c r="G11" i="30"/>
  <c r="G58" i="29"/>
  <c r="G92" i="29"/>
  <c r="G93" i="29"/>
  <c r="G86" i="29"/>
  <c r="G89" i="29"/>
  <c r="G49" i="29"/>
  <c r="G41" i="30"/>
  <c r="F24" i="30"/>
  <c r="F82" i="30"/>
  <c r="F94" i="30"/>
  <c r="F47" i="30"/>
  <c r="F54" i="29"/>
  <c r="F24" i="29"/>
  <c r="F64" i="29"/>
  <c r="F53" i="29"/>
  <c r="F93" i="29"/>
  <c r="G51" i="29"/>
  <c r="G64" i="30"/>
  <c r="G70" i="29"/>
  <c r="G91" i="30"/>
  <c r="G56" i="30"/>
  <c r="G66" i="30"/>
  <c r="G95" i="30"/>
  <c r="G22" i="30"/>
  <c r="G46" i="29"/>
  <c r="G51" i="30"/>
  <c r="G15" i="29"/>
  <c r="G60" i="30"/>
  <c r="G74" i="30"/>
  <c r="G16" i="30"/>
  <c r="G94" i="29"/>
  <c r="G57" i="29"/>
  <c r="G80" i="30"/>
  <c r="F19" i="29"/>
  <c r="F39" i="29"/>
  <c r="F77" i="29"/>
  <c r="G60" i="29"/>
  <c r="G73" i="30"/>
  <c r="G79" i="29"/>
  <c r="G66" i="29"/>
  <c r="G65" i="30"/>
  <c r="G76" i="30"/>
  <c r="G45" i="30"/>
  <c r="G67" i="30"/>
  <c r="G38" i="29"/>
  <c r="G34" i="30"/>
  <c r="G30" i="29"/>
  <c r="G32" i="29"/>
  <c r="G48" i="30"/>
  <c r="G93" i="30"/>
  <c r="G39" i="29"/>
  <c r="G68" i="29"/>
  <c r="G88" i="30"/>
  <c r="F11" i="30"/>
  <c r="F12" i="30"/>
  <c r="F15" i="30"/>
  <c r="F54" i="30"/>
  <c r="F79" i="30"/>
  <c r="F62" i="30"/>
  <c r="F81" i="30"/>
  <c r="F64" i="30"/>
  <c r="F33" i="30"/>
  <c r="F50" i="30"/>
  <c r="F53" i="30"/>
  <c r="F43" i="29"/>
  <c r="F40" i="29"/>
  <c r="F25" i="29"/>
  <c r="F85" i="29"/>
  <c r="F68" i="29"/>
  <c r="F52" i="29"/>
  <c r="F46" i="29"/>
  <c r="F79" i="29"/>
  <c r="F61" i="29"/>
  <c r="G20" i="30"/>
  <c r="F29" i="30"/>
  <c r="F76" i="30"/>
  <c r="F32" i="30"/>
  <c r="F78" i="30"/>
  <c r="F61" i="30"/>
  <c r="G56" i="26"/>
  <c r="G73" i="26"/>
  <c r="G64" i="26"/>
  <c r="G55" i="27"/>
  <c r="G33" i="26"/>
  <c r="G16" i="27"/>
  <c r="G45" i="27"/>
  <c r="G54" i="26"/>
  <c r="G73" i="27"/>
  <c r="G16" i="26"/>
  <c r="F87" i="27"/>
  <c r="G89" i="27"/>
  <c r="G59" i="26"/>
  <c r="F78" i="27"/>
  <c r="G88" i="26"/>
  <c r="F24" i="27"/>
  <c r="F59" i="27"/>
  <c r="F89" i="27"/>
  <c r="F61" i="27"/>
  <c r="G53" i="27"/>
  <c r="F31" i="27"/>
  <c r="F17" i="27"/>
  <c r="G17" i="26"/>
  <c r="F36" i="26"/>
  <c r="G19" i="26"/>
  <c r="G92" i="26"/>
  <c r="G63" i="27"/>
  <c r="G24" i="26"/>
  <c r="G14" i="27"/>
  <c r="G36" i="27"/>
  <c r="G66" i="26"/>
  <c r="F85" i="26"/>
  <c r="G86" i="26"/>
  <c r="F68" i="26"/>
  <c r="G28" i="26"/>
  <c r="G70" i="26"/>
  <c r="F90" i="27"/>
  <c r="G87" i="26"/>
  <c r="G51" i="27"/>
  <c r="F80" i="27"/>
  <c r="F30" i="27"/>
  <c r="F86" i="27"/>
  <c r="F20" i="27"/>
  <c r="F79" i="27"/>
  <c r="F53" i="27"/>
  <c r="F43" i="27"/>
  <c r="F27" i="27"/>
  <c r="G85" i="27"/>
  <c r="G85" i="26"/>
  <c r="F16" i="26"/>
  <c r="F67" i="26"/>
  <c r="F94" i="26"/>
  <c r="F93" i="26"/>
  <c r="F71" i="26"/>
  <c r="F14" i="26"/>
  <c r="F70" i="26"/>
  <c r="G55" i="26"/>
  <c r="G50" i="26"/>
  <c r="G51" i="26"/>
  <c r="G70" i="27"/>
  <c r="G80" i="26"/>
  <c r="F71" i="27"/>
  <c r="G72" i="27"/>
  <c r="G76" i="26"/>
  <c r="G86" i="27"/>
  <c r="G26" i="27"/>
  <c r="F29" i="27"/>
  <c r="G22" i="27"/>
  <c r="G78" i="26"/>
  <c r="G57" i="27"/>
  <c r="G30" i="26"/>
  <c r="G80" i="27"/>
  <c r="F50" i="27"/>
  <c r="F84" i="27"/>
  <c r="F13" i="27"/>
  <c r="F39" i="27"/>
  <c r="F91" i="27"/>
  <c r="G79" i="27"/>
  <c r="F37" i="27"/>
  <c r="F42" i="27"/>
  <c r="F47" i="27"/>
  <c r="G87" i="27"/>
  <c r="G83" i="26"/>
  <c r="G23" i="26"/>
  <c r="F29" i="26"/>
  <c r="F57" i="26"/>
  <c r="F79" i="26"/>
  <c r="G10" i="26"/>
  <c r="F31" i="26"/>
  <c r="F92" i="26"/>
  <c r="F58" i="26"/>
  <c r="F17" i="26"/>
  <c r="G71" i="26"/>
  <c r="G63" i="26"/>
  <c r="G82" i="27"/>
  <c r="F37" i="26"/>
  <c r="F83" i="27"/>
  <c r="G84" i="27"/>
  <c r="G84" i="26"/>
  <c r="G65" i="27"/>
  <c r="G44" i="27"/>
  <c r="F23" i="27"/>
  <c r="G15" i="27"/>
  <c r="G89" i="26"/>
  <c r="F32" i="26"/>
  <c r="G25" i="26"/>
  <c r="G39" i="26"/>
  <c r="F67" i="27"/>
  <c r="F63" i="27"/>
  <c r="G56" i="27"/>
  <c r="F62" i="27"/>
  <c r="G58" i="27"/>
  <c r="G90" i="27"/>
  <c r="G32" i="26"/>
  <c r="F90" i="26"/>
  <c r="F42" i="26"/>
  <c r="F44" i="26"/>
  <c r="F91" i="26"/>
  <c r="G22" i="26"/>
  <c r="F89" i="26"/>
  <c r="F39" i="26"/>
  <c r="F47" i="26"/>
  <c r="F45" i="26"/>
  <c r="F73" i="26"/>
  <c r="G68" i="26"/>
  <c r="F88" i="26"/>
  <c r="G60" i="26"/>
  <c r="F64" i="26"/>
  <c r="F40" i="26"/>
  <c r="F13" i="26"/>
  <c r="F81" i="26"/>
  <c r="F43" i="26"/>
  <c r="G91" i="26"/>
  <c r="G72" i="26"/>
  <c r="G93" i="27"/>
  <c r="G52" i="26"/>
  <c r="F21" i="27"/>
  <c r="G94" i="27"/>
  <c r="G75" i="27"/>
  <c r="F60" i="26"/>
  <c r="G17" i="27"/>
  <c r="F28" i="27"/>
  <c r="G18" i="27"/>
  <c r="F11" i="27"/>
  <c r="G79" i="26"/>
  <c r="G27" i="26"/>
  <c r="G62" i="26"/>
  <c r="F60" i="27"/>
  <c r="G43" i="26"/>
  <c r="G11" i="27"/>
  <c r="F36" i="27"/>
  <c r="F65" i="27"/>
  <c r="F41" i="27"/>
  <c r="F49" i="27"/>
  <c r="F14" i="27"/>
  <c r="G64" i="27"/>
  <c r="G21" i="27"/>
  <c r="F55" i="26"/>
  <c r="F25" i="26"/>
  <c r="F82" i="26"/>
  <c r="F27" i="26"/>
  <c r="F20" i="26"/>
  <c r="G36" i="26"/>
  <c r="F66" i="26"/>
  <c r="F59" i="26"/>
  <c r="F22" i="26"/>
  <c r="F54" i="26"/>
  <c r="F30" i="26"/>
  <c r="G40" i="27"/>
  <c r="F35" i="27"/>
  <c r="F57" i="27"/>
  <c r="F51" i="26"/>
  <c r="F93" i="27"/>
  <c r="F94" i="27"/>
  <c r="F32" i="27"/>
  <c r="F25" i="27"/>
  <c r="F68" i="27"/>
  <c r="G71" i="27"/>
  <c r="F15" i="27"/>
  <c r="G65" i="26"/>
  <c r="G32" i="27"/>
  <c r="G76" i="27"/>
  <c r="G81" i="26"/>
  <c r="G74" i="26"/>
  <c r="G18" i="26"/>
  <c r="F10" i="26"/>
  <c r="F46" i="26"/>
  <c r="G31" i="27"/>
  <c r="G29" i="26"/>
  <c r="G35" i="27"/>
  <c r="F12" i="27"/>
  <c r="G74" i="27"/>
  <c r="G52" i="27"/>
  <c r="G46" i="27"/>
  <c r="G14" i="26"/>
  <c r="G42" i="26"/>
  <c r="G29" i="27"/>
  <c r="F80" i="26"/>
  <c r="F72" i="27"/>
  <c r="F85" i="27"/>
  <c r="G41" i="27"/>
  <c r="G25" i="27"/>
  <c r="F66" i="27"/>
  <c r="G33" i="27"/>
  <c r="F22" i="27"/>
  <c r="G15" i="26"/>
  <c r="G37" i="26"/>
  <c r="F33" i="26"/>
  <c r="F78" i="26"/>
  <c r="F77" i="26"/>
  <c r="G40" i="26"/>
  <c r="F76" i="26"/>
  <c r="F56" i="26"/>
  <c r="G92" i="27"/>
  <c r="F87" i="26"/>
  <c r="G37" i="27"/>
  <c r="F54" i="27"/>
  <c r="G94" i="26"/>
  <c r="G20" i="26"/>
  <c r="G82" i="26"/>
  <c r="G26" i="26"/>
  <c r="F15" i="26"/>
  <c r="G27" i="27"/>
  <c r="F23" i="26"/>
  <c r="G47" i="27"/>
  <c r="G48" i="27"/>
  <c r="G34" i="26"/>
  <c r="G39" i="27"/>
  <c r="F12" i="26"/>
  <c r="G21" i="26"/>
  <c r="G34" i="27"/>
  <c r="F70" i="27"/>
  <c r="F10" i="27"/>
  <c r="F16" i="27"/>
  <c r="G83" i="27"/>
  <c r="F84" i="26"/>
  <c r="G60" i="27"/>
  <c r="G62" i="27"/>
  <c r="G30" i="27"/>
  <c r="F65" i="26"/>
  <c r="G20" i="27"/>
  <c r="G53" i="26"/>
  <c r="F41" i="26"/>
  <c r="G13" i="27"/>
  <c r="G45" i="26"/>
  <c r="F58" i="27"/>
  <c r="G59" i="27"/>
  <c r="G47" i="26"/>
  <c r="G50" i="27"/>
  <c r="F11" i="26"/>
  <c r="F49" i="26"/>
  <c r="F40" i="27"/>
  <c r="F74" i="27"/>
  <c r="G54" i="27"/>
  <c r="F26" i="27"/>
  <c r="F38" i="27"/>
  <c r="F46" i="27"/>
  <c r="F73" i="27"/>
  <c r="G19" i="27"/>
  <c r="F18" i="27"/>
  <c r="F72" i="26"/>
  <c r="F26" i="26"/>
  <c r="F38" i="26"/>
  <c r="F75" i="26"/>
  <c r="F52" i="26"/>
  <c r="G46" i="26"/>
  <c r="G35" i="26"/>
  <c r="G69" i="27"/>
  <c r="F62" i="26"/>
  <c r="F28" i="26"/>
  <c r="F61" i="26"/>
  <c r="F69" i="26"/>
  <c r="F69" i="27"/>
  <c r="G13" i="26"/>
  <c r="G61" i="27"/>
  <c r="F56" i="27"/>
  <c r="G49" i="27"/>
  <c r="G75" i="26"/>
  <c r="G69" i="26"/>
  <c r="G43" i="27"/>
  <c r="G57" i="26"/>
  <c r="G66" i="27"/>
  <c r="G67" i="27"/>
  <c r="G31" i="26"/>
  <c r="G42" i="27"/>
  <c r="G44" i="26"/>
  <c r="G61" i="26"/>
  <c r="F33" i="27"/>
  <c r="G23" i="27"/>
  <c r="F82" i="27"/>
  <c r="F77" i="27"/>
  <c r="F88" i="27"/>
  <c r="F34" i="27"/>
  <c r="G38" i="27"/>
  <c r="F55" i="27"/>
  <c r="F92" i="27"/>
  <c r="G78" i="27"/>
  <c r="F51" i="27"/>
  <c r="G49" i="26"/>
  <c r="F48" i="26"/>
  <c r="F18" i="26"/>
  <c r="F63" i="26"/>
  <c r="F24" i="26"/>
  <c r="G12" i="26"/>
  <c r="F35" i="26"/>
  <c r="F21" i="26"/>
  <c r="F34" i="26"/>
  <c r="G91" i="27"/>
  <c r="G77" i="26"/>
  <c r="G88" i="27"/>
  <c r="G93" i="26"/>
  <c r="G10" i="27"/>
  <c r="F83" i="26"/>
  <c r="G38" i="26"/>
  <c r="F64" i="27"/>
  <c r="G67" i="26"/>
  <c r="F19" i="27"/>
  <c r="G77" i="27"/>
  <c r="G48" i="26"/>
  <c r="G68" i="27"/>
  <c r="G58" i="26"/>
  <c r="G90" i="26"/>
  <c r="F81" i="27"/>
  <c r="G24" i="27"/>
  <c r="G12" i="27"/>
  <c r="F76" i="27"/>
  <c r="G28" i="27"/>
  <c r="F52" i="27"/>
  <c r="F48" i="27"/>
  <c r="F45" i="27"/>
  <c r="F75" i="27"/>
  <c r="G81" i="27"/>
  <c r="F44" i="27"/>
  <c r="G41" i="26"/>
  <c r="F53" i="26"/>
  <c r="F86" i="26"/>
  <c r="F74" i="26"/>
  <c r="F50" i="26"/>
  <c r="G11" i="26"/>
  <c r="F19" i="26"/>
  <c r="G32" i="25"/>
  <c r="G70" i="25"/>
  <c r="G22" i="25"/>
  <c r="G25" i="25"/>
  <c r="G12" i="25"/>
  <c r="G36" i="25"/>
  <c r="G63" i="25"/>
  <c r="G64" i="25"/>
  <c r="G69" i="25"/>
  <c r="F71" i="25"/>
  <c r="F75" i="25"/>
  <c r="F76" i="25"/>
  <c r="F72" i="25"/>
  <c r="F62" i="25"/>
  <c r="F37" i="25"/>
  <c r="F59" i="25"/>
  <c r="F41" i="25"/>
  <c r="F79" i="25"/>
  <c r="G21" i="25"/>
  <c r="G65" i="25"/>
  <c r="F14" i="25"/>
  <c r="G19" i="25"/>
  <c r="F43" i="25"/>
  <c r="F52" i="25"/>
  <c r="F39" i="25"/>
  <c r="F64" i="25"/>
  <c r="F35" i="25"/>
  <c r="G81" i="25"/>
  <c r="G75" i="25"/>
  <c r="G88" i="25"/>
  <c r="G72" i="25"/>
  <c r="G73" i="25"/>
  <c r="G37" i="25"/>
  <c r="G67" i="25"/>
  <c r="F40" i="25"/>
  <c r="F70" i="25"/>
  <c r="G49" i="25"/>
  <c r="G86" i="25"/>
  <c r="G68" i="25"/>
  <c r="G51" i="25"/>
  <c r="F68" i="25"/>
  <c r="F21" i="25"/>
  <c r="G39" i="25"/>
  <c r="G74" i="25"/>
  <c r="G35" i="25"/>
  <c r="F81" i="25"/>
  <c r="G87" i="25"/>
  <c r="F88" i="25"/>
  <c r="F82" i="25"/>
  <c r="F73" i="25"/>
  <c r="F66" i="25"/>
  <c r="F67" i="25"/>
  <c r="F30" i="25"/>
  <c r="F65" i="25"/>
  <c r="G50" i="25"/>
  <c r="F17" i="25"/>
  <c r="F36" i="25"/>
  <c r="G16" i="25"/>
  <c r="G10" i="25"/>
  <c r="F32" i="25"/>
  <c r="F84" i="25"/>
  <c r="F74" i="25"/>
  <c r="F90" i="25"/>
  <c r="G91" i="25"/>
  <c r="F87" i="25"/>
  <c r="F18" i="25"/>
  <c r="G82" i="25"/>
  <c r="G83" i="25"/>
  <c r="G66" i="25"/>
  <c r="G78" i="25"/>
  <c r="F27" i="25"/>
  <c r="G85" i="25"/>
  <c r="F33" i="25"/>
  <c r="F28" i="25"/>
  <c r="F16" i="25"/>
  <c r="G58" i="25"/>
  <c r="F34" i="25"/>
  <c r="F92" i="25"/>
  <c r="G94" i="25"/>
  <c r="G77" i="25"/>
  <c r="G45" i="25"/>
  <c r="F13" i="25"/>
  <c r="G80" i="25"/>
  <c r="G43" i="25"/>
  <c r="G15" i="25"/>
  <c r="G38" i="25"/>
  <c r="F86" i="25"/>
  <c r="G84" i="25"/>
  <c r="F12" i="25"/>
  <c r="G90" i="25"/>
  <c r="F91" i="25"/>
  <c r="F15" i="25"/>
  <c r="G92" i="25"/>
  <c r="F83" i="25"/>
  <c r="F77" i="25"/>
  <c r="F78" i="25"/>
  <c r="F57" i="25"/>
  <c r="G13" i="25"/>
  <c r="G18" i="25"/>
  <c r="G47" i="25"/>
  <c r="G44" i="25"/>
  <c r="F47" i="25"/>
  <c r="G46" i="25"/>
  <c r="G34" i="25"/>
  <c r="G52" i="25"/>
  <c r="G40" i="25"/>
  <c r="G14" i="25"/>
  <c r="G24" i="25"/>
  <c r="G11" i="25"/>
  <c r="G23" i="25"/>
  <c r="G30" i="25"/>
  <c r="F80" i="25"/>
  <c r="F11" i="25"/>
  <c r="F55" i="25"/>
  <c r="F49" i="25"/>
  <c r="F60" i="25"/>
  <c r="G61" i="25"/>
  <c r="F31" i="25"/>
  <c r="G29" i="25"/>
  <c r="G53" i="25"/>
  <c r="G54" i="25"/>
  <c r="G89" i="25"/>
  <c r="F24" i="25"/>
  <c r="F36" i="24"/>
  <c r="G26" i="25"/>
  <c r="G93" i="25"/>
  <c r="G33" i="25"/>
  <c r="G27" i="25"/>
  <c r="F51" i="25"/>
  <c r="F22" i="25"/>
  <c r="G55" i="25"/>
  <c r="G56" i="25"/>
  <c r="G60" i="25"/>
  <c r="F61" i="25"/>
  <c r="G42" i="25"/>
  <c r="F29" i="25"/>
  <c r="F20" i="25"/>
  <c r="F54" i="25"/>
  <c r="G48" i="25"/>
  <c r="F25" i="25"/>
  <c r="F19" i="25"/>
  <c r="F26" i="25"/>
  <c r="G79" i="25"/>
  <c r="G41" i="25"/>
  <c r="F10" i="25"/>
  <c r="G57" i="25"/>
  <c r="F23" i="25"/>
  <c r="F63" i="25"/>
  <c r="F56" i="25"/>
  <c r="F69" i="25"/>
  <c r="G71" i="25"/>
  <c r="F42" i="25"/>
  <c r="G76" i="25"/>
  <c r="G20" i="25"/>
  <c r="G62" i="25"/>
  <c r="F48" i="25"/>
  <c r="G59" i="25"/>
  <c r="F93" i="25"/>
  <c r="F50" i="25"/>
  <c r="G17" i="25"/>
  <c r="F38" i="25"/>
  <c r="F89" i="25"/>
  <c r="F94" i="25"/>
  <c r="F45" i="25"/>
  <c r="F85" i="25"/>
  <c r="F44" i="25"/>
  <c r="G28" i="25"/>
  <c r="F46" i="25"/>
  <c r="G31" i="25"/>
  <c r="F58" i="25"/>
  <c r="F53" i="25"/>
  <c r="G85" i="23"/>
  <c r="G52" i="23"/>
  <c r="F20" i="23"/>
  <c r="G17" i="24"/>
  <c r="G93" i="24"/>
  <c r="G71" i="24"/>
  <c r="G48" i="24"/>
  <c r="G53" i="24"/>
  <c r="G15" i="24"/>
  <c r="G15" i="23"/>
  <c r="G44" i="24"/>
  <c r="G44" i="23"/>
  <c r="F72" i="24"/>
  <c r="G88" i="23"/>
  <c r="G18" i="24"/>
  <c r="G76" i="24"/>
  <c r="G63" i="23"/>
  <c r="G84" i="24"/>
  <c r="F56" i="24"/>
  <c r="F16" i="24"/>
  <c r="F28" i="24"/>
  <c r="F49" i="24"/>
  <c r="F21" i="24"/>
  <c r="F93" i="24"/>
  <c r="F77" i="24"/>
  <c r="F55" i="24"/>
  <c r="F35" i="24"/>
  <c r="G40" i="23"/>
  <c r="G20" i="23"/>
  <c r="F74" i="23"/>
  <c r="F19" i="23"/>
  <c r="F66" i="23"/>
  <c r="F48" i="23"/>
  <c r="F17" i="23"/>
  <c r="F12" i="23"/>
  <c r="F90" i="23"/>
  <c r="F10" i="23"/>
  <c r="G24" i="23"/>
  <c r="F13" i="24"/>
  <c r="F66" i="24"/>
  <c r="G49" i="23"/>
  <c r="F68" i="23"/>
  <c r="F13" i="23"/>
  <c r="F36" i="23"/>
  <c r="G41" i="23"/>
  <c r="G12" i="23"/>
  <c r="G45" i="23"/>
  <c r="G25" i="24"/>
  <c r="G77" i="24"/>
  <c r="F78" i="24"/>
  <c r="G52" i="24"/>
  <c r="G13" i="23"/>
  <c r="G10" i="24"/>
  <c r="G31" i="23"/>
  <c r="G59" i="24"/>
  <c r="G58" i="23"/>
  <c r="G12" i="24"/>
  <c r="G45" i="24"/>
  <c r="G67" i="24"/>
  <c r="G91" i="24"/>
  <c r="G71" i="23"/>
  <c r="G92" i="24"/>
  <c r="G54" i="24"/>
  <c r="F27" i="24"/>
  <c r="F19" i="24"/>
  <c r="F58" i="24"/>
  <c r="F61" i="24"/>
  <c r="F91" i="24"/>
  <c r="F76" i="24"/>
  <c r="F63" i="24"/>
  <c r="F75" i="24"/>
  <c r="G26" i="23"/>
  <c r="F53" i="23"/>
  <c r="F76" i="23"/>
  <c r="F88" i="23"/>
  <c r="F72" i="23"/>
  <c r="F78" i="23"/>
  <c r="F39" i="23"/>
  <c r="F27" i="23"/>
  <c r="G67" i="23"/>
  <c r="F32" i="24"/>
  <c r="F34" i="24"/>
  <c r="F84" i="24"/>
  <c r="F51" i="24"/>
  <c r="F89" i="24"/>
  <c r="F74" i="24"/>
  <c r="F57" i="24"/>
  <c r="F41" i="24"/>
  <c r="F54" i="23"/>
  <c r="F83" i="23"/>
  <c r="F91" i="23"/>
  <c r="F75" i="23"/>
  <c r="F84" i="23"/>
  <c r="F86" i="23"/>
  <c r="G58" i="24"/>
  <c r="G60" i="24"/>
  <c r="G91" i="23"/>
  <c r="G56" i="23"/>
  <c r="G66" i="23"/>
  <c r="G36" i="23"/>
  <c r="G22" i="24"/>
  <c r="F22" i="23"/>
  <c r="G85" i="24"/>
  <c r="G62" i="24"/>
  <c r="G35" i="23"/>
  <c r="G37" i="24"/>
  <c r="G21" i="23"/>
  <c r="G56" i="24"/>
  <c r="G88" i="24"/>
  <c r="F73" i="24"/>
  <c r="G49" i="24"/>
  <c r="G23" i="24"/>
  <c r="G19" i="23"/>
  <c r="G22" i="23"/>
  <c r="G13" i="24"/>
  <c r="F80" i="23"/>
  <c r="G48" i="23"/>
  <c r="G55" i="24"/>
  <c r="G84" i="23"/>
  <c r="G24" i="24"/>
  <c r="G70" i="24"/>
  <c r="G34" i="23"/>
  <c r="F54" i="24"/>
  <c r="G43" i="23"/>
  <c r="G65" i="24"/>
  <c r="G76" i="23"/>
  <c r="F32" i="23"/>
  <c r="G34" i="24"/>
  <c r="F11" i="24"/>
  <c r="F48" i="24"/>
  <c r="F39" i="24"/>
  <c r="F90" i="24"/>
  <c r="F45" i="23"/>
  <c r="F31" i="23"/>
  <c r="F59" i="23"/>
  <c r="F42" i="23"/>
  <c r="F30" i="23"/>
  <c r="F38" i="23"/>
  <c r="F37" i="23"/>
  <c r="F64" i="23"/>
  <c r="F44" i="24"/>
  <c r="G75" i="23"/>
  <c r="G28" i="23"/>
  <c r="G61" i="23"/>
  <c r="G30" i="24"/>
  <c r="G53" i="23"/>
  <c r="G25" i="23"/>
  <c r="G38" i="24"/>
  <c r="F40" i="23"/>
  <c r="G64" i="24"/>
  <c r="G29" i="23"/>
  <c r="G39" i="24"/>
  <c r="G87" i="23"/>
  <c r="G14" i="23"/>
  <c r="G43" i="24"/>
  <c r="G35" i="24"/>
  <c r="G83" i="24"/>
  <c r="G46" i="24"/>
  <c r="F85" i="24"/>
  <c r="F24" i="24"/>
  <c r="F40" i="24"/>
  <c r="F53" i="24"/>
  <c r="F43" i="24"/>
  <c r="F86" i="24"/>
  <c r="F26" i="24"/>
  <c r="F37" i="24"/>
  <c r="F14" i="23"/>
  <c r="F92" i="23"/>
  <c r="F62" i="23"/>
  <c r="F85" i="23"/>
  <c r="F21" i="23"/>
  <c r="F47" i="23"/>
  <c r="F61" i="23"/>
  <c r="G73" i="24"/>
  <c r="F20" i="24"/>
  <c r="F29" i="24"/>
  <c r="F10" i="24"/>
  <c r="F12" i="24"/>
  <c r="F22" i="24"/>
  <c r="F31" i="24"/>
  <c r="F38" i="24"/>
  <c r="F70" i="24"/>
  <c r="F60" i="24"/>
  <c r="F71" i="24"/>
  <c r="F88" i="24"/>
  <c r="F46" i="24"/>
  <c r="F83" i="24"/>
  <c r="F41" i="23"/>
  <c r="F55" i="23"/>
  <c r="F93" i="23"/>
  <c r="F43" i="23"/>
  <c r="G70" i="23"/>
  <c r="G60" i="23"/>
  <c r="G79" i="23"/>
  <c r="G33" i="24"/>
  <c r="G82" i="23"/>
  <c r="G72" i="23"/>
  <c r="G11" i="23"/>
  <c r="G55" i="23"/>
  <c r="G26" i="24"/>
  <c r="G18" i="23"/>
  <c r="G81" i="24"/>
  <c r="G20" i="24"/>
  <c r="G10" i="23"/>
  <c r="G66" i="24"/>
  <c r="G75" i="24"/>
  <c r="G42" i="23"/>
  <c r="G31" i="24"/>
  <c r="F52" i="23"/>
  <c r="G33" i="23"/>
  <c r="G69" i="23"/>
  <c r="F24" i="23"/>
  <c r="G14" i="24"/>
  <c r="F80" i="24"/>
  <c r="G81" i="23"/>
  <c r="G39" i="23"/>
  <c r="G65" i="23"/>
  <c r="G79" i="24"/>
  <c r="G17" i="23"/>
  <c r="G87" i="24"/>
  <c r="G19" i="24"/>
  <c r="G46" i="23"/>
  <c r="G74" i="24"/>
  <c r="G41" i="24"/>
  <c r="F26" i="23"/>
  <c r="G51" i="24"/>
  <c r="F58" i="23"/>
  <c r="F60" i="23"/>
  <c r="G23" i="23"/>
  <c r="G78" i="23"/>
  <c r="G38" i="23"/>
  <c r="G47" i="24"/>
  <c r="G27" i="24"/>
  <c r="G30" i="23"/>
  <c r="G64" i="23"/>
  <c r="G74" i="23"/>
  <c r="G86" i="24"/>
  <c r="G86" i="23"/>
  <c r="G21" i="24"/>
  <c r="G59" i="23"/>
  <c r="G82" i="24"/>
  <c r="G90" i="24"/>
  <c r="G16" i="23"/>
  <c r="G61" i="24"/>
  <c r="G72" i="24"/>
  <c r="F67" i="24"/>
  <c r="F82" i="24"/>
  <c r="F42" i="24"/>
  <c r="F15" i="23"/>
  <c r="F46" i="23"/>
  <c r="F73" i="23"/>
  <c r="G93" i="23"/>
  <c r="G16" i="24"/>
  <c r="G90" i="23"/>
  <c r="G36" i="24"/>
  <c r="G42" i="24"/>
  <c r="G11" i="24"/>
  <c r="G73" i="23"/>
  <c r="G83" i="23"/>
  <c r="G94" i="24"/>
  <c r="G94" i="23"/>
  <c r="F49" i="23"/>
  <c r="G57" i="24"/>
  <c r="G68" i="23"/>
  <c r="G89" i="24"/>
  <c r="G50" i="24"/>
  <c r="G37" i="23"/>
  <c r="G69" i="24"/>
  <c r="G78" i="24"/>
  <c r="F69" i="24"/>
  <c r="F15" i="24"/>
  <c r="F23" i="24"/>
  <c r="F14" i="24"/>
  <c r="F45" i="24"/>
  <c r="F81" i="24"/>
  <c r="F65" i="24"/>
  <c r="F50" i="24"/>
  <c r="F94" i="23"/>
  <c r="F44" i="23"/>
  <c r="F65" i="23"/>
  <c r="F71" i="23"/>
  <c r="F56" i="23"/>
  <c r="F16" i="23"/>
  <c r="F18" i="23"/>
  <c r="F33" i="23"/>
  <c r="F79" i="23"/>
  <c r="F30" i="24"/>
  <c r="F68" i="24"/>
  <c r="F28" i="23"/>
  <c r="F63" i="23"/>
  <c r="F29" i="23"/>
  <c r="F70" i="23"/>
  <c r="F52" i="24"/>
  <c r="G47" i="23"/>
  <c r="G62" i="23"/>
  <c r="G57" i="23"/>
  <c r="G63" i="24"/>
  <c r="G28" i="24"/>
  <c r="G27" i="23"/>
  <c r="G92" i="23"/>
  <c r="G54" i="23"/>
  <c r="G29" i="24"/>
  <c r="G51" i="23"/>
  <c r="G40" i="24"/>
  <c r="G77" i="23"/>
  <c r="G89" i="23"/>
  <c r="G68" i="24"/>
  <c r="G50" i="23"/>
  <c r="G32" i="24"/>
  <c r="G80" i="24"/>
  <c r="F17" i="24"/>
  <c r="F18" i="24"/>
  <c r="F47" i="24"/>
  <c r="F94" i="24"/>
  <c r="F79" i="24"/>
  <c r="F64" i="24"/>
  <c r="F62" i="24"/>
  <c r="F35" i="23"/>
  <c r="G32" i="23"/>
  <c r="F11" i="23"/>
  <c r="F67" i="23"/>
  <c r="F77" i="23"/>
  <c r="F25" i="23"/>
  <c r="F57" i="23"/>
  <c r="F69" i="23"/>
  <c r="F23" i="23"/>
  <c r="F82" i="23"/>
  <c r="F25" i="24"/>
  <c r="F92" i="24"/>
  <c r="F87" i="24"/>
  <c r="F59" i="24"/>
  <c r="G80" i="23"/>
  <c r="F87" i="23"/>
  <c r="F51" i="23"/>
  <c r="F81" i="23"/>
  <c r="F34" i="23"/>
  <c r="F89" i="23"/>
  <c r="F50" i="23"/>
  <c r="F33" i="24"/>
  <c r="AB23" i="30"/>
  <c r="BU10" i="39"/>
  <c r="BW10" i="39"/>
  <c r="BU42" i="39"/>
  <c r="BW42" i="39"/>
  <c r="BW18" i="39"/>
  <c r="BU18" i="39"/>
  <c r="BU41" i="39"/>
  <c r="BW41" i="39"/>
  <c r="BV88" i="39"/>
  <c r="BW88" i="39"/>
  <c r="BU88" i="39"/>
  <c r="BU95" i="39"/>
  <c r="BW95" i="39"/>
  <c r="BV95" i="39"/>
  <c r="BW70" i="39"/>
  <c r="BU70" i="39"/>
  <c r="BV70" i="39"/>
  <c r="BW14" i="39"/>
  <c r="BU14" i="39"/>
  <c r="BU48" i="39"/>
  <c r="BV48" i="39"/>
  <c r="BW48" i="39"/>
  <c r="BW53" i="39"/>
  <c r="BU53" i="39"/>
  <c r="BU62" i="39"/>
  <c r="BW62" i="39"/>
  <c r="BU74" i="39"/>
  <c r="BV74" i="39"/>
  <c r="BW74" i="39"/>
  <c r="BV96" i="39"/>
  <c r="BU96" i="39"/>
  <c r="BW96" i="39"/>
  <c r="BU99" i="39"/>
  <c r="BW99" i="39"/>
  <c r="BV99" i="39"/>
  <c r="BW32" i="39"/>
  <c r="BU32" i="39"/>
  <c r="BV58" i="39"/>
  <c r="BU58" i="39"/>
  <c r="BW58" i="39"/>
  <c r="BU36" i="39"/>
  <c r="BW36" i="39"/>
  <c r="BV36" i="39"/>
  <c r="BU37" i="39"/>
  <c r="BW37" i="39"/>
  <c r="BV37" i="39"/>
  <c r="BU92" i="39"/>
  <c r="BW92" i="39"/>
  <c r="BV92" i="39"/>
  <c r="BV94" i="39"/>
  <c r="BW94" i="39"/>
  <c r="BU94" i="39"/>
  <c r="BV97" i="39"/>
  <c r="BU97" i="39"/>
  <c r="BW97" i="39"/>
  <c r="BV40" i="39"/>
  <c r="BW40" i="39"/>
  <c r="BU40" i="39"/>
  <c r="BW31" i="39"/>
  <c r="BU31" i="39"/>
  <c r="BV31" i="39"/>
  <c r="BW24" i="39"/>
  <c r="BU24" i="39"/>
  <c r="BV24" i="39"/>
  <c r="BU28" i="39"/>
  <c r="BW28" i="39"/>
  <c r="BW26" i="39"/>
  <c r="BU26" i="39"/>
  <c r="BU68" i="39"/>
  <c r="BW68" i="39"/>
  <c r="BV68" i="39"/>
  <c r="BW35" i="39"/>
  <c r="BU35" i="39"/>
  <c r="BW85" i="39"/>
  <c r="BU85" i="39"/>
  <c r="BV85" i="39"/>
  <c r="BU47" i="39"/>
  <c r="BW47" i="39"/>
  <c r="BU79" i="39"/>
  <c r="BV79" i="39"/>
  <c r="BW79" i="39"/>
  <c r="BW44" i="39"/>
  <c r="BU44" i="39"/>
  <c r="BU21" i="39"/>
  <c r="BW21" i="39"/>
  <c r="BW38" i="39"/>
  <c r="BU38" i="39"/>
  <c r="BW61" i="39"/>
  <c r="BU61" i="39"/>
  <c r="BV61" i="39"/>
  <c r="BW29" i="39"/>
  <c r="BU29" i="39"/>
  <c r="BV100" i="39"/>
  <c r="BW100" i="39"/>
  <c r="BU100" i="39"/>
  <c r="BW71" i="39"/>
  <c r="BU71" i="39"/>
  <c r="BV71" i="39"/>
  <c r="BW11" i="39"/>
  <c r="BU11" i="39"/>
  <c r="BU33" i="39"/>
  <c r="BW33" i="39"/>
  <c r="BV33" i="39"/>
  <c r="BW50" i="39"/>
  <c r="BU50" i="39"/>
  <c r="BU65" i="39"/>
  <c r="BW65" i="39"/>
  <c r="BV65" i="39"/>
  <c r="BU80" i="39"/>
  <c r="BV80" i="39"/>
  <c r="BW80" i="39"/>
  <c r="BU59" i="39"/>
  <c r="BW59" i="39"/>
  <c r="BV59" i="39"/>
  <c r="BW98" i="39"/>
  <c r="BU98" i="39"/>
  <c r="BV98" i="39"/>
  <c r="BU90" i="39"/>
  <c r="BW90" i="39"/>
  <c r="BV90" i="39"/>
  <c r="BU15" i="39"/>
  <c r="BW15" i="39"/>
  <c r="BW25" i="39"/>
  <c r="BU25" i="39"/>
  <c r="BV25" i="39"/>
  <c r="BW57" i="39"/>
  <c r="BU57" i="39"/>
  <c r="BW60" i="39"/>
  <c r="BU60" i="39"/>
  <c r="BV73" i="39"/>
  <c r="BU73" i="39"/>
  <c r="BW73" i="39"/>
  <c r="BU72" i="39"/>
  <c r="BW72" i="39"/>
  <c r="BV72" i="39"/>
  <c r="BU84" i="39"/>
  <c r="BW84" i="39"/>
  <c r="BV84" i="39"/>
  <c r="BU75" i="39"/>
  <c r="BW75" i="39"/>
  <c r="BV75" i="39"/>
  <c r="BU30" i="39"/>
  <c r="BW30" i="39"/>
  <c r="BV30" i="39"/>
  <c r="BU63" i="39"/>
  <c r="BV63" i="39"/>
  <c r="BW63" i="39"/>
  <c r="BW13" i="39"/>
  <c r="BU13" i="39"/>
  <c r="BV13" i="39"/>
  <c r="BU19" i="39"/>
  <c r="BW19" i="39"/>
  <c r="BU55" i="39"/>
  <c r="BW55" i="39"/>
  <c r="BU43" i="39"/>
  <c r="BV43" i="39"/>
  <c r="BW43" i="39"/>
  <c r="BU54" i="39"/>
  <c r="BW54" i="39"/>
  <c r="BV54" i="39"/>
  <c r="BU56" i="39"/>
  <c r="BV56" i="39"/>
  <c r="BW56" i="39"/>
  <c r="BW87" i="39"/>
  <c r="BU87" i="39"/>
  <c r="BV87" i="39"/>
  <c r="BW39" i="39"/>
  <c r="BU39" i="39"/>
  <c r="BV39" i="39"/>
  <c r="BV52" i="39"/>
  <c r="BW52" i="39"/>
  <c r="BU52" i="39"/>
  <c r="BW27" i="39"/>
  <c r="BU27" i="39"/>
  <c r="BW16" i="39"/>
  <c r="BU16" i="39"/>
  <c r="BU17" i="39"/>
  <c r="BW17" i="39"/>
  <c r="BW45" i="39"/>
  <c r="BU45" i="39"/>
  <c r="BW23" i="39"/>
  <c r="BU23" i="39"/>
  <c r="BU82" i="39"/>
  <c r="BV82" i="39"/>
  <c r="BW82" i="39"/>
  <c r="BU22" i="39"/>
  <c r="BW22" i="39"/>
  <c r="BV22" i="39"/>
  <c r="BW76" i="39"/>
  <c r="BV76" i="39"/>
  <c r="BU76" i="39"/>
  <c r="BW12" i="39"/>
  <c r="BU12" i="39"/>
  <c r="BU46" i="39"/>
  <c r="BW46" i="39"/>
  <c r="BU64" i="39"/>
  <c r="BW64" i="39"/>
  <c r="BV64" i="39"/>
  <c r="BV51" i="39"/>
  <c r="BW51" i="39"/>
  <c r="BU51" i="39"/>
  <c r="BW93" i="39"/>
  <c r="BV93" i="39"/>
  <c r="BU93" i="39"/>
  <c r="BW66" i="39"/>
  <c r="BU66" i="39"/>
  <c r="BW49" i="39"/>
  <c r="BU49" i="39"/>
  <c r="BV49" i="39"/>
  <c r="AB24" i="29"/>
  <c r="BT100" i="39"/>
  <c r="BS100" i="39"/>
  <c r="BR100" i="39"/>
  <c r="BT21" i="39"/>
  <c r="BR21" i="39"/>
  <c r="BT30" i="39"/>
  <c r="BR30" i="39"/>
  <c r="BR38" i="39"/>
  <c r="BT38" i="39"/>
  <c r="BT61" i="39"/>
  <c r="BR61" i="39"/>
  <c r="BS61" i="39"/>
  <c r="BR29" i="39"/>
  <c r="BT29" i="39"/>
  <c r="BR31" i="39"/>
  <c r="BT31" i="39"/>
  <c r="BS31" i="39"/>
  <c r="BR63" i="39"/>
  <c r="BT63" i="39"/>
  <c r="BS63" i="39"/>
  <c r="BR32" i="39"/>
  <c r="BT32" i="39"/>
  <c r="BR58" i="39"/>
  <c r="BT58" i="39"/>
  <c r="BS58" i="39"/>
  <c r="BT36" i="39"/>
  <c r="BR36" i="39"/>
  <c r="BR37" i="39"/>
  <c r="BT37" i="39"/>
  <c r="BS92" i="39"/>
  <c r="BR92" i="39"/>
  <c r="BT92" i="39"/>
  <c r="BS94" i="39"/>
  <c r="BR94" i="39"/>
  <c r="BT94" i="39"/>
  <c r="BS97" i="39"/>
  <c r="BT97" i="39"/>
  <c r="BR97" i="39"/>
  <c r="BT40" i="39"/>
  <c r="BS40" i="39"/>
  <c r="BR40" i="39"/>
  <c r="BR71" i="39"/>
  <c r="BT71" i="39"/>
  <c r="BS71" i="39"/>
  <c r="BT11" i="39"/>
  <c r="BR11" i="39"/>
  <c r="BT33" i="39"/>
  <c r="BR33" i="39"/>
  <c r="BT50" i="39"/>
  <c r="BR50" i="39"/>
  <c r="BR65" i="39"/>
  <c r="BT65" i="39"/>
  <c r="BT80" i="39"/>
  <c r="BS80" i="39"/>
  <c r="BR80" i="39"/>
  <c r="BR59" i="39"/>
  <c r="BT59" i="39"/>
  <c r="BS98" i="39"/>
  <c r="BR98" i="39"/>
  <c r="BT98" i="39"/>
  <c r="BT90" i="39"/>
  <c r="BS90" i="39"/>
  <c r="BR90" i="39"/>
  <c r="BS28" i="39"/>
  <c r="BT28" i="39"/>
  <c r="BR28" i="39"/>
  <c r="BS35" i="39"/>
  <c r="BT35" i="39"/>
  <c r="BR35" i="39"/>
  <c r="BR85" i="39"/>
  <c r="BT85" i="39"/>
  <c r="BS85" i="39"/>
  <c r="BT44" i="39"/>
  <c r="BS44" i="39"/>
  <c r="BR44" i="39"/>
  <c r="BR15" i="39"/>
  <c r="BT15" i="39"/>
  <c r="BR25" i="39"/>
  <c r="BT25" i="39"/>
  <c r="BR57" i="39"/>
  <c r="BT57" i="39"/>
  <c r="BT60" i="39"/>
  <c r="BR60" i="39"/>
  <c r="BS73" i="39"/>
  <c r="BR73" i="39"/>
  <c r="BT73" i="39"/>
  <c r="BT72" i="39"/>
  <c r="BS72" i="39"/>
  <c r="BR72" i="39"/>
  <c r="BT84" i="39"/>
  <c r="BS84" i="39"/>
  <c r="BR84" i="39"/>
  <c r="BS75" i="39"/>
  <c r="BT75" i="39"/>
  <c r="BR75" i="39"/>
  <c r="BT13" i="39"/>
  <c r="BR13" i="39"/>
  <c r="BR19" i="39"/>
  <c r="BT19" i="39"/>
  <c r="BT55" i="39"/>
  <c r="BR55" i="39"/>
  <c r="BS55" i="39"/>
  <c r="BR43" i="39"/>
  <c r="BT43" i="39"/>
  <c r="BT54" i="39"/>
  <c r="BR54" i="39"/>
  <c r="BS54" i="39"/>
  <c r="BT56" i="39"/>
  <c r="BS56" i="39"/>
  <c r="BR56" i="39"/>
  <c r="BR87" i="39"/>
  <c r="BT87" i="39"/>
  <c r="BS87" i="39"/>
  <c r="BS39" i="39"/>
  <c r="BT39" i="39"/>
  <c r="BR39" i="39"/>
  <c r="BT52" i="39"/>
  <c r="BS52" i="39"/>
  <c r="BR52" i="39"/>
  <c r="BR27" i="39"/>
  <c r="BT27" i="39"/>
  <c r="BS27" i="39"/>
  <c r="BT16" i="39"/>
  <c r="BR16" i="39"/>
  <c r="BS17" i="39"/>
  <c r="BT17" i="39"/>
  <c r="BR17" i="39"/>
  <c r="BT45" i="39"/>
  <c r="BS45" i="39"/>
  <c r="BR45" i="39"/>
  <c r="BS23" i="39"/>
  <c r="BT23" i="39"/>
  <c r="BR23" i="39"/>
  <c r="BT82" i="39"/>
  <c r="BS82" i="39"/>
  <c r="BR82" i="39"/>
  <c r="BT22" i="39"/>
  <c r="BR22" i="39"/>
  <c r="BS76" i="39"/>
  <c r="BT76" i="39"/>
  <c r="BR76" i="39"/>
  <c r="BT24" i="39"/>
  <c r="BR24" i="39"/>
  <c r="BS68" i="39"/>
  <c r="BR68" i="39"/>
  <c r="BT68" i="39"/>
  <c r="BT47" i="39"/>
  <c r="BR47" i="39"/>
  <c r="BS12" i="39"/>
  <c r="BR12" i="39"/>
  <c r="BT12" i="39"/>
  <c r="BT46" i="39"/>
  <c r="BS46" i="39"/>
  <c r="BR46" i="39"/>
  <c r="BT64" i="39"/>
  <c r="BS64" i="39"/>
  <c r="BR64" i="39"/>
  <c r="BT51" i="39"/>
  <c r="BS51" i="39"/>
  <c r="BR51" i="39"/>
  <c r="BS93" i="39"/>
  <c r="BT93" i="39"/>
  <c r="BR93" i="39"/>
  <c r="BR66" i="39"/>
  <c r="BT66" i="39"/>
  <c r="BT49" i="39"/>
  <c r="BS49" i="39"/>
  <c r="BR49" i="39"/>
  <c r="BR26" i="39"/>
  <c r="BT26" i="39"/>
  <c r="BS79" i="39"/>
  <c r="BT79" i="39"/>
  <c r="BR79" i="39"/>
  <c r="BT10" i="39"/>
  <c r="BR10" i="39"/>
  <c r="BT42" i="39"/>
  <c r="BR42" i="39"/>
  <c r="BT18" i="39"/>
  <c r="BR18" i="39"/>
  <c r="BR41" i="39"/>
  <c r="BT41" i="39"/>
  <c r="BT88" i="39"/>
  <c r="BS88" i="39"/>
  <c r="BR88" i="39"/>
  <c r="BR95" i="39"/>
  <c r="BT95" i="39"/>
  <c r="BS95" i="39"/>
  <c r="BT70" i="39"/>
  <c r="BS70" i="39"/>
  <c r="BR70" i="39"/>
  <c r="BT14" i="39"/>
  <c r="BS14" i="39"/>
  <c r="BR14" i="39"/>
  <c r="BT48" i="39"/>
  <c r="BR48" i="39"/>
  <c r="BS48" i="39"/>
  <c r="BT53" i="39"/>
  <c r="BS53" i="39"/>
  <c r="BR53" i="39"/>
  <c r="BR62" i="39"/>
  <c r="BT62" i="39"/>
  <c r="BT74" i="39"/>
  <c r="BR74" i="39"/>
  <c r="BS74" i="39"/>
  <c r="BS96" i="39"/>
  <c r="BR96" i="39"/>
  <c r="BT96" i="39"/>
  <c r="BT99" i="39"/>
  <c r="BR99" i="39"/>
  <c r="BS99" i="39"/>
  <c r="BP27" i="39"/>
  <c r="BO27" i="39"/>
  <c r="BQ27" i="39"/>
  <c r="BN16" i="39"/>
  <c r="BQ16" i="39"/>
  <c r="BO16" i="39"/>
  <c r="BN17" i="39"/>
  <c r="BO17" i="39"/>
  <c r="BP17" i="39"/>
  <c r="BQ17" i="39"/>
  <c r="BN45" i="39"/>
  <c r="BQ45" i="39"/>
  <c r="BO45" i="39"/>
  <c r="BQ23" i="39"/>
  <c r="BO23" i="39"/>
  <c r="BQ82" i="39"/>
  <c r="BO82" i="39"/>
  <c r="BP82" i="39"/>
  <c r="BQ22" i="39"/>
  <c r="BO22" i="39"/>
  <c r="BQ76" i="39"/>
  <c r="BO76" i="39"/>
  <c r="BP76" i="39"/>
  <c r="BN12" i="39"/>
  <c r="BQ12" i="39"/>
  <c r="BO12" i="39"/>
  <c r="BN10" i="39"/>
  <c r="BQ10" i="39"/>
  <c r="BP10" i="39"/>
  <c r="BO10" i="39"/>
  <c r="BN42" i="39"/>
  <c r="BQ42" i="39"/>
  <c r="BO42" i="39"/>
  <c r="BN18" i="39"/>
  <c r="BQ18" i="39"/>
  <c r="BO18" i="39"/>
  <c r="BN41" i="39"/>
  <c r="BQ41" i="39"/>
  <c r="BO41" i="39"/>
  <c r="BO88" i="39"/>
  <c r="BP88" i="39"/>
  <c r="BQ88" i="39"/>
  <c r="BQ95" i="39"/>
  <c r="BO95" i="39"/>
  <c r="BP95" i="39"/>
  <c r="BP70" i="39"/>
  <c r="BQ70" i="39"/>
  <c r="BO70" i="39"/>
  <c r="BN14" i="39"/>
  <c r="BQ14" i="39"/>
  <c r="BO14" i="39"/>
  <c r="BP48" i="39"/>
  <c r="BQ48" i="39"/>
  <c r="BO48" i="39"/>
  <c r="BN53" i="39"/>
  <c r="BQ53" i="39"/>
  <c r="BO53" i="39"/>
  <c r="BN62" i="39"/>
  <c r="BQ62" i="39"/>
  <c r="BO62" i="39"/>
  <c r="BP62" i="39"/>
  <c r="BO74" i="39"/>
  <c r="BP74" i="39"/>
  <c r="BQ74" i="39"/>
  <c r="BP96" i="39"/>
  <c r="BQ96" i="39"/>
  <c r="BO96" i="39"/>
  <c r="BQ99" i="39"/>
  <c r="BP99" i="39"/>
  <c r="BO99" i="39"/>
  <c r="BN21" i="39"/>
  <c r="BQ21" i="39"/>
  <c r="BO21" i="39"/>
  <c r="BO30" i="39"/>
  <c r="BQ30" i="39"/>
  <c r="BN38" i="39"/>
  <c r="BQ38" i="39"/>
  <c r="BO38" i="39"/>
  <c r="BO61" i="39"/>
  <c r="BQ61" i="39"/>
  <c r="BP61" i="39"/>
  <c r="BN29" i="39"/>
  <c r="BO29" i="39"/>
  <c r="BQ29" i="39"/>
  <c r="BP29" i="39"/>
  <c r="BN31" i="39"/>
  <c r="BP31" i="39"/>
  <c r="BQ31" i="39"/>
  <c r="BO31" i="39"/>
  <c r="BN63" i="39"/>
  <c r="BQ63" i="39"/>
  <c r="BP63" i="39"/>
  <c r="BO63" i="39"/>
  <c r="BP100" i="39"/>
  <c r="BQ100" i="39"/>
  <c r="BO100" i="39"/>
  <c r="BP46" i="39"/>
  <c r="BQ46" i="39"/>
  <c r="BO46" i="39"/>
  <c r="BQ64" i="39"/>
  <c r="BO64" i="39"/>
  <c r="BP64" i="39"/>
  <c r="BP51" i="39"/>
  <c r="BQ51" i="39"/>
  <c r="BO51" i="39"/>
  <c r="BQ93" i="39"/>
  <c r="BP93" i="39"/>
  <c r="BO93" i="39"/>
  <c r="BN66" i="39"/>
  <c r="BQ66" i="39"/>
  <c r="BO66" i="39"/>
  <c r="BQ49" i="39"/>
  <c r="BO49" i="39"/>
  <c r="BP49" i="39"/>
  <c r="BQ32" i="39"/>
  <c r="BO32" i="39"/>
  <c r="BP58" i="39"/>
  <c r="BO58" i="39"/>
  <c r="BQ58" i="39"/>
  <c r="BN36" i="39"/>
  <c r="BQ36" i="39"/>
  <c r="BO36" i="39"/>
  <c r="BN37" i="39"/>
  <c r="BP37" i="39"/>
  <c r="BQ37" i="39"/>
  <c r="BO37" i="39"/>
  <c r="BP92" i="39"/>
  <c r="BQ92" i="39"/>
  <c r="BO92" i="39"/>
  <c r="BP94" i="39"/>
  <c r="BQ94" i="39"/>
  <c r="BO94" i="39"/>
  <c r="BO97" i="39"/>
  <c r="BP97" i="39"/>
  <c r="BQ97" i="39"/>
  <c r="BO40" i="39"/>
  <c r="BP40" i="39"/>
  <c r="BQ40" i="39"/>
  <c r="BN13" i="39"/>
  <c r="BQ13" i="39"/>
  <c r="BO13" i="39"/>
  <c r="BN43" i="39"/>
  <c r="BQ43" i="39"/>
  <c r="BO43" i="39"/>
  <c r="BP24" i="39"/>
  <c r="BQ24" i="39"/>
  <c r="BO24" i="39"/>
  <c r="BQ28" i="39"/>
  <c r="BP28" i="39"/>
  <c r="BO28" i="39"/>
  <c r="BN26" i="39"/>
  <c r="BQ26" i="39"/>
  <c r="BO26" i="39"/>
  <c r="BN68" i="39"/>
  <c r="BP68" i="39"/>
  <c r="BQ68" i="39"/>
  <c r="BO68" i="39"/>
  <c r="BO35" i="39"/>
  <c r="BP35" i="39"/>
  <c r="BQ35" i="39"/>
  <c r="BP85" i="39"/>
  <c r="BO85" i="39"/>
  <c r="BQ85" i="39"/>
  <c r="BN47" i="39"/>
  <c r="BQ47" i="39"/>
  <c r="BO47" i="39"/>
  <c r="BQ79" i="39"/>
  <c r="BP79" i="39"/>
  <c r="BO79" i="39"/>
  <c r="BQ44" i="39"/>
  <c r="BO44" i="39"/>
  <c r="BP44" i="39"/>
  <c r="BQ19" i="39"/>
  <c r="BO19" i="39"/>
  <c r="BN54" i="39"/>
  <c r="BP54" i="39"/>
  <c r="BQ54" i="39"/>
  <c r="BO54" i="39"/>
  <c r="BP87" i="39"/>
  <c r="BO87" i="39"/>
  <c r="BQ87" i="39"/>
  <c r="BQ52" i="39"/>
  <c r="BO52" i="39"/>
  <c r="BO71" i="39"/>
  <c r="BP71" i="39"/>
  <c r="BQ71" i="39"/>
  <c r="BN11" i="39"/>
  <c r="BQ11" i="39"/>
  <c r="BO11" i="39"/>
  <c r="BN33" i="39"/>
  <c r="BQ33" i="39"/>
  <c r="BO33" i="39"/>
  <c r="BN50" i="39"/>
  <c r="BQ50" i="39"/>
  <c r="BO50" i="39"/>
  <c r="BQ65" i="39"/>
  <c r="BO65" i="39"/>
  <c r="BP80" i="39"/>
  <c r="BO80" i="39"/>
  <c r="BQ80" i="39"/>
  <c r="BN59" i="39"/>
  <c r="BQ59" i="39"/>
  <c r="BO59" i="39"/>
  <c r="BQ98" i="39"/>
  <c r="BO98" i="39"/>
  <c r="BP98" i="39"/>
  <c r="BO90" i="39"/>
  <c r="BP90" i="39"/>
  <c r="BQ90" i="39"/>
  <c r="BN55" i="39"/>
  <c r="BQ55" i="39"/>
  <c r="BO55" i="39"/>
  <c r="BN56" i="39"/>
  <c r="BQ56" i="39"/>
  <c r="BO56" i="39"/>
  <c r="BP39" i="39"/>
  <c r="BQ39" i="39"/>
  <c r="BO39" i="39"/>
  <c r="BN15" i="39"/>
  <c r="BP15" i="39"/>
  <c r="BQ15" i="39"/>
  <c r="BO15" i="39"/>
  <c r="BN25" i="39"/>
  <c r="BQ25" i="39"/>
  <c r="BO25" i="39"/>
  <c r="BN57" i="39"/>
  <c r="BQ57" i="39"/>
  <c r="BO57" i="39"/>
  <c r="BP60" i="39"/>
  <c r="BQ60" i="39"/>
  <c r="BO60" i="39"/>
  <c r="BQ73" i="39"/>
  <c r="BP73" i="39"/>
  <c r="BO73" i="39"/>
  <c r="BO72" i="39"/>
  <c r="BP72" i="39"/>
  <c r="BQ72" i="39"/>
  <c r="BP84" i="39"/>
  <c r="BQ84" i="39"/>
  <c r="BO84" i="39"/>
  <c r="BO75" i="39"/>
  <c r="BQ75" i="39"/>
  <c r="BP75" i="39"/>
  <c r="AB22" i="27"/>
  <c r="AB20" i="26"/>
  <c r="BM46" i="39"/>
  <c r="BN46" i="39"/>
  <c r="BL46" i="39"/>
  <c r="BL64" i="39"/>
  <c r="BM64" i="39"/>
  <c r="BN64" i="39"/>
  <c r="BL51" i="39"/>
  <c r="BM51" i="39"/>
  <c r="BN51" i="39"/>
  <c r="BL93" i="39"/>
  <c r="BN93" i="39"/>
  <c r="BM93" i="39"/>
  <c r="BN49" i="39"/>
  <c r="BL49" i="39"/>
  <c r="BM49" i="39"/>
  <c r="BN23" i="39"/>
  <c r="BL23" i="39"/>
  <c r="BM23" i="39"/>
  <c r="BL22" i="39"/>
  <c r="BM22" i="39"/>
  <c r="BN22" i="39"/>
  <c r="BM76" i="39"/>
  <c r="BL76" i="39"/>
  <c r="BN76" i="39"/>
  <c r="BN88" i="39"/>
  <c r="BL88" i="39"/>
  <c r="BM88" i="39"/>
  <c r="BL95" i="39"/>
  <c r="BM95" i="39"/>
  <c r="BN95" i="39"/>
  <c r="BM70" i="39"/>
  <c r="BN70" i="39"/>
  <c r="BL70" i="39"/>
  <c r="BN48" i="39"/>
  <c r="BL48" i="39"/>
  <c r="BM48" i="39"/>
  <c r="BM74" i="39"/>
  <c r="BN74" i="39"/>
  <c r="BL74" i="39"/>
  <c r="BL96" i="39"/>
  <c r="BN96" i="39"/>
  <c r="BM96" i="39"/>
  <c r="BM99" i="39"/>
  <c r="BL99" i="39"/>
  <c r="BN99" i="39"/>
  <c r="BM19" i="39"/>
  <c r="BL19" i="39"/>
  <c r="BN19" i="39"/>
  <c r="BN87" i="39"/>
  <c r="BL87" i="39"/>
  <c r="BM87" i="39"/>
  <c r="BM39" i="39"/>
  <c r="BL39" i="39"/>
  <c r="BN39" i="39"/>
  <c r="BN52" i="39"/>
  <c r="BL52" i="39"/>
  <c r="BM52" i="39"/>
  <c r="BM27" i="39"/>
  <c r="BN27" i="39"/>
  <c r="BL27" i="39"/>
  <c r="BM30" i="39"/>
  <c r="BL30" i="39"/>
  <c r="BN30" i="39"/>
  <c r="BN61" i="39"/>
  <c r="BL61" i="39"/>
  <c r="BM61" i="39"/>
  <c r="BN100" i="39"/>
  <c r="BM100" i="39"/>
  <c r="BL100" i="39"/>
  <c r="BN82" i="39"/>
  <c r="BL82" i="39"/>
  <c r="BM82" i="39"/>
  <c r="BN32" i="39"/>
  <c r="BL32" i="39"/>
  <c r="BM32" i="39"/>
  <c r="BN58" i="39"/>
  <c r="BL58" i="39"/>
  <c r="BM58" i="39"/>
  <c r="BM92" i="39"/>
  <c r="BL92" i="39"/>
  <c r="BN92" i="39"/>
  <c r="BN94" i="39"/>
  <c r="BL94" i="39"/>
  <c r="BM94" i="39"/>
  <c r="BN97" i="39"/>
  <c r="BL97" i="39"/>
  <c r="BM97" i="39"/>
  <c r="BN40" i="39"/>
  <c r="BL40" i="39"/>
  <c r="BM40" i="39"/>
  <c r="BN24" i="39"/>
  <c r="BL24" i="39"/>
  <c r="BM24" i="39"/>
  <c r="BN28" i="39"/>
  <c r="BL28" i="39"/>
  <c r="BM28" i="39"/>
  <c r="BN35" i="39"/>
  <c r="BM35" i="39"/>
  <c r="BL35" i="39"/>
  <c r="BN85" i="39"/>
  <c r="BM85" i="39"/>
  <c r="BL85" i="39"/>
  <c r="BN79" i="39"/>
  <c r="BM79" i="39"/>
  <c r="BL79" i="39"/>
  <c r="BM44" i="39"/>
  <c r="BN44" i="39"/>
  <c r="BL44" i="39"/>
  <c r="BM71" i="39"/>
  <c r="BL71" i="39"/>
  <c r="BN71" i="39"/>
  <c r="BN65" i="39"/>
  <c r="BL65" i="39"/>
  <c r="BM65" i="39"/>
  <c r="BN80" i="39"/>
  <c r="BM80" i="39"/>
  <c r="BL80" i="39"/>
  <c r="BM98" i="39"/>
  <c r="BL98" i="39"/>
  <c r="BN98" i="39"/>
  <c r="BM90" i="39"/>
  <c r="BN90" i="39"/>
  <c r="BL90" i="39"/>
  <c r="BN60" i="39"/>
  <c r="BL60" i="39"/>
  <c r="BM60" i="39"/>
  <c r="BN73" i="39"/>
  <c r="BL73" i="39"/>
  <c r="BM73" i="39"/>
  <c r="BM72" i="39"/>
  <c r="BN72" i="39"/>
  <c r="BL72" i="39"/>
  <c r="BL84" i="39"/>
  <c r="BN84" i="39"/>
  <c r="BM84" i="39"/>
  <c r="BL75" i="39"/>
  <c r="BM75" i="39"/>
  <c r="BN75" i="39"/>
  <c r="K129" i="1"/>
  <c r="BK21" i="39"/>
  <c r="BI21" i="39"/>
  <c r="BI36" i="39"/>
  <c r="BK36" i="39"/>
  <c r="BK97" i="39"/>
  <c r="BJ97" i="39"/>
  <c r="BI97" i="39"/>
  <c r="BI14" i="39"/>
  <c r="BK14" i="39"/>
  <c r="BJ48" i="39"/>
  <c r="BI48" i="39"/>
  <c r="BK48" i="39"/>
  <c r="BK53" i="39"/>
  <c r="BI53" i="39"/>
  <c r="BK62" i="39"/>
  <c r="BI62" i="39"/>
  <c r="BI74" i="39"/>
  <c r="BK74" i="39"/>
  <c r="BJ74" i="39"/>
  <c r="BJ96" i="39"/>
  <c r="BK96" i="39"/>
  <c r="BI96" i="39"/>
  <c r="BI99" i="39"/>
  <c r="BK99" i="39"/>
  <c r="BJ99" i="39"/>
  <c r="BI38" i="39"/>
  <c r="BK38" i="39"/>
  <c r="BK63" i="39"/>
  <c r="BI63" i="39"/>
  <c r="BK32" i="39"/>
  <c r="BI32" i="39"/>
  <c r="BI37" i="39"/>
  <c r="BJ37" i="39"/>
  <c r="BK37" i="39"/>
  <c r="BK92" i="39"/>
  <c r="BJ92" i="39"/>
  <c r="BI92" i="39"/>
  <c r="BK40" i="39"/>
  <c r="BI40" i="39"/>
  <c r="BJ24" i="39"/>
  <c r="BI24" i="39"/>
  <c r="BK24" i="39"/>
  <c r="BI28" i="39"/>
  <c r="BK28" i="39"/>
  <c r="BK26" i="39"/>
  <c r="BI26" i="39"/>
  <c r="BK68" i="39"/>
  <c r="BI68" i="39"/>
  <c r="BI35" i="39"/>
  <c r="BK35" i="39"/>
  <c r="BJ85" i="39"/>
  <c r="BI85" i="39"/>
  <c r="BK85" i="39"/>
  <c r="BK47" i="39"/>
  <c r="BI47" i="39"/>
  <c r="BK79" i="39"/>
  <c r="BJ79" i="39"/>
  <c r="BI79" i="39"/>
  <c r="BI44" i="39"/>
  <c r="BK44" i="39"/>
  <c r="BJ44" i="39"/>
  <c r="BI71" i="39"/>
  <c r="BK71" i="39"/>
  <c r="BJ71" i="39"/>
  <c r="BK11" i="39"/>
  <c r="BI11" i="39"/>
  <c r="BI33" i="39"/>
  <c r="BK33" i="39"/>
  <c r="BJ50" i="39"/>
  <c r="BI50" i="39"/>
  <c r="BK50" i="39"/>
  <c r="BI65" i="39"/>
  <c r="BK65" i="39"/>
  <c r="BK80" i="39"/>
  <c r="BI80" i="39"/>
  <c r="BJ80" i="39"/>
  <c r="BJ59" i="39"/>
  <c r="BI59" i="39"/>
  <c r="BK59" i="39"/>
  <c r="BI98" i="39"/>
  <c r="BJ98" i="39"/>
  <c r="BK98" i="39"/>
  <c r="BK90" i="39"/>
  <c r="BJ90" i="39"/>
  <c r="BI90" i="39"/>
  <c r="BI100" i="39"/>
  <c r="BK100" i="39"/>
  <c r="BJ100" i="39"/>
  <c r="BK15" i="39"/>
  <c r="BI15" i="39"/>
  <c r="BI25" i="39"/>
  <c r="BK25" i="39"/>
  <c r="BK57" i="39"/>
  <c r="BI57" i="39"/>
  <c r="BI60" i="39"/>
  <c r="BK60" i="39"/>
  <c r="BJ60" i="39"/>
  <c r="BI73" i="39"/>
  <c r="BK73" i="39"/>
  <c r="BJ73" i="39"/>
  <c r="BJ72" i="39"/>
  <c r="BI72" i="39"/>
  <c r="BK72" i="39"/>
  <c r="BI84" i="39"/>
  <c r="BK84" i="39"/>
  <c r="BJ84" i="39"/>
  <c r="BK75" i="39"/>
  <c r="BJ75" i="39"/>
  <c r="BI75" i="39"/>
  <c r="BI30" i="39"/>
  <c r="BK30" i="39"/>
  <c r="BI13" i="39"/>
  <c r="BK13" i="39"/>
  <c r="BI19" i="39"/>
  <c r="BK19" i="39"/>
  <c r="BJ19" i="39"/>
  <c r="BI55" i="39"/>
  <c r="BK55" i="39"/>
  <c r="BI43" i="39"/>
  <c r="BK43" i="39"/>
  <c r="BI54" i="39"/>
  <c r="BK54" i="39"/>
  <c r="BK56" i="39"/>
  <c r="BJ56" i="39"/>
  <c r="BI56" i="39"/>
  <c r="BK87" i="39"/>
  <c r="BJ87" i="39"/>
  <c r="BI87" i="39"/>
  <c r="BI39" i="39"/>
  <c r="BK39" i="39"/>
  <c r="BJ39" i="39"/>
  <c r="BK52" i="39"/>
  <c r="BJ52" i="39"/>
  <c r="BI52" i="39"/>
  <c r="BK31" i="39"/>
  <c r="BI31" i="39"/>
  <c r="BJ31" i="39"/>
  <c r="BI58" i="39"/>
  <c r="BJ58" i="39"/>
  <c r="BK58" i="39"/>
  <c r="BI94" i="39"/>
  <c r="BK94" i="39"/>
  <c r="BJ94" i="39"/>
  <c r="BI27" i="39"/>
  <c r="BK27" i="39"/>
  <c r="BJ27" i="39"/>
  <c r="BI16" i="39"/>
  <c r="BK16" i="39"/>
  <c r="BI17" i="39"/>
  <c r="BK17" i="39"/>
  <c r="BI45" i="39"/>
  <c r="BK45" i="39"/>
  <c r="BK23" i="39"/>
  <c r="BI23" i="39"/>
  <c r="BI82" i="39"/>
  <c r="BK82" i="39"/>
  <c r="BJ82" i="39"/>
  <c r="BI22" i="39"/>
  <c r="BK22" i="39"/>
  <c r="BJ22" i="39"/>
  <c r="BJ76" i="39"/>
  <c r="BI76" i="39"/>
  <c r="BK76" i="39"/>
  <c r="BI29" i="39"/>
  <c r="BK29" i="39"/>
  <c r="BK12" i="39"/>
  <c r="BI12" i="39"/>
  <c r="BJ46" i="39"/>
  <c r="BI46" i="39"/>
  <c r="BK46" i="39"/>
  <c r="BJ64" i="39"/>
  <c r="BI64" i="39"/>
  <c r="BK64" i="39"/>
  <c r="BI51" i="39"/>
  <c r="BK51" i="39"/>
  <c r="BJ51" i="39"/>
  <c r="BK93" i="39"/>
  <c r="BI93" i="39"/>
  <c r="BJ93" i="39"/>
  <c r="BJ66" i="39"/>
  <c r="BI66" i="39"/>
  <c r="BK66" i="39"/>
  <c r="BJ49" i="39"/>
  <c r="BK49" i="39"/>
  <c r="BI49" i="39"/>
  <c r="BK61" i="39"/>
  <c r="BJ61" i="39"/>
  <c r="BI61" i="39"/>
  <c r="BK10" i="39"/>
  <c r="BI10" i="39"/>
  <c r="BK42" i="39"/>
  <c r="BJ42" i="39"/>
  <c r="BI42" i="39"/>
  <c r="BI18" i="39"/>
  <c r="BK18" i="39"/>
  <c r="BK41" i="39"/>
  <c r="BJ41" i="39"/>
  <c r="BI41" i="39"/>
  <c r="BI88" i="39"/>
  <c r="BK88" i="39"/>
  <c r="BJ88" i="39"/>
  <c r="BJ95" i="39"/>
  <c r="BI95" i="39"/>
  <c r="BK95" i="39"/>
  <c r="BK70" i="39"/>
  <c r="BJ70" i="39"/>
  <c r="BI70" i="39"/>
  <c r="AB19" i="25"/>
  <c r="AB18" i="24"/>
  <c r="BG63" i="39"/>
  <c r="BF63" i="39"/>
  <c r="BH63" i="39"/>
  <c r="BF14" i="39"/>
  <c r="BH14" i="39"/>
  <c r="BG48" i="39"/>
  <c r="BF48" i="39"/>
  <c r="BH48" i="39"/>
  <c r="BF53" i="39"/>
  <c r="BH53" i="39"/>
  <c r="BH62" i="39"/>
  <c r="BG62" i="39"/>
  <c r="BF62" i="39"/>
  <c r="BH74" i="39"/>
  <c r="BG74" i="39"/>
  <c r="BF74" i="39"/>
  <c r="BG96" i="39"/>
  <c r="BF96" i="39"/>
  <c r="BH96" i="39"/>
  <c r="BH99" i="39"/>
  <c r="BF99" i="39"/>
  <c r="BG99" i="39"/>
  <c r="BH61" i="39"/>
  <c r="BF61" i="39"/>
  <c r="BH24" i="39"/>
  <c r="BF24" i="39"/>
  <c r="BG24" i="39"/>
  <c r="BH28" i="39"/>
  <c r="BG28" i="39"/>
  <c r="BF28" i="39"/>
  <c r="BF26" i="39"/>
  <c r="BH26" i="39"/>
  <c r="BG68" i="39"/>
  <c r="BH68" i="39"/>
  <c r="BF68" i="39"/>
  <c r="BF35" i="39"/>
  <c r="BH35" i="39"/>
  <c r="BF85" i="39"/>
  <c r="BH85" i="39"/>
  <c r="BG85" i="39"/>
  <c r="BH47" i="39"/>
  <c r="BG47" i="39"/>
  <c r="BF47" i="39"/>
  <c r="BG79" i="39"/>
  <c r="BF79" i="39"/>
  <c r="BH79" i="39"/>
  <c r="BH58" i="39"/>
  <c r="BF58" i="39"/>
  <c r="BG58" i="39"/>
  <c r="BG71" i="39"/>
  <c r="BF71" i="39"/>
  <c r="BH71" i="39"/>
  <c r="BF11" i="39"/>
  <c r="BH11" i="39"/>
  <c r="BH33" i="39"/>
  <c r="BF33" i="39"/>
  <c r="BF50" i="39"/>
  <c r="BH50" i="39"/>
  <c r="BH65" i="39"/>
  <c r="BF65" i="39"/>
  <c r="BG80" i="39"/>
  <c r="BF80" i="39"/>
  <c r="BH80" i="39"/>
  <c r="BH59" i="39"/>
  <c r="BG59" i="39"/>
  <c r="BF59" i="39"/>
  <c r="BG98" i="39"/>
  <c r="BF98" i="39"/>
  <c r="BH98" i="39"/>
  <c r="BH38" i="39"/>
  <c r="BF38" i="39"/>
  <c r="BG38" i="39"/>
  <c r="BG15" i="39"/>
  <c r="BF15" i="39"/>
  <c r="BH15" i="39"/>
  <c r="BF25" i="39"/>
  <c r="BH25" i="39"/>
  <c r="BH57" i="39"/>
  <c r="BF57" i="39"/>
  <c r="BH60" i="39"/>
  <c r="BG60" i="39"/>
  <c r="BF60" i="39"/>
  <c r="BG73" i="39"/>
  <c r="BF73" i="39"/>
  <c r="BH73" i="39"/>
  <c r="BH72" i="39"/>
  <c r="BG72" i="39"/>
  <c r="BF72" i="39"/>
  <c r="BG84" i="39"/>
  <c r="BH84" i="39"/>
  <c r="BF84" i="39"/>
  <c r="BH44" i="39"/>
  <c r="BG44" i="39"/>
  <c r="BF44" i="39"/>
  <c r="BH13" i="39"/>
  <c r="BF13" i="39"/>
  <c r="BH19" i="39"/>
  <c r="BF19" i="39"/>
  <c r="BG55" i="39"/>
  <c r="BH55" i="39"/>
  <c r="BF55" i="39"/>
  <c r="BH43" i="39"/>
  <c r="BF43" i="39"/>
  <c r="BH54" i="39"/>
  <c r="BG54" i="39"/>
  <c r="BF54" i="39"/>
  <c r="BG56" i="39"/>
  <c r="BH56" i="39"/>
  <c r="BF56" i="39"/>
  <c r="BG87" i="39"/>
  <c r="BF87" i="39"/>
  <c r="BH87" i="39"/>
  <c r="BH39" i="39"/>
  <c r="BG39" i="39"/>
  <c r="BF39" i="39"/>
  <c r="BG90" i="39"/>
  <c r="BH90" i="39"/>
  <c r="BF90" i="39"/>
  <c r="BG30" i="39"/>
  <c r="BF30" i="39"/>
  <c r="BH30" i="39"/>
  <c r="BH29" i="39"/>
  <c r="BF29" i="39"/>
  <c r="BF36" i="39"/>
  <c r="BH36" i="39"/>
  <c r="BH94" i="39"/>
  <c r="BG94" i="39"/>
  <c r="BF94" i="39"/>
  <c r="BG97" i="39"/>
  <c r="BF97" i="39"/>
  <c r="BH97" i="39"/>
  <c r="BH27" i="39"/>
  <c r="BG27" i="39"/>
  <c r="BF27" i="39"/>
  <c r="BH16" i="39"/>
  <c r="BG16" i="39"/>
  <c r="BF16" i="39"/>
  <c r="BH17" i="39"/>
  <c r="BF17" i="39"/>
  <c r="BH45" i="39"/>
  <c r="BF45" i="39"/>
  <c r="BH23" i="39"/>
  <c r="BF23" i="39"/>
  <c r="BF82" i="39"/>
  <c r="BH82" i="39"/>
  <c r="BG82" i="39"/>
  <c r="BH22" i="39"/>
  <c r="BF22" i="39"/>
  <c r="BH76" i="39"/>
  <c r="BG76" i="39"/>
  <c r="BF76" i="39"/>
  <c r="BG52" i="39"/>
  <c r="BH52" i="39"/>
  <c r="BF52" i="39"/>
  <c r="BF75" i="39"/>
  <c r="BH75" i="39"/>
  <c r="BG75" i="39"/>
  <c r="BG31" i="39"/>
  <c r="BH31" i="39"/>
  <c r="BF31" i="39"/>
  <c r="BF12" i="39"/>
  <c r="BH12" i="39"/>
  <c r="BG12" i="39"/>
  <c r="BH46" i="39"/>
  <c r="BF46" i="39"/>
  <c r="BG46" i="39"/>
  <c r="BF64" i="39"/>
  <c r="BH64" i="39"/>
  <c r="BG64" i="39"/>
  <c r="BG51" i="39"/>
  <c r="BF51" i="39"/>
  <c r="BH51" i="39"/>
  <c r="BF93" i="39"/>
  <c r="BH93" i="39"/>
  <c r="BG93" i="39"/>
  <c r="BH66" i="39"/>
  <c r="BG66" i="39"/>
  <c r="BF66" i="39"/>
  <c r="BG49" i="39"/>
  <c r="BF49" i="39"/>
  <c r="BH49" i="39"/>
  <c r="BF21" i="39"/>
  <c r="BH21" i="39"/>
  <c r="BH100" i="39"/>
  <c r="BG100" i="39"/>
  <c r="BF100" i="39"/>
  <c r="BH32" i="39"/>
  <c r="BF32" i="39"/>
  <c r="BG37" i="39"/>
  <c r="BH37" i="39"/>
  <c r="BF37" i="39"/>
  <c r="BF92" i="39"/>
  <c r="BH92" i="39"/>
  <c r="BG92" i="39"/>
  <c r="BH40" i="39"/>
  <c r="BF40" i="39"/>
  <c r="BF10" i="39"/>
  <c r="BH10" i="39"/>
  <c r="BH42" i="39"/>
  <c r="BF42" i="39"/>
  <c r="BH18" i="39"/>
  <c r="BF18" i="39"/>
  <c r="BF41" i="39"/>
  <c r="BH41" i="39"/>
  <c r="BH88" i="39"/>
  <c r="BF88" i="39"/>
  <c r="BG88" i="39"/>
  <c r="BF95" i="39"/>
  <c r="BH95" i="39"/>
  <c r="BG95" i="39"/>
  <c r="BG70" i="39"/>
  <c r="BH70" i="39"/>
  <c r="BF70" i="39"/>
  <c r="AB18" i="23"/>
  <c r="BC32" i="39"/>
  <c r="BE32" i="39"/>
  <c r="BE58" i="39"/>
  <c r="BD58" i="39"/>
  <c r="BC58" i="39"/>
  <c r="BE36" i="39"/>
  <c r="BC36" i="39"/>
  <c r="BE37" i="39"/>
  <c r="BD37" i="39"/>
  <c r="BC37" i="39"/>
  <c r="BD92" i="39"/>
  <c r="BE92" i="39"/>
  <c r="BC92" i="39"/>
  <c r="BE94" i="39"/>
  <c r="BD94" i="39"/>
  <c r="BC94" i="39"/>
  <c r="BE97" i="39"/>
  <c r="BD97" i="39"/>
  <c r="BC97" i="39"/>
  <c r="BC40" i="39"/>
  <c r="BE40" i="39"/>
  <c r="BE24" i="39"/>
  <c r="BD24" i="39"/>
  <c r="BC24" i="39"/>
  <c r="BC28" i="39"/>
  <c r="BD28" i="39"/>
  <c r="BE28" i="39"/>
  <c r="BE26" i="39"/>
  <c r="BD26" i="39"/>
  <c r="BC26" i="39"/>
  <c r="BC68" i="39"/>
  <c r="BE68" i="39"/>
  <c r="BD68" i="39"/>
  <c r="BE35" i="39"/>
  <c r="BD35" i="39"/>
  <c r="BC35" i="39"/>
  <c r="BE85" i="39"/>
  <c r="BD85" i="39"/>
  <c r="BC85" i="39"/>
  <c r="BC47" i="39"/>
  <c r="BE47" i="39"/>
  <c r="BD47" i="39"/>
  <c r="BE79" i="39"/>
  <c r="BD79" i="39"/>
  <c r="BC79" i="39"/>
  <c r="BC50" i="39"/>
  <c r="BE50" i="39"/>
  <c r="BC80" i="39"/>
  <c r="BE80" i="39"/>
  <c r="BD80" i="39"/>
  <c r="BE59" i="39"/>
  <c r="BD59" i="39"/>
  <c r="BC59" i="39"/>
  <c r="BC98" i="39"/>
  <c r="BE98" i="39"/>
  <c r="BD98" i="39"/>
  <c r="BE15" i="39"/>
  <c r="BD15" i="39"/>
  <c r="BC15" i="39"/>
  <c r="BE25" i="39"/>
  <c r="BC25" i="39"/>
  <c r="BC57" i="39"/>
  <c r="BE57" i="39"/>
  <c r="BD60" i="39"/>
  <c r="BC60" i="39"/>
  <c r="BE60" i="39"/>
  <c r="BE73" i="39"/>
  <c r="BD73" i="39"/>
  <c r="BC73" i="39"/>
  <c r="BC72" i="39"/>
  <c r="BD72" i="39"/>
  <c r="BE72" i="39"/>
  <c r="BD84" i="39"/>
  <c r="BC84" i="39"/>
  <c r="BE84" i="39"/>
  <c r="BE44" i="39"/>
  <c r="BC44" i="39"/>
  <c r="BD71" i="39"/>
  <c r="BE71" i="39"/>
  <c r="BC71" i="39"/>
  <c r="BE13" i="39"/>
  <c r="BD13" i="39"/>
  <c r="BC13" i="39"/>
  <c r="BD19" i="39"/>
  <c r="BC19" i="39"/>
  <c r="BE19" i="39"/>
  <c r="BE55" i="39"/>
  <c r="BC55" i="39"/>
  <c r="BC43" i="39"/>
  <c r="BE43" i="39"/>
  <c r="BE54" i="39"/>
  <c r="BD54" i="39"/>
  <c r="BC54" i="39"/>
  <c r="BD56" i="39"/>
  <c r="BC56" i="39"/>
  <c r="BE56" i="39"/>
  <c r="BE87" i="39"/>
  <c r="BC87" i="39"/>
  <c r="BD87" i="39"/>
  <c r="BC39" i="39"/>
  <c r="BE39" i="39"/>
  <c r="BD39" i="39"/>
  <c r="BD90" i="39"/>
  <c r="BC90" i="39"/>
  <c r="BE90" i="39"/>
  <c r="BC11" i="39"/>
  <c r="BE11" i="39"/>
  <c r="BE27" i="39"/>
  <c r="BD27" i="39"/>
  <c r="BC27" i="39"/>
  <c r="BE16" i="39"/>
  <c r="BD16" i="39"/>
  <c r="BC16" i="39"/>
  <c r="BC17" i="39"/>
  <c r="BE17" i="39"/>
  <c r="BC45" i="39"/>
  <c r="BE45" i="39"/>
  <c r="BE23" i="39"/>
  <c r="BC23" i="39"/>
  <c r="BC82" i="39"/>
  <c r="BE82" i="39"/>
  <c r="BC22" i="39"/>
  <c r="BE22" i="39"/>
  <c r="BE76" i="39"/>
  <c r="BC76" i="39"/>
  <c r="BD76" i="39"/>
  <c r="BE52" i="39"/>
  <c r="BC52" i="39"/>
  <c r="BE75" i="39"/>
  <c r="BD75" i="39"/>
  <c r="BC75" i="39"/>
  <c r="BC33" i="39"/>
  <c r="BE33" i="39"/>
  <c r="BD33" i="39"/>
  <c r="BE12" i="39"/>
  <c r="BD12" i="39"/>
  <c r="BC12" i="39"/>
  <c r="BE46" i="39"/>
  <c r="BC46" i="39"/>
  <c r="BE64" i="39"/>
  <c r="BD64" i="39"/>
  <c r="BC64" i="39"/>
  <c r="BD51" i="39"/>
  <c r="BC51" i="39"/>
  <c r="BE51" i="39"/>
  <c r="BE93" i="39"/>
  <c r="BD93" i="39"/>
  <c r="BC93" i="39"/>
  <c r="BD66" i="39"/>
  <c r="BC66" i="39"/>
  <c r="BE66" i="39"/>
  <c r="BD49" i="39"/>
  <c r="BE49" i="39"/>
  <c r="BC49" i="39"/>
  <c r="BE65" i="39"/>
  <c r="BC65" i="39"/>
  <c r="BC10" i="39"/>
  <c r="BE10" i="39"/>
  <c r="BE42" i="39"/>
  <c r="BC42" i="39"/>
  <c r="BE18" i="39"/>
  <c r="BD18" i="39"/>
  <c r="BC18" i="39"/>
  <c r="BC41" i="39"/>
  <c r="BE41" i="39"/>
  <c r="BD41" i="39"/>
  <c r="BC88" i="39"/>
  <c r="BE88" i="39"/>
  <c r="BD88" i="39"/>
  <c r="BE95" i="39"/>
  <c r="BD95" i="39"/>
  <c r="BC95" i="39"/>
  <c r="BD70" i="39"/>
  <c r="BC70" i="39"/>
  <c r="BE70" i="39"/>
  <c r="BC14" i="39"/>
  <c r="BE14" i="39"/>
  <c r="BC48" i="39"/>
  <c r="BE48" i="39"/>
  <c r="BD48" i="39"/>
  <c r="BC53" i="39"/>
  <c r="BE53" i="39"/>
  <c r="BC62" i="39"/>
  <c r="BE62" i="39"/>
  <c r="BD62" i="39"/>
  <c r="BE74" i="39"/>
  <c r="BD74" i="39"/>
  <c r="BC74" i="39"/>
  <c r="BC96" i="39"/>
  <c r="BE96" i="39"/>
  <c r="BD96" i="39"/>
  <c r="BE99" i="39"/>
  <c r="BD99" i="39"/>
  <c r="BC99" i="39"/>
  <c r="BC21" i="39"/>
  <c r="BD21" i="39"/>
  <c r="BE21" i="39"/>
  <c r="BC30" i="39"/>
  <c r="BD30" i="39"/>
  <c r="BE30" i="39"/>
  <c r="BE38" i="39"/>
  <c r="BD38" i="39"/>
  <c r="BC38" i="39"/>
  <c r="BD61" i="39"/>
  <c r="BE61" i="39"/>
  <c r="BC61" i="39"/>
  <c r="BC29" i="39"/>
  <c r="BE29" i="39"/>
  <c r="BD31" i="39"/>
  <c r="BC31" i="39"/>
  <c r="BE31" i="39"/>
  <c r="BD63" i="39"/>
  <c r="BC63" i="39"/>
  <c r="BE63" i="39"/>
  <c r="BE100" i="39"/>
  <c r="BD100" i="39"/>
  <c r="BC100" i="39"/>
  <c r="G12" i="17"/>
  <c r="F45" i="22"/>
  <c r="F11" i="22"/>
  <c r="F49" i="22"/>
  <c r="G65" i="22"/>
  <c r="G27" i="22"/>
  <c r="G21" i="22"/>
  <c r="G47" i="22"/>
  <c r="F31" i="22"/>
  <c r="F69" i="22"/>
  <c r="F65" i="22"/>
  <c r="G58" i="22"/>
  <c r="G83" i="22"/>
  <c r="F93" i="22"/>
  <c r="G88" i="22"/>
  <c r="G61" i="22"/>
  <c r="G84" i="22"/>
  <c r="G24" i="21"/>
  <c r="G63" i="22"/>
  <c r="F20" i="22"/>
  <c r="G19" i="22"/>
  <c r="G12" i="22"/>
  <c r="G17" i="22"/>
  <c r="G15" i="22"/>
  <c r="G11" i="22"/>
  <c r="F80" i="22"/>
  <c r="F28" i="22"/>
  <c r="F48" i="22"/>
  <c r="G85" i="22"/>
  <c r="F72" i="22"/>
  <c r="F52" i="22"/>
  <c r="F64" i="22"/>
  <c r="G87" i="22"/>
  <c r="F88" i="22"/>
  <c r="F68" i="22"/>
  <c r="F44" i="22"/>
  <c r="G82" i="22"/>
  <c r="G25" i="22"/>
  <c r="G24" i="22"/>
  <c r="G37" i="22"/>
  <c r="G28" i="22"/>
  <c r="G42" i="22"/>
  <c r="F75" i="22"/>
  <c r="G30" i="22"/>
  <c r="F15" i="22"/>
  <c r="F56" i="22"/>
  <c r="F85" i="22"/>
  <c r="F78" i="22"/>
  <c r="G64" i="22"/>
  <c r="F87" i="22"/>
  <c r="F22" i="22"/>
  <c r="G94" i="22"/>
  <c r="G68" i="22"/>
  <c r="F14" i="22"/>
  <c r="G79" i="22"/>
  <c r="G18" i="22"/>
  <c r="F83" i="22"/>
  <c r="F26" i="22"/>
  <c r="F84" i="22"/>
  <c r="F47" i="22"/>
  <c r="G59" i="22"/>
  <c r="G44" i="22"/>
  <c r="G16" i="22"/>
  <c r="G26" i="22"/>
  <c r="G39" i="22"/>
  <c r="F18" i="22"/>
  <c r="F39" i="22"/>
  <c r="F54" i="22"/>
  <c r="G29" i="22"/>
  <c r="F23" i="22"/>
  <c r="F35" i="22"/>
  <c r="F86" i="22"/>
  <c r="F70" i="22"/>
  <c r="F92" i="22"/>
  <c r="F94" i="22"/>
  <c r="F71" i="22"/>
  <c r="F13" i="22"/>
  <c r="F51" i="22"/>
  <c r="F63" i="22"/>
  <c r="G10" i="22"/>
  <c r="F58" i="22"/>
  <c r="F32" i="22"/>
  <c r="F61" i="22"/>
  <c r="F29" i="22"/>
  <c r="G72" i="22"/>
  <c r="G53" i="22"/>
  <c r="G95" i="22"/>
  <c r="G38" i="22"/>
  <c r="G93" i="22"/>
  <c r="G46" i="22"/>
  <c r="F21" i="22"/>
  <c r="F30" i="22"/>
  <c r="F19" i="22"/>
  <c r="G23" i="22"/>
  <c r="F90" i="22"/>
  <c r="G86" i="22"/>
  <c r="G70" i="22"/>
  <c r="F59" i="22"/>
  <c r="G60" i="22"/>
  <c r="G89" i="22"/>
  <c r="G71" i="22"/>
  <c r="F33" i="22"/>
  <c r="F17" i="22"/>
  <c r="G56" i="22"/>
  <c r="G62" i="22"/>
  <c r="G32" i="22"/>
  <c r="G67" i="22"/>
  <c r="G33" i="22"/>
  <c r="F76" i="22"/>
  <c r="F14" i="21"/>
  <c r="G55" i="22"/>
  <c r="F37" i="22"/>
  <c r="G80" i="22"/>
  <c r="G49" i="22"/>
  <c r="F34" i="22"/>
  <c r="G90" i="22"/>
  <c r="F38" i="22"/>
  <c r="F73" i="22"/>
  <c r="F67" i="22"/>
  <c r="F60" i="22"/>
  <c r="F89" i="22"/>
  <c r="F77" i="22"/>
  <c r="F41" i="22"/>
  <c r="G40" i="22"/>
  <c r="G14" i="21"/>
  <c r="G22" i="22"/>
  <c r="G14" i="22"/>
  <c r="G78" i="22"/>
  <c r="G41" i="22"/>
  <c r="F66" i="22"/>
  <c r="G51" i="22"/>
  <c r="G69" i="22"/>
  <c r="G75" i="22"/>
  <c r="F53" i="22"/>
  <c r="F55" i="22"/>
  <c r="F46" i="22"/>
  <c r="G91" i="22"/>
  <c r="G66" i="22"/>
  <c r="G73" i="22"/>
  <c r="F27" i="22"/>
  <c r="F12" i="22"/>
  <c r="G77" i="22"/>
  <c r="F16" i="22"/>
  <c r="G45" i="22"/>
  <c r="F62" i="22"/>
  <c r="G20" i="22"/>
  <c r="F10" i="22"/>
  <c r="F81" i="22"/>
  <c r="F42" i="22"/>
  <c r="G13" i="22"/>
  <c r="G52" i="22"/>
  <c r="G34" i="22"/>
  <c r="G43" i="22"/>
  <c r="G81" i="22"/>
  <c r="F25" i="22"/>
  <c r="G76" i="22"/>
  <c r="F50" i="22"/>
  <c r="F91" i="22"/>
  <c r="F24" i="22"/>
  <c r="F79" i="22"/>
  <c r="F74" i="22"/>
  <c r="F43" i="22"/>
  <c r="F40" i="22"/>
  <c r="F82" i="22"/>
  <c r="F95" i="22"/>
  <c r="G92" i="22"/>
  <c r="G54" i="22"/>
  <c r="G50" i="22"/>
  <c r="F57" i="22"/>
  <c r="G35" i="22"/>
  <c r="G57" i="22"/>
  <c r="F24" i="21"/>
  <c r="G48" i="22"/>
  <c r="G74" i="22"/>
  <c r="G31" i="22"/>
  <c r="F44" i="18"/>
  <c r="F70" i="17"/>
  <c r="G50" i="41"/>
  <c r="F91" i="18"/>
  <c r="G81" i="17"/>
  <c r="AB16" i="22"/>
  <c r="AY13" i="39"/>
  <c r="BB13" i="39"/>
  <c r="AZ13" i="39"/>
  <c r="AV19" i="39"/>
  <c r="BB19" i="39"/>
  <c r="AZ19" i="39"/>
  <c r="AY55" i="39"/>
  <c r="BA55" i="39"/>
  <c r="AZ55" i="39"/>
  <c r="BB55" i="39"/>
  <c r="AU43" i="39"/>
  <c r="BB43" i="39"/>
  <c r="AZ43" i="39"/>
  <c r="AT54" i="39"/>
  <c r="BB54" i="39"/>
  <c r="AZ54" i="39"/>
  <c r="BA54" i="39"/>
  <c r="AT56" i="39"/>
  <c r="BB56" i="39"/>
  <c r="AZ56" i="39"/>
  <c r="AT87" i="39"/>
  <c r="BB87" i="39"/>
  <c r="BA87" i="39"/>
  <c r="AZ87" i="39"/>
  <c r="AU39" i="39"/>
  <c r="BB39" i="39"/>
  <c r="AZ39" i="39"/>
  <c r="BA39" i="39"/>
  <c r="AY90" i="39"/>
  <c r="BA90" i="39"/>
  <c r="AZ90" i="39"/>
  <c r="BB90" i="39"/>
  <c r="AY75" i="39"/>
  <c r="AZ75" i="39"/>
  <c r="BA75" i="39"/>
  <c r="BB75" i="39"/>
  <c r="AV12" i="39"/>
  <c r="BB12" i="39"/>
  <c r="AZ12" i="39"/>
  <c r="AY46" i="39"/>
  <c r="AZ46" i="39"/>
  <c r="BB46" i="39"/>
  <c r="BA46" i="39"/>
  <c r="AT64" i="39"/>
  <c r="BB64" i="39"/>
  <c r="AZ64" i="39"/>
  <c r="AU51" i="39"/>
  <c r="BA51" i="39"/>
  <c r="AZ51" i="39"/>
  <c r="BB51" i="39"/>
  <c r="AV93" i="39"/>
  <c r="BA93" i="39"/>
  <c r="AZ93" i="39"/>
  <c r="BB93" i="39"/>
  <c r="AX66" i="39"/>
  <c r="AZ66" i="39"/>
  <c r="BB66" i="39"/>
  <c r="BA66" i="39"/>
  <c r="AV49" i="39"/>
  <c r="AZ49" i="39"/>
  <c r="BA49" i="39"/>
  <c r="BB49" i="39"/>
  <c r="AT27" i="39"/>
  <c r="AZ27" i="39"/>
  <c r="BB27" i="39"/>
  <c r="BA27" i="39"/>
  <c r="AV22" i="39"/>
  <c r="BB22" i="39"/>
  <c r="AZ22" i="39"/>
  <c r="AV10" i="39"/>
  <c r="BB10" i="39"/>
  <c r="AZ10" i="39"/>
  <c r="AY42" i="39"/>
  <c r="BA42" i="39"/>
  <c r="BB42" i="39"/>
  <c r="AZ42" i="39"/>
  <c r="AV18" i="39"/>
  <c r="BB18" i="39"/>
  <c r="BA18" i="39"/>
  <c r="AZ18" i="39"/>
  <c r="AT41" i="39"/>
  <c r="BA41" i="39"/>
  <c r="AZ41" i="39"/>
  <c r="BB41" i="39"/>
  <c r="AU88" i="39"/>
  <c r="AZ88" i="39"/>
  <c r="BB88" i="39"/>
  <c r="BA88" i="39"/>
  <c r="AX95" i="39"/>
  <c r="BB95" i="39"/>
  <c r="AZ95" i="39"/>
  <c r="BA95" i="39"/>
  <c r="AV70" i="39"/>
  <c r="BA70" i="39"/>
  <c r="AZ70" i="39"/>
  <c r="BB70" i="39"/>
  <c r="AT82" i="39"/>
  <c r="BA82" i="39"/>
  <c r="BB82" i="39"/>
  <c r="AZ82" i="39"/>
  <c r="AY14" i="39"/>
  <c r="BB14" i="39"/>
  <c r="AZ14" i="39"/>
  <c r="AY48" i="39"/>
  <c r="BA48" i="39"/>
  <c r="BB48" i="39"/>
  <c r="AZ48" i="39"/>
  <c r="AV53" i="39"/>
  <c r="BB53" i="39"/>
  <c r="AZ53" i="39"/>
  <c r="AT62" i="39"/>
  <c r="AZ62" i="39"/>
  <c r="BB62" i="39"/>
  <c r="BA62" i="39"/>
  <c r="AY74" i="39"/>
  <c r="BA74" i="39"/>
  <c r="BB74" i="39"/>
  <c r="AZ74" i="39"/>
  <c r="AT96" i="39"/>
  <c r="BA96" i="39"/>
  <c r="AZ96" i="39"/>
  <c r="BB96" i="39"/>
  <c r="AV99" i="39"/>
  <c r="BB99" i="39"/>
  <c r="AZ99" i="39"/>
  <c r="BA99" i="39"/>
  <c r="AV25" i="39"/>
  <c r="BB25" i="39"/>
  <c r="BA25" i="39"/>
  <c r="AZ25" i="39"/>
  <c r="AV60" i="39"/>
  <c r="BB60" i="39"/>
  <c r="AZ60" i="39"/>
  <c r="AV84" i="39"/>
  <c r="BA84" i="39"/>
  <c r="AZ84" i="39"/>
  <c r="BB84" i="39"/>
  <c r="AV16" i="39"/>
  <c r="BA16" i="39"/>
  <c r="BB16" i="39"/>
  <c r="AZ16" i="39"/>
  <c r="AY21" i="39"/>
  <c r="BB21" i="39"/>
  <c r="AZ21" i="39"/>
  <c r="AY30" i="39"/>
  <c r="BA30" i="39"/>
  <c r="AZ30" i="39"/>
  <c r="BB30" i="39"/>
  <c r="AV38" i="39"/>
  <c r="BB38" i="39"/>
  <c r="AZ38" i="39"/>
  <c r="AT61" i="39"/>
  <c r="BB61" i="39"/>
  <c r="AZ61" i="39"/>
  <c r="AV29" i="39"/>
  <c r="BB29" i="39"/>
  <c r="AZ29" i="39"/>
  <c r="AX31" i="39"/>
  <c r="BB31" i="39"/>
  <c r="AZ31" i="39"/>
  <c r="AY63" i="39"/>
  <c r="BB63" i="39"/>
  <c r="AZ63" i="39"/>
  <c r="BA63" i="39"/>
  <c r="AT100" i="39"/>
  <c r="BA100" i="39"/>
  <c r="AZ100" i="39"/>
  <c r="BB100" i="39"/>
  <c r="AY15" i="39"/>
  <c r="BA15" i="39"/>
  <c r="BB15" i="39"/>
  <c r="AZ15" i="39"/>
  <c r="AU57" i="39"/>
  <c r="BB57" i="39"/>
  <c r="AZ57" i="39"/>
  <c r="AY73" i="39"/>
  <c r="BA73" i="39"/>
  <c r="BB73" i="39"/>
  <c r="AZ73" i="39"/>
  <c r="AT72" i="39"/>
  <c r="AZ72" i="39"/>
  <c r="BA72" i="39"/>
  <c r="BB72" i="39"/>
  <c r="AV44" i="39"/>
  <c r="AZ44" i="39"/>
  <c r="BA44" i="39"/>
  <c r="BB44" i="39"/>
  <c r="AY23" i="39"/>
  <c r="BB23" i="39"/>
  <c r="AZ23" i="39"/>
  <c r="AY32" i="39"/>
  <c r="BB32" i="39"/>
  <c r="AZ32" i="39"/>
  <c r="AV58" i="39"/>
  <c r="BB58" i="39"/>
  <c r="AZ58" i="39"/>
  <c r="BA58" i="39"/>
  <c r="AV36" i="39"/>
  <c r="BB36" i="39"/>
  <c r="AZ36" i="39"/>
  <c r="AY37" i="39"/>
  <c r="BB37" i="39"/>
  <c r="BA37" i="39"/>
  <c r="AZ37" i="39"/>
  <c r="AY92" i="39"/>
  <c r="BB92" i="39"/>
  <c r="BA92" i="39"/>
  <c r="AZ92" i="39"/>
  <c r="AV94" i="39"/>
  <c r="BA94" i="39"/>
  <c r="AZ94" i="39"/>
  <c r="BB94" i="39"/>
  <c r="AU97" i="39"/>
  <c r="BB97" i="39"/>
  <c r="AZ97" i="39"/>
  <c r="BA97" i="39"/>
  <c r="AU40" i="39"/>
  <c r="BB40" i="39"/>
  <c r="AZ40" i="39"/>
  <c r="AY45" i="39"/>
  <c r="BB45" i="39"/>
  <c r="AZ45" i="39"/>
  <c r="AV52" i="39"/>
  <c r="BB52" i="39"/>
  <c r="AZ52" i="39"/>
  <c r="AW24" i="39"/>
  <c r="BA24" i="39"/>
  <c r="BB24" i="39"/>
  <c r="AZ24" i="39"/>
  <c r="AU28" i="39"/>
  <c r="AZ28" i="39"/>
  <c r="BB28" i="39"/>
  <c r="BA28" i="39"/>
  <c r="AT26" i="39"/>
  <c r="BB26" i="39"/>
  <c r="AZ26" i="39"/>
  <c r="AU68" i="39"/>
  <c r="BB68" i="39"/>
  <c r="BA68" i="39"/>
  <c r="AZ68" i="39"/>
  <c r="AX35" i="39"/>
  <c r="BA35" i="39"/>
  <c r="BB35" i="39"/>
  <c r="AZ35" i="39"/>
  <c r="AT85" i="39"/>
  <c r="AZ85" i="39"/>
  <c r="BB85" i="39"/>
  <c r="BA85" i="39"/>
  <c r="AT47" i="39"/>
  <c r="BB47" i="39"/>
  <c r="AZ47" i="39"/>
  <c r="AU79" i="39"/>
  <c r="AZ79" i="39"/>
  <c r="BB79" i="39"/>
  <c r="BA79" i="39"/>
  <c r="AY17" i="39"/>
  <c r="BB17" i="39"/>
  <c r="AZ17" i="39"/>
  <c r="AY76" i="39"/>
  <c r="BA76" i="39"/>
  <c r="AZ76" i="39"/>
  <c r="BB76" i="39"/>
  <c r="AW71" i="39"/>
  <c r="AZ71" i="39"/>
  <c r="BA71" i="39"/>
  <c r="BB71" i="39"/>
  <c r="AY11" i="39"/>
  <c r="BB11" i="39"/>
  <c r="AZ11" i="39"/>
  <c r="AY33" i="39"/>
  <c r="BB33" i="39"/>
  <c r="AZ33" i="39"/>
  <c r="AY50" i="39"/>
  <c r="BB50" i="39"/>
  <c r="BA50" i="39"/>
  <c r="AZ50" i="39"/>
  <c r="AY65" i="39"/>
  <c r="BB65" i="39"/>
  <c r="AZ65" i="39"/>
  <c r="AW80" i="39"/>
  <c r="AZ80" i="39"/>
  <c r="BB80" i="39"/>
  <c r="BA80" i="39"/>
  <c r="AU59" i="39"/>
  <c r="BA59" i="39"/>
  <c r="BB59" i="39"/>
  <c r="AZ59" i="39"/>
  <c r="AU98" i="39"/>
  <c r="AZ98" i="39"/>
  <c r="BB98" i="39"/>
  <c r="BA98" i="39"/>
  <c r="AY99" i="39"/>
  <c r="AW100" i="39"/>
  <c r="F67" i="17"/>
  <c r="F56" i="17"/>
  <c r="F29" i="17"/>
  <c r="F65" i="17"/>
  <c r="F43" i="17"/>
  <c r="F11" i="17"/>
  <c r="F83" i="17"/>
  <c r="F39" i="17"/>
  <c r="F53" i="17"/>
  <c r="F44" i="17"/>
  <c r="F70" i="18"/>
  <c r="F50" i="18"/>
  <c r="F72" i="18"/>
  <c r="F69" i="18"/>
  <c r="F65" i="18"/>
  <c r="F45" i="18"/>
  <c r="G38" i="18"/>
  <c r="F66" i="18"/>
  <c r="F65" i="19"/>
  <c r="F35" i="19"/>
  <c r="F85" i="19"/>
  <c r="F14" i="19"/>
  <c r="F32" i="19"/>
  <c r="F17" i="19"/>
  <c r="F48" i="19"/>
  <c r="F62" i="19"/>
  <c r="G88" i="19"/>
  <c r="G36" i="18"/>
  <c r="G45" i="17"/>
  <c r="G64" i="17"/>
  <c r="G87" i="19"/>
  <c r="G77" i="18"/>
  <c r="G44" i="17"/>
  <c r="G32" i="17"/>
  <c r="G84" i="18"/>
  <c r="G43" i="17"/>
  <c r="G31" i="19"/>
  <c r="G18" i="18"/>
  <c r="G17" i="18"/>
  <c r="G23" i="18"/>
  <c r="G47" i="19"/>
  <c r="G45" i="18"/>
  <c r="G36" i="19"/>
  <c r="G83" i="17"/>
  <c r="G18" i="19"/>
  <c r="G33" i="19"/>
  <c r="G72" i="18"/>
  <c r="G47" i="17"/>
  <c r="G72" i="19"/>
  <c r="G25" i="18"/>
  <c r="G24" i="17"/>
  <c r="F57" i="18"/>
  <c r="F36" i="18"/>
  <c r="F74" i="18"/>
  <c r="F54" i="18"/>
  <c r="F28" i="18"/>
  <c r="G44" i="18"/>
  <c r="F52" i="19"/>
  <c r="F44" i="19"/>
  <c r="F49" i="19"/>
  <c r="F80" i="19"/>
  <c r="F29" i="19"/>
  <c r="F68" i="19"/>
  <c r="F47" i="19"/>
  <c r="G79" i="19"/>
  <c r="G70" i="18"/>
  <c r="G36" i="17"/>
  <c r="G19" i="17"/>
  <c r="G46" i="19"/>
  <c r="G69" i="18"/>
  <c r="G38" i="17"/>
  <c r="G90" i="19"/>
  <c r="G76" i="18"/>
  <c r="G63" i="17"/>
  <c r="G62" i="19"/>
  <c r="G30" i="18"/>
  <c r="G84" i="19"/>
  <c r="G41" i="18"/>
  <c r="G59" i="19"/>
  <c r="G24" i="18"/>
  <c r="G43" i="19"/>
  <c r="G51" i="17"/>
  <c r="G85" i="19"/>
  <c r="G80" i="19"/>
  <c r="G64" i="18"/>
  <c r="G65" i="17"/>
  <c r="G25" i="19"/>
  <c r="G43" i="18"/>
  <c r="F45" i="17"/>
  <c r="F30" i="17"/>
  <c r="F59" i="17"/>
  <c r="F25" i="17"/>
  <c r="G82" i="17"/>
  <c r="G74" i="17"/>
  <c r="F31" i="17"/>
  <c r="F90" i="17"/>
  <c r="F79" i="18"/>
  <c r="F71" i="18"/>
  <c r="F10" i="17"/>
  <c r="F19" i="17"/>
  <c r="F12" i="17"/>
  <c r="F15" i="17"/>
  <c r="F75" i="17"/>
  <c r="F74" i="17"/>
  <c r="F32" i="17"/>
  <c r="F50" i="17"/>
  <c r="F41" i="18"/>
  <c r="F29" i="18"/>
  <c r="F84" i="18"/>
  <c r="F82" i="18"/>
  <c r="F77" i="18"/>
  <c r="F61" i="18"/>
  <c r="F43" i="18"/>
  <c r="F56" i="19"/>
  <c r="F86" i="19"/>
  <c r="F83" i="19"/>
  <c r="F55" i="19"/>
  <c r="F37" i="19"/>
  <c r="F70" i="19"/>
  <c r="F76" i="19"/>
  <c r="F74" i="19"/>
  <c r="G42" i="19"/>
  <c r="G61" i="18"/>
  <c r="F24" i="17"/>
  <c r="G73" i="17"/>
  <c r="G69" i="19"/>
  <c r="G60" i="18"/>
  <c r="G57" i="17"/>
  <c r="G86" i="19"/>
  <c r="G68" i="18"/>
  <c r="G16" i="17"/>
  <c r="G20" i="19"/>
  <c r="G37" i="18"/>
  <c r="G76" i="19"/>
  <c r="G57" i="18"/>
  <c r="G51" i="19"/>
  <c r="G40" i="18"/>
  <c r="G45" i="19"/>
  <c r="G40" i="17"/>
  <c r="G19" i="19"/>
  <c r="G73" i="19"/>
  <c r="F52" i="18"/>
  <c r="G59" i="17"/>
  <c r="G87" i="18"/>
  <c r="G79" i="17"/>
  <c r="F20" i="15"/>
  <c r="F36" i="17"/>
  <c r="F35" i="17"/>
  <c r="F22" i="17"/>
  <c r="F13" i="17"/>
  <c r="F72" i="17"/>
  <c r="G67" i="17"/>
  <c r="G14" i="17"/>
  <c r="F62" i="17"/>
  <c r="F16" i="18"/>
  <c r="F87" i="18"/>
  <c r="F89" i="18"/>
  <c r="F31" i="18"/>
  <c r="F68" i="18"/>
  <c r="F76" i="18"/>
  <c r="F22" i="18"/>
  <c r="F89" i="19"/>
  <c r="F81" i="19"/>
  <c r="F77" i="19"/>
  <c r="F21" i="19"/>
  <c r="F34" i="19"/>
  <c r="F41" i="19"/>
  <c r="F82" i="19"/>
  <c r="F50" i="19"/>
  <c r="G48" i="19"/>
  <c r="G50" i="18"/>
  <c r="G46" i="17"/>
  <c r="G52" i="17"/>
  <c r="G64" i="19"/>
  <c r="G49" i="18"/>
  <c r="G15" i="17"/>
  <c r="G78" i="19"/>
  <c r="G59" i="18"/>
  <c r="F49" i="17"/>
  <c r="G30" i="19"/>
  <c r="G27" i="18"/>
  <c r="G41" i="19"/>
  <c r="G46" i="18"/>
  <c r="G21" i="19"/>
  <c r="G20" i="18"/>
  <c r="G24" i="19"/>
  <c r="G34" i="17"/>
  <c r="G89" i="18"/>
  <c r="G65" i="19"/>
  <c r="G12" i="18"/>
  <c r="F82" i="17"/>
  <c r="G78" i="18"/>
  <c r="G71" i="17"/>
  <c r="F85" i="17"/>
  <c r="F91" i="17"/>
  <c r="F33" i="17"/>
  <c r="F68" i="17"/>
  <c r="F87" i="17"/>
  <c r="F26" i="17"/>
  <c r="G89" i="17"/>
  <c r="F83" i="18"/>
  <c r="F11" i="18"/>
  <c r="F80" i="18"/>
  <c r="F21" i="18"/>
  <c r="F86" i="18"/>
  <c r="F23" i="18"/>
  <c r="F78" i="18"/>
  <c r="F37" i="18"/>
  <c r="F56" i="18"/>
  <c r="F20" i="19"/>
  <c r="F13" i="19"/>
  <c r="F79" i="19"/>
  <c r="F69" i="19"/>
  <c r="F24" i="19"/>
  <c r="F27" i="19"/>
  <c r="F10" i="19"/>
  <c r="F33" i="19"/>
  <c r="F87" i="19"/>
  <c r="G54" i="19"/>
  <c r="G67" i="18"/>
  <c r="G42" i="17"/>
  <c r="G26" i="17"/>
  <c r="F53" i="19"/>
  <c r="G53" i="18"/>
  <c r="G22" i="17"/>
  <c r="G68" i="19"/>
  <c r="G48" i="18"/>
  <c r="G39" i="17"/>
  <c r="G23" i="19"/>
  <c r="G87" i="17"/>
  <c r="G61" i="19"/>
  <c r="G14" i="18"/>
  <c r="G12" i="19"/>
  <c r="G21" i="18"/>
  <c r="G90" i="18"/>
  <c r="F89" i="17"/>
  <c r="G80" i="18"/>
  <c r="G57" i="19"/>
  <c r="G34" i="18"/>
  <c r="G44" i="19"/>
  <c r="G71" i="18"/>
  <c r="G60" i="17"/>
  <c r="F76" i="17"/>
  <c r="F28" i="17"/>
  <c r="F81" i="17"/>
  <c r="F47" i="17"/>
  <c r="F64" i="17"/>
  <c r="G21" i="17"/>
  <c r="F77" i="17"/>
  <c r="F18" i="17"/>
  <c r="G49" i="17"/>
  <c r="F42" i="18"/>
  <c r="F26" i="18"/>
  <c r="F63" i="18"/>
  <c r="F10" i="18"/>
  <c r="F13" i="18"/>
  <c r="F81" i="18"/>
  <c r="F73" i="18"/>
  <c r="F34" i="18"/>
  <c r="F30" i="19"/>
  <c r="F75" i="19"/>
  <c r="F22" i="19"/>
  <c r="F91" i="19"/>
  <c r="F40" i="19"/>
  <c r="F12" i="19"/>
  <c r="F28" i="19"/>
  <c r="G39" i="19"/>
  <c r="G63" i="18"/>
  <c r="G30" i="17"/>
  <c r="G31" i="17"/>
  <c r="G35" i="19"/>
  <c r="G11" i="18"/>
  <c r="G66" i="17"/>
  <c r="G63" i="19"/>
  <c r="F38" i="18"/>
  <c r="G11" i="17"/>
  <c r="G31" i="18"/>
  <c r="G76" i="17"/>
  <c r="G40" i="19"/>
  <c r="G10" i="18"/>
  <c r="G91" i="18"/>
  <c r="G85" i="17"/>
  <c r="G81" i="18"/>
  <c r="F84" i="17"/>
  <c r="G42" i="18"/>
  <c r="G70" i="19"/>
  <c r="G19" i="18"/>
  <c r="G50" i="19"/>
  <c r="G62" i="18"/>
  <c r="G90" i="17"/>
  <c r="F69" i="17"/>
  <c r="F27" i="17"/>
  <c r="G48" i="17"/>
  <c r="F58" i="17"/>
  <c r="F21" i="17"/>
  <c r="F78" i="17"/>
  <c r="F58" i="18"/>
  <c r="F90" i="18"/>
  <c r="F32" i="18"/>
  <c r="F40" i="18"/>
  <c r="F35" i="18"/>
  <c r="F27" i="18"/>
  <c r="F88" i="18"/>
  <c r="F59" i="18"/>
  <c r="F19" i="18"/>
  <c r="F61" i="19"/>
  <c r="F73" i="19"/>
  <c r="F51" i="19"/>
  <c r="F90" i="19"/>
  <c r="F36" i="19"/>
  <c r="F19" i="19"/>
  <c r="F26" i="19"/>
  <c r="G89" i="19"/>
  <c r="G13" i="18"/>
  <c r="G33" i="17"/>
  <c r="G81" i="19"/>
  <c r="G13" i="19"/>
  <c r="G32" i="18"/>
  <c r="G29" i="17"/>
  <c r="G52" i="19"/>
  <c r="G91" i="17"/>
  <c r="G25" i="17"/>
  <c r="G74" i="18"/>
  <c r="G55" i="17"/>
  <c r="G27" i="19"/>
  <c r="G86" i="17"/>
  <c r="G82" i="18"/>
  <c r="G91" i="19"/>
  <c r="G73" i="18"/>
  <c r="G20" i="15"/>
  <c r="G65" i="18"/>
  <c r="G49" i="19"/>
  <c r="G80" i="17"/>
  <c r="G71" i="19"/>
  <c r="G51" i="18"/>
  <c r="G61" i="17"/>
  <c r="F60" i="17"/>
  <c r="F37" i="17"/>
  <c r="F48" i="17"/>
  <c r="G88" i="17"/>
  <c r="F55" i="17"/>
  <c r="G84" i="17"/>
  <c r="F52" i="17"/>
  <c r="F63" i="17"/>
  <c r="F38" i="17"/>
  <c r="F20" i="18"/>
  <c r="F30" i="18"/>
  <c r="F17" i="18"/>
  <c r="F53" i="18"/>
  <c r="F24" i="18"/>
  <c r="F25" i="18"/>
  <c r="F51" i="18"/>
  <c r="F64" i="18"/>
  <c r="F47" i="18"/>
  <c r="G52" i="18"/>
  <c r="F84" i="19"/>
  <c r="F54" i="19"/>
  <c r="F31" i="19"/>
  <c r="F23" i="19"/>
  <c r="F88" i="19"/>
  <c r="F66" i="19"/>
  <c r="F72" i="19"/>
  <c r="F45" i="19"/>
  <c r="F60" i="19"/>
  <c r="G16" i="19"/>
  <c r="G37" i="19"/>
  <c r="G28" i="17"/>
  <c r="G18" i="17"/>
  <c r="G62" i="17"/>
  <c r="G14" i="19"/>
  <c r="G28" i="18"/>
  <c r="G10" i="17"/>
  <c r="G38" i="19"/>
  <c r="G77" i="17"/>
  <c r="G15" i="18"/>
  <c r="G29" i="18"/>
  <c r="F14" i="17"/>
  <c r="G26" i="19"/>
  <c r="G29" i="19"/>
  <c r="G16" i="18"/>
  <c r="G82" i="19"/>
  <c r="G39" i="18"/>
  <c r="G74" i="19"/>
  <c r="G54" i="18"/>
  <c r="G60" i="19"/>
  <c r="G27" i="17"/>
  <c r="G22" i="19"/>
  <c r="G75" i="18"/>
  <c r="F88" i="17"/>
  <c r="F23" i="17"/>
  <c r="F73" i="17"/>
  <c r="F51" i="17"/>
  <c r="F54" i="17"/>
  <c r="F16" i="17"/>
  <c r="F34" i="17"/>
  <c r="F79" i="17"/>
  <c r="F57" i="17"/>
  <c r="F61" i="17"/>
  <c r="F60" i="18"/>
  <c r="F49" i="18"/>
  <c r="F48" i="18"/>
  <c r="F46" i="18"/>
  <c r="F14" i="18"/>
  <c r="F12" i="18"/>
  <c r="F78" i="19"/>
  <c r="F11" i="19"/>
  <c r="F67" i="19"/>
  <c r="F15" i="19"/>
  <c r="F59" i="19"/>
  <c r="F71" i="19"/>
  <c r="F39" i="19"/>
  <c r="F18" i="19"/>
  <c r="F25" i="19"/>
  <c r="G53" i="19"/>
  <c r="F16" i="19"/>
  <c r="G70" i="17"/>
  <c r="G75" i="17"/>
  <c r="G13" i="17"/>
  <c r="G10" i="19"/>
  <c r="G78" i="17"/>
  <c r="F20" i="17"/>
  <c r="G34" i="19"/>
  <c r="G68" i="17"/>
  <c r="G17" i="19"/>
  <c r="G58" i="18"/>
  <c r="G41" i="17"/>
  <c r="G15" i="19"/>
  <c r="G83" i="19"/>
  <c r="G66" i="18"/>
  <c r="G32" i="19"/>
  <c r="G55" i="18"/>
  <c r="G66" i="19"/>
  <c r="G22" i="18"/>
  <c r="G88" i="18"/>
  <c r="G17" i="17"/>
  <c r="G55" i="19"/>
  <c r="G33" i="18"/>
  <c r="F40" i="16"/>
  <c r="F35" i="21"/>
  <c r="F17" i="21"/>
  <c r="G37" i="21"/>
  <c r="G88" i="21"/>
  <c r="G48" i="21"/>
  <c r="G10" i="21"/>
  <c r="G62" i="21"/>
  <c r="G78" i="21"/>
  <c r="G11" i="21"/>
  <c r="G92" i="21"/>
  <c r="F21" i="21"/>
  <c r="F58" i="21"/>
  <c r="F47" i="21"/>
  <c r="F70" i="21"/>
  <c r="F13" i="21"/>
  <c r="F42" i="21"/>
  <c r="F84" i="21"/>
  <c r="F23" i="21"/>
  <c r="F54" i="21"/>
  <c r="F82" i="21"/>
  <c r="F65" i="21"/>
  <c r="F26" i="21"/>
  <c r="F85" i="21"/>
  <c r="F27" i="21"/>
  <c r="F44" i="21"/>
  <c r="G26" i="21"/>
  <c r="G50" i="21"/>
  <c r="F19" i="21"/>
  <c r="F22" i="21"/>
  <c r="G12" i="21"/>
  <c r="G65" i="21"/>
  <c r="G41" i="21"/>
  <c r="G57" i="21"/>
  <c r="G34" i="21"/>
  <c r="G76" i="21"/>
  <c r="G32" i="21"/>
  <c r="G22" i="21"/>
  <c r="F60" i="21"/>
  <c r="F25" i="21"/>
  <c r="F48" i="21"/>
  <c r="F75" i="21"/>
  <c r="F56" i="21"/>
  <c r="F61" i="21"/>
  <c r="F86" i="21"/>
  <c r="G17" i="21"/>
  <c r="F81" i="21"/>
  <c r="G30" i="21"/>
  <c r="F38" i="21"/>
  <c r="F79" i="21"/>
  <c r="F52" i="21"/>
  <c r="F59" i="21"/>
  <c r="F90" i="21"/>
  <c r="F43" i="21"/>
  <c r="F92" i="21"/>
  <c r="F73" i="21"/>
  <c r="F45" i="21"/>
  <c r="F46" i="21"/>
  <c r="G15" i="21"/>
  <c r="G39" i="21"/>
  <c r="F93" i="21"/>
  <c r="G56" i="21"/>
  <c r="G43" i="21"/>
  <c r="G84" i="21"/>
  <c r="G75" i="21"/>
  <c r="G81" i="21"/>
  <c r="G90" i="21"/>
  <c r="G71" i="21"/>
  <c r="G61" i="21"/>
  <c r="F33" i="21"/>
  <c r="G79" i="21"/>
  <c r="F50" i="21"/>
  <c r="F78" i="21"/>
  <c r="F71" i="21"/>
  <c r="F55" i="21"/>
  <c r="F88" i="21"/>
  <c r="F28" i="21"/>
  <c r="G40" i="21"/>
  <c r="F11" i="21"/>
  <c r="F41" i="21"/>
  <c r="F62" i="21"/>
  <c r="F16" i="21"/>
  <c r="F64" i="21"/>
  <c r="F87" i="21"/>
  <c r="F29" i="21"/>
  <c r="F68" i="21"/>
  <c r="G72" i="21"/>
  <c r="F72" i="21"/>
  <c r="G87" i="21"/>
  <c r="F53" i="21"/>
  <c r="G52" i="21"/>
  <c r="G46" i="21"/>
  <c r="G85" i="21"/>
  <c r="G89" i="21"/>
  <c r="G55" i="21"/>
  <c r="G29" i="21"/>
  <c r="F34" i="21"/>
  <c r="F40" i="21"/>
  <c r="F39" i="21"/>
  <c r="G13" i="21"/>
  <c r="F32" i="21"/>
  <c r="F12" i="21"/>
  <c r="G60" i="21"/>
  <c r="G64" i="21"/>
  <c r="F77" i="21"/>
  <c r="F69" i="21"/>
  <c r="F51" i="21"/>
  <c r="G66" i="21"/>
  <c r="G54" i="21"/>
  <c r="F30" i="21"/>
  <c r="G23" i="21"/>
  <c r="G74" i="21"/>
  <c r="G36" i="21"/>
  <c r="G83" i="21"/>
  <c r="G59" i="21"/>
  <c r="F74" i="21"/>
  <c r="G25" i="21"/>
  <c r="G45" i="21"/>
  <c r="F91" i="21"/>
  <c r="F49" i="21"/>
  <c r="G82" i="21"/>
  <c r="G68" i="21"/>
  <c r="G27" i="21"/>
  <c r="G42" i="21"/>
  <c r="G19" i="21"/>
  <c r="G70" i="21"/>
  <c r="G16" i="21"/>
  <c r="G77" i="21"/>
  <c r="F83" i="21"/>
  <c r="F57" i="21"/>
  <c r="F15" i="21"/>
  <c r="G67" i="21"/>
  <c r="G51" i="21"/>
  <c r="F63" i="21"/>
  <c r="F31" i="21"/>
  <c r="G93" i="21"/>
  <c r="G86" i="21"/>
  <c r="G33" i="21"/>
  <c r="G21" i="21"/>
  <c r="G73" i="21"/>
  <c r="G35" i="21"/>
  <c r="G28" i="21"/>
  <c r="G44" i="21"/>
  <c r="F89" i="21"/>
  <c r="G53" i="21"/>
  <c r="F10" i="21"/>
  <c r="G91" i="21"/>
  <c r="G18" i="21"/>
  <c r="F66" i="21"/>
  <c r="F76" i="21"/>
  <c r="F80" i="21"/>
  <c r="G69" i="21"/>
  <c r="F18" i="21"/>
  <c r="G31" i="21"/>
  <c r="G20" i="21"/>
  <c r="G47" i="21"/>
  <c r="G49" i="21"/>
  <c r="G63" i="21"/>
  <c r="G38" i="21"/>
  <c r="G80" i="21"/>
  <c r="F37" i="21"/>
  <c r="F20" i="21"/>
  <c r="G58" i="21"/>
  <c r="F36" i="21"/>
  <c r="F67" i="21"/>
  <c r="F80" i="17"/>
  <c r="F40" i="17"/>
  <c r="F85" i="18"/>
  <c r="F66" i="17"/>
  <c r="F41" i="17"/>
  <c r="F42" i="17"/>
  <c r="F86" i="17"/>
  <c r="G20" i="17"/>
  <c r="F46" i="17"/>
  <c r="F71" i="17"/>
  <c r="F17" i="17"/>
  <c r="F75" i="18"/>
  <c r="F39" i="18"/>
  <c r="F62" i="18"/>
  <c r="F55" i="18"/>
  <c r="F67" i="18"/>
  <c r="F18" i="18"/>
  <c r="F15" i="18"/>
  <c r="F33" i="18"/>
  <c r="F42" i="19"/>
  <c r="F38" i="19"/>
  <c r="F64" i="19"/>
  <c r="F43" i="19"/>
  <c r="F63" i="19"/>
  <c r="F46" i="19"/>
  <c r="F58" i="19"/>
  <c r="F57" i="19"/>
  <c r="G11" i="19"/>
  <c r="G86" i="18"/>
  <c r="G58" i="17"/>
  <c r="G54" i="17"/>
  <c r="G35" i="17"/>
  <c r="G85" i="18"/>
  <c r="G69" i="17"/>
  <c r="G37" i="17"/>
  <c r="G28" i="19"/>
  <c r="G56" i="17"/>
  <c r="G77" i="19"/>
  <c r="G47" i="18"/>
  <c r="G53" i="17"/>
  <c r="G83" i="18"/>
  <c r="G75" i="19"/>
  <c r="G56" i="18"/>
  <c r="G67" i="19"/>
  <c r="G26" i="18"/>
  <c r="G58" i="19"/>
  <c r="G72" i="17"/>
  <c r="G79" i="18"/>
  <c r="G50" i="17"/>
  <c r="G56" i="19"/>
  <c r="G35" i="18"/>
  <c r="G23" i="17"/>
  <c r="AB17" i="21"/>
  <c r="AX53" i="39"/>
  <c r="AX76" i="39"/>
  <c r="AX49" i="39"/>
  <c r="AY36" i="39"/>
  <c r="AW47" i="39"/>
  <c r="AW76" i="39"/>
  <c r="AW96" i="39"/>
  <c r="AW62" i="39"/>
  <c r="W70" i="39"/>
  <c r="AW63" i="39"/>
  <c r="AW35" i="39"/>
  <c r="AY12" i="39"/>
  <c r="AW46" i="39"/>
  <c r="AY64" i="39"/>
  <c r="AY35" i="39"/>
  <c r="X88" i="39"/>
  <c r="AX74" i="39"/>
  <c r="AX80" i="39"/>
  <c r="AW88" i="39"/>
  <c r="AW55" i="39"/>
  <c r="AY88" i="39"/>
  <c r="AY94" i="39"/>
  <c r="AW79" i="39"/>
  <c r="AW51" i="39"/>
  <c r="AW95" i="39"/>
  <c r="AX82" i="39"/>
  <c r="AY28" i="39"/>
  <c r="AW43" i="39"/>
  <c r="AW29" i="39"/>
  <c r="AX96" i="39"/>
  <c r="AX61" i="39"/>
  <c r="AX24" i="39"/>
  <c r="AW59" i="39"/>
  <c r="AY40" i="39"/>
  <c r="AX100" i="39"/>
  <c r="AW70" i="39"/>
  <c r="AY66" i="39"/>
  <c r="AY44" i="39"/>
  <c r="AY29" i="39"/>
  <c r="AY95" i="39"/>
  <c r="AY31" i="39"/>
  <c r="AW58" i="39"/>
  <c r="AW22" i="39"/>
  <c r="AW37" i="39"/>
  <c r="AW48" i="39"/>
  <c r="AX71" i="39"/>
  <c r="AY85" i="39"/>
  <c r="AW33" i="39"/>
  <c r="AY39" i="39"/>
  <c r="AY61" i="39"/>
  <c r="AY100" i="39"/>
  <c r="AY87" i="39"/>
  <c r="AY43" i="39"/>
  <c r="AW27" i="39"/>
  <c r="AX92" i="39"/>
  <c r="AY51" i="39"/>
  <c r="AW39" i="39"/>
  <c r="AW72" i="39"/>
  <c r="AX60" i="39"/>
  <c r="AX84" i="39"/>
  <c r="AW45" i="39"/>
  <c r="AW54" i="39"/>
  <c r="AW23" i="39"/>
  <c r="AX52" i="39"/>
  <c r="AW10" i="39"/>
  <c r="AX73" i="39"/>
  <c r="AY80" i="39"/>
  <c r="AY16" i="39"/>
  <c r="AY71" i="39"/>
  <c r="AY68" i="39"/>
  <c r="AW66" i="39"/>
  <c r="AX58" i="39"/>
  <c r="AY10" i="39"/>
  <c r="AY93" i="39"/>
  <c r="AX87" i="39"/>
  <c r="AW75" i="39"/>
  <c r="AX97" i="39"/>
  <c r="AY79" i="39"/>
  <c r="AW64" i="39"/>
  <c r="AW18" i="39"/>
  <c r="AY25" i="39"/>
  <c r="AW36" i="39"/>
  <c r="AY57" i="39"/>
  <c r="AW73" i="39"/>
  <c r="AW44" i="39"/>
  <c r="AY54" i="39"/>
  <c r="AW16" i="39"/>
  <c r="AW74" i="39"/>
  <c r="AW31" i="39"/>
  <c r="AY41" i="39"/>
  <c r="AW82" i="39"/>
  <c r="AX75" i="39"/>
  <c r="AW93" i="39"/>
  <c r="AY60" i="39"/>
  <c r="AW90" i="39"/>
  <c r="AY82" i="39"/>
  <c r="AW84" i="39"/>
  <c r="AW28" i="39"/>
  <c r="AX28" i="39"/>
  <c r="AX94" i="39"/>
  <c r="AY62" i="39"/>
  <c r="AW65" i="39"/>
  <c r="AW30" i="39"/>
  <c r="AW17" i="39"/>
  <c r="AX39" i="39"/>
  <c r="AW52" i="39"/>
  <c r="AW40" i="39"/>
  <c r="AY24" i="39"/>
  <c r="AX59" i="39"/>
  <c r="AY84" i="39"/>
  <c r="AY19" i="39"/>
  <c r="AY72" i="39"/>
  <c r="AW53" i="39"/>
  <c r="AY22" i="39"/>
  <c r="AY97" i="39"/>
  <c r="AY56" i="39"/>
  <c r="AY18" i="39"/>
  <c r="AY49" i="39"/>
  <c r="AY70" i="39"/>
  <c r="AW85" i="39"/>
  <c r="AW19" i="39"/>
  <c r="AW13" i="39"/>
  <c r="AW15" i="39"/>
  <c r="AW68" i="39"/>
  <c r="AW57" i="39"/>
  <c r="AW41" i="39"/>
  <c r="AX33" i="39"/>
  <c r="AY96" i="39"/>
  <c r="AX64" i="39"/>
  <c r="AY59" i="39"/>
  <c r="AW98" i="39"/>
  <c r="AY98" i="39"/>
  <c r="AX98" i="39"/>
  <c r="AY53" i="39"/>
  <c r="AX51" i="39"/>
  <c r="AW60" i="39"/>
  <c r="AY27" i="39"/>
  <c r="AW11" i="39"/>
  <c r="AW26" i="39"/>
  <c r="AW12" i="39"/>
  <c r="AX90" i="39"/>
  <c r="AW50" i="39"/>
  <c r="AW32" i="39"/>
  <c r="AW99" i="39"/>
  <c r="AW61" i="39"/>
  <c r="AW97" i="39"/>
  <c r="AX79" i="39"/>
  <c r="AW92" i="39"/>
  <c r="AX70" i="39"/>
  <c r="AY47" i="39"/>
  <c r="AW94" i="39"/>
  <c r="AX88" i="39"/>
  <c r="AW56" i="39"/>
  <c r="AW14" i="39"/>
  <c r="AX16" i="39"/>
  <c r="AW25" i="39"/>
  <c r="AW21" i="39"/>
  <c r="AY52" i="39"/>
  <c r="AY38" i="39"/>
  <c r="AX85" i="39"/>
  <c r="AW49" i="39"/>
  <c r="AX99" i="39"/>
  <c r="AX72" i="39"/>
  <c r="AX93" i="39"/>
  <c r="AY58" i="39"/>
  <c r="AY26" i="39"/>
  <c r="AX27" i="39"/>
  <c r="AW87" i="39"/>
  <c r="AW42" i="39"/>
  <c r="AW38" i="39"/>
  <c r="K104" i="19"/>
  <c r="AW111" i="39" s="1"/>
  <c r="V82" i="39"/>
  <c r="W98" i="39"/>
  <c r="T98" i="39"/>
  <c r="U72" i="39"/>
  <c r="S84" i="39"/>
  <c r="X98" i="39"/>
  <c r="W99" i="39"/>
  <c r="X29" i="39"/>
  <c r="V100" i="39"/>
  <c r="T84" i="39"/>
  <c r="V98" i="39"/>
  <c r="AB15" i="19"/>
  <c r="U97" i="39"/>
  <c r="AU35" i="39"/>
  <c r="AP55" i="39"/>
  <c r="AQ55" i="39"/>
  <c r="AS55" i="39"/>
  <c r="AN74" i="39"/>
  <c r="AQ74" i="39"/>
  <c r="AS74" i="39"/>
  <c r="AR74" i="39"/>
  <c r="AN90" i="39"/>
  <c r="AR90" i="39"/>
  <c r="AQ90" i="39"/>
  <c r="AS90" i="39"/>
  <c r="AT11" i="39"/>
  <c r="AT45" i="39"/>
  <c r="AV68" i="39"/>
  <c r="AV26" i="39"/>
  <c r="AV98" i="39"/>
  <c r="AV54" i="39"/>
  <c r="AV82" i="39"/>
  <c r="AU90" i="39"/>
  <c r="AT84" i="39"/>
  <c r="AT99" i="39"/>
  <c r="AV40" i="39"/>
  <c r="AV74" i="39"/>
  <c r="AU58" i="39"/>
  <c r="AP14" i="39"/>
  <c r="AR14" i="39"/>
  <c r="AQ14" i="39"/>
  <c r="AS14" i="39"/>
  <c r="AN46" i="39"/>
  <c r="AS46" i="39"/>
  <c r="AQ46" i="39"/>
  <c r="AN50" i="39"/>
  <c r="AQ50" i="39"/>
  <c r="AS50" i="39"/>
  <c r="AP37" i="39"/>
  <c r="AQ37" i="39"/>
  <c r="AS37" i="39"/>
  <c r="AO92" i="39"/>
  <c r="AS92" i="39"/>
  <c r="AR92" i="39"/>
  <c r="AQ92" i="39"/>
  <c r="AP66" i="39"/>
  <c r="AR66" i="39"/>
  <c r="AS66" i="39"/>
  <c r="AQ66" i="39"/>
  <c r="AO39" i="39"/>
  <c r="AS39" i="39"/>
  <c r="AQ39" i="39"/>
  <c r="AR39" i="39"/>
  <c r="U37" i="39"/>
  <c r="AN24" i="39"/>
  <c r="AS24" i="39"/>
  <c r="AQ24" i="39"/>
  <c r="AP21" i="39"/>
  <c r="AS21" i="39"/>
  <c r="AQ21" i="39"/>
  <c r="AP42" i="39"/>
  <c r="AS42" i="39"/>
  <c r="AQ42" i="39"/>
  <c r="AN17" i="39"/>
  <c r="AS17" i="39"/>
  <c r="AR17" i="39"/>
  <c r="AQ17" i="39"/>
  <c r="AP35" i="39"/>
  <c r="AQ35" i="39"/>
  <c r="AS35" i="39"/>
  <c r="AR35" i="39"/>
  <c r="AO85" i="39"/>
  <c r="AS85" i="39"/>
  <c r="AR85" i="39"/>
  <c r="AQ85" i="39"/>
  <c r="AP31" i="39"/>
  <c r="AS31" i="39"/>
  <c r="AR31" i="39"/>
  <c r="AQ31" i="39"/>
  <c r="AO95" i="39"/>
  <c r="AR95" i="39"/>
  <c r="AS95" i="39"/>
  <c r="AQ95" i="39"/>
  <c r="AO76" i="39"/>
  <c r="AR76" i="39"/>
  <c r="AQ76" i="39"/>
  <c r="AS76" i="39"/>
  <c r="AA75" i="39"/>
  <c r="AR75" i="39"/>
  <c r="AS75" i="39"/>
  <c r="AQ75" i="39"/>
  <c r="AT46" i="39"/>
  <c r="AT55" i="39"/>
  <c r="AT10" i="39"/>
  <c r="AT42" i="39"/>
  <c r="AT22" i="39"/>
  <c r="AT40" i="39"/>
  <c r="AU14" i="39"/>
  <c r="AV100" i="39"/>
  <c r="AT35" i="39"/>
  <c r="AT57" i="39"/>
  <c r="AT92" i="39"/>
  <c r="AU87" i="39"/>
  <c r="AU76" i="39"/>
  <c r="AV88" i="39"/>
  <c r="AU41" i="39"/>
  <c r="AT75" i="39"/>
  <c r="AT88" i="39"/>
  <c r="AV46" i="39"/>
  <c r="AN71" i="39"/>
  <c r="AR71" i="39"/>
  <c r="AQ71" i="39"/>
  <c r="AS71" i="39"/>
  <c r="AP32" i="39"/>
  <c r="AS32" i="39"/>
  <c r="AQ32" i="39"/>
  <c r="AP48" i="39"/>
  <c r="AR48" i="39"/>
  <c r="AQ48" i="39"/>
  <c r="AS48" i="39"/>
  <c r="AP64" i="39"/>
  <c r="AR64" i="39"/>
  <c r="AQ64" i="39"/>
  <c r="AS64" i="39"/>
  <c r="AN43" i="39"/>
  <c r="AS43" i="39"/>
  <c r="AR43" i="39"/>
  <c r="AQ43" i="39"/>
  <c r="AP65" i="39"/>
  <c r="AQ65" i="39"/>
  <c r="AS65" i="39"/>
  <c r="AN80" i="39"/>
  <c r="AR80" i="39"/>
  <c r="AQ80" i="39"/>
  <c r="AS80" i="39"/>
  <c r="AP94" i="39"/>
  <c r="AS94" i="39"/>
  <c r="AQ94" i="39"/>
  <c r="AR94" i="39"/>
  <c r="AP96" i="39"/>
  <c r="AS96" i="39"/>
  <c r="AR96" i="39"/>
  <c r="AQ96" i="39"/>
  <c r="AP49" i="39"/>
  <c r="AR49" i="39"/>
  <c r="AQ49" i="39"/>
  <c r="AS49" i="39"/>
  <c r="AT36" i="39"/>
  <c r="AT19" i="39"/>
  <c r="AT24" i="39"/>
  <c r="AV96" i="39"/>
  <c r="AU56" i="39"/>
  <c r="AT74" i="39"/>
  <c r="AT39" i="39"/>
  <c r="AT14" i="39"/>
  <c r="AU85" i="39"/>
  <c r="AT98" i="39"/>
  <c r="AV64" i="39"/>
  <c r="AV75" i="39"/>
  <c r="AV48" i="39"/>
  <c r="AV72" i="39"/>
  <c r="AV62" i="39"/>
  <c r="AU80" i="39"/>
  <c r="AT48" i="39"/>
  <c r="AV50" i="39"/>
  <c r="AP15" i="39"/>
  <c r="AQ15" i="39"/>
  <c r="AS15" i="39"/>
  <c r="AP28" i="39"/>
  <c r="AS28" i="39"/>
  <c r="AR28" i="39"/>
  <c r="AQ28" i="39"/>
  <c r="AP30" i="39"/>
  <c r="AS30" i="39"/>
  <c r="AQ30" i="39"/>
  <c r="AN18" i="39"/>
  <c r="AS18" i="39"/>
  <c r="AQ18" i="39"/>
  <c r="AN45" i="39"/>
  <c r="AQ45" i="39"/>
  <c r="AS45" i="39"/>
  <c r="AP60" i="39"/>
  <c r="AQ60" i="39"/>
  <c r="AS60" i="39"/>
  <c r="AR60" i="39"/>
  <c r="AN73" i="39"/>
  <c r="AS73" i="39"/>
  <c r="AR73" i="39"/>
  <c r="AQ73" i="39"/>
  <c r="AP47" i="39"/>
  <c r="AS47" i="39"/>
  <c r="AR47" i="39"/>
  <c r="AQ47" i="39"/>
  <c r="AP63" i="39"/>
  <c r="AR63" i="39"/>
  <c r="AQ63" i="39"/>
  <c r="AS63" i="39"/>
  <c r="V70" i="39"/>
  <c r="AS70" i="39"/>
  <c r="AR70" i="39"/>
  <c r="AQ70" i="39"/>
  <c r="AO52" i="39"/>
  <c r="AS52" i="39"/>
  <c r="AQ52" i="39"/>
  <c r="AR52" i="39"/>
  <c r="AT50" i="39"/>
  <c r="AT44" i="39"/>
  <c r="AV57" i="39"/>
  <c r="AU71" i="39"/>
  <c r="AU96" i="39"/>
  <c r="AV73" i="39"/>
  <c r="AV31" i="39"/>
  <c r="AV43" i="39"/>
  <c r="AV30" i="39"/>
  <c r="AV87" i="39"/>
  <c r="AV28" i="39"/>
  <c r="AU95" i="39"/>
  <c r="AT70" i="39"/>
  <c r="AT49" i="39"/>
  <c r="AT90" i="39"/>
  <c r="AV47" i="39"/>
  <c r="AP11" i="39"/>
  <c r="AS11" i="39"/>
  <c r="AQ11" i="39"/>
  <c r="AP58" i="39"/>
  <c r="AQ58" i="39"/>
  <c r="AS58" i="39"/>
  <c r="AR58" i="39"/>
  <c r="AP51" i="39"/>
  <c r="AR51" i="39"/>
  <c r="AQ51" i="39"/>
  <c r="AS51" i="39"/>
  <c r="AN54" i="39"/>
  <c r="AS54" i="39"/>
  <c r="AQ54" i="39"/>
  <c r="AR54" i="39"/>
  <c r="AN56" i="39"/>
  <c r="AR56" i="39"/>
  <c r="AQ56" i="39"/>
  <c r="AS56" i="39"/>
  <c r="AO59" i="39"/>
  <c r="AS59" i="39"/>
  <c r="AR59" i="39"/>
  <c r="AQ59" i="39"/>
  <c r="AO97" i="39"/>
  <c r="AQ97" i="39"/>
  <c r="AS97" i="39"/>
  <c r="AR97" i="39"/>
  <c r="AN99" i="39"/>
  <c r="AR99" i="39"/>
  <c r="AQ99" i="39"/>
  <c r="AS99" i="39"/>
  <c r="AT18" i="39"/>
  <c r="AT30" i="39"/>
  <c r="AT15" i="39"/>
  <c r="AT21" i="39"/>
  <c r="AU94" i="39"/>
  <c r="AT58" i="39"/>
  <c r="AV59" i="39"/>
  <c r="AT71" i="39"/>
  <c r="AT93" i="39"/>
  <c r="AT17" i="39"/>
  <c r="AV42" i="39"/>
  <c r="AT60" i="39"/>
  <c r="AV76" i="39"/>
  <c r="AV90" i="39"/>
  <c r="AU84" i="39"/>
  <c r="AV66" i="39"/>
  <c r="AT28" i="39"/>
  <c r="AU48" i="39"/>
  <c r="AT66" i="39"/>
  <c r="AV35" i="39"/>
  <c r="AP27" i="39"/>
  <c r="AS27" i="39"/>
  <c r="AQ27" i="39"/>
  <c r="AR27" i="39"/>
  <c r="AN25" i="39"/>
  <c r="AQ25" i="39"/>
  <c r="AS25" i="39"/>
  <c r="AN26" i="39"/>
  <c r="AS26" i="39"/>
  <c r="AR26" i="39"/>
  <c r="AQ26" i="39"/>
  <c r="AP38" i="39"/>
  <c r="AS38" i="39"/>
  <c r="AQ38" i="39"/>
  <c r="AP41" i="39"/>
  <c r="AR41" i="39"/>
  <c r="AQ41" i="39"/>
  <c r="AS41" i="39"/>
  <c r="AP23" i="39"/>
  <c r="AS23" i="39"/>
  <c r="AQ23" i="39"/>
  <c r="AR23" i="39"/>
  <c r="S82" i="39"/>
  <c r="AS82" i="39"/>
  <c r="AR82" i="39"/>
  <c r="AQ82" i="39"/>
  <c r="AO72" i="39"/>
  <c r="AR72" i="39"/>
  <c r="AQ72" i="39"/>
  <c r="AS72" i="39"/>
  <c r="AO79" i="39"/>
  <c r="AR79" i="39"/>
  <c r="AQ79" i="39"/>
  <c r="AS79" i="39"/>
  <c r="AP100" i="39"/>
  <c r="AQ100" i="39"/>
  <c r="AS100" i="39"/>
  <c r="AR100" i="39"/>
  <c r="AT25" i="39"/>
  <c r="AT29" i="39"/>
  <c r="AT13" i="39"/>
  <c r="AU52" i="39"/>
  <c r="AV65" i="39"/>
  <c r="AT94" i="39"/>
  <c r="AV51" i="39"/>
  <c r="AV15" i="39"/>
  <c r="AU92" i="39"/>
  <c r="AV21" i="39"/>
  <c r="AV32" i="39"/>
  <c r="AV95" i="39"/>
  <c r="AU54" i="39"/>
  <c r="AT73" i="39"/>
  <c r="AT31" i="39"/>
  <c r="AV41" i="39"/>
  <c r="AU99" i="39"/>
  <c r="AT76" i="39"/>
  <c r="AV80" i="39"/>
  <c r="AV39" i="39"/>
  <c r="AV14" i="39"/>
  <c r="X70" i="39"/>
  <c r="AP12" i="39"/>
  <c r="AS12" i="39"/>
  <c r="AQ12" i="39"/>
  <c r="AR12" i="39"/>
  <c r="AN19" i="39"/>
  <c r="AS19" i="39"/>
  <c r="AQ19" i="39"/>
  <c r="AN33" i="39"/>
  <c r="AQ33" i="39"/>
  <c r="AS33" i="39"/>
  <c r="AN36" i="39"/>
  <c r="AS36" i="39"/>
  <c r="AQ36" i="39"/>
  <c r="AN53" i="39"/>
  <c r="AS53" i="39"/>
  <c r="AQ53" i="39"/>
  <c r="AP62" i="39"/>
  <c r="AR62" i="39"/>
  <c r="AQ62" i="39"/>
  <c r="AS62" i="39"/>
  <c r="AO93" i="39"/>
  <c r="AQ93" i="39"/>
  <c r="AS93" i="39"/>
  <c r="AR93" i="39"/>
  <c r="AN87" i="39"/>
  <c r="AR87" i="39"/>
  <c r="AQ87" i="39"/>
  <c r="AS87" i="39"/>
  <c r="AO98" i="39"/>
  <c r="AQ98" i="39"/>
  <c r="AS98" i="39"/>
  <c r="AR98" i="39"/>
  <c r="AN40" i="39"/>
  <c r="AS40" i="39"/>
  <c r="AR40" i="39"/>
  <c r="AQ40" i="39"/>
  <c r="AT37" i="39"/>
  <c r="AT16" i="39"/>
  <c r="AT65" i="39"/>
  <c r="AV33" i="39"/>
  <c r="AT80" i="39"/>
  <c r="AV17" i="39"/>
  <c r="AU93" i="39"/>
  <c r="AT52" i="39"/>
  <c r="AV37" i="39"/>
  <c r="AV85" i="39"/>
  <c r="AT59" i="39"/>
  <c r="AU70" i="39"/>
  <c r="AU82" i="39"/>
  <c r="AT43" i="39"/>
  <c r="AV97" i="39"/>
  <c r="AU64" i="39"/>
  <c r="AU75" i="39"/>
  <c r="AT79" i="39"/>
  <c r="AT23" i="39"/>
  <c r="AT97" i="39"/>
  <c r="AV56" i="39"/>
  <c r="AU74" i="39"/>
  <c r="AV45" i="39"/>
  <c r="AV24" i="39"/>
  <c r="AP13" i="39"/>
  <c r="AS13" i="39"/>
  <c r="AQ13" i="39"/>
  <c r="AP10" i="39"/>
  <c r="AQ10" i="39"/>
  <c r="AS10" i="39"/>
  <c r="AP16" i="39"/>
  <c r="AQ16" i="39"/>
  <c r="AS16" i="39"/>
  <c r="AP57" i="39"/>
  <c r="AS57" i="39"/>
  <c r="AR57" i="39"/>
  <c r="AQ57" i="39"/>
  <c r="AO68" i="39"/>
  <c r="AR68" i="39"/>
  <c r="AQ68" i="39"/>
  <c r="AS68" i="39"/>
  <c r="AP61" i="39"/>
  <c r="AS61" i="39"/>
  <c r="AQ61" i="39"/>
  <c r="AP29" i="39"/>
  <c r="AS29" i="39"/>
  <c r="AQ29" i="39"/>
  <c r="AO88" i="39"/>
  <c r="AQ88" i="39"/>
  <c r="AS88" i="39"/>
  <c r="AR88" i="39"/>
  <c r="AN22" i="39"/>
  <c r="AS22" i="39"/>
  <c r="AQ22" i="39"/>
  <c r="AN84" i="39"/>
  <c r="AS84" i="39"/>
  <c r="AR84" i="39"/>
  <c r="AQ84" i="39"/>
  <c r="AP44" i="39"/>
  <c r="AQ44" i="39"/>
  <c r="AS44" i="39"/>
  <c r="AT38" i="39"/>
  <c r="AT53" i="39"/>
  <c r="AT33" i="39"/>
  <c r="AT32" i="39"/>
  <c r="AT12" i="39"/>
  <c r="AV27" i="39"/>
  <c r="AU47" i="39"/>
  <c r="AV13" i="39"/>
  <c r="AV92" i="39"/>
  <c r="AU17" i="39"/>
  <c r="AU100" i="39"/>
  <c r="AT68" i="39"/>
  <c r="AU73" i="39"/>
  <c r="AU31" i="39"/>
  <c r="AT51" i="39"/>
  <c r="AV61" i="39"/>
  <c r="AV79" i="39"/>
  <c r="AV23" i="39"/>
  <c r="AT95" i="39"/>
  <c r="AV63" i="39"/>
  <c r="AU66" i="39"/>
  <c r="AV11" i="39"/>
  <c r="AU72" i="39"/>
  <c r="AT63" i="39"/>
  <c r="AV71" i="39"/>
  <c r="AV55" i="39"/>
  <c r="AB14" i="18"/>
  <c r="K104" i="17"/>
  <c r="AQ111" i="39" s="1"/>
  <c r="AB15" i="17"/>
  <c r="V47" i="39"/>
  <c r="T70" i="39"/>
  <c r="U70" i="39"/>
  <c r="AN16" i="39"/>
  <c r="AN63" i="39"/>
  <c r="AP18" i="39"/>
  <c r="AP70" i="39"/>
  <c r="AO87" i="39"/>
  <c r="AN57" i="39"/>
  <c r="AN47" i="39"/>
  <c r="AN15" i="39"/>
  <c r="AO100" i="39"/>
  <c r="AO44" i="39"/>
  <c r="AP19" i="39"/>
  <c r="AN12" i="39"/>
  <c r="AN10" i="39"/>
  <c r="AP82" i="39"/>
  <c r="AP98" i="39"/>
  <c r="AO73" i="39"/>
  <c r="AP40" i="39"/>
  <c r="AN66" i="39"/>
  <c r="AN30" i="39"/>
  <c r="AN92" i="39"/>
  <c r="AP22" i="39"/>
  <c r="AN88" i="39"/>
  <c r="AN70" i="39"/>
  <c r="AP46" i="39"/>
  <c r="AN14" i="39"/>
  <c r="AP71" i="39"/>
  <c r="AP74" i="39"/>
  <c r="AP87" i="39"/>
  <c r="AN98" i="39"/>
  <c r="AN48" i="39"/>
  <c r="AN55" i="39"/>
  <c r="AP79" i="39"/>
  <c r="AN82" i="39"/>
  <c r="AP92" i="39"/>
  <c r="AN60" i="39"/>
  <c r="AP68" i="39"/>
  <c r="AN39" i="39"/>
  <c r="AP73" i="39"/>
  <c r="AP84" i="39"/>
  <c r="AN62" i="39"/>
  <c r="AO61" i="39"/>
  <c r="AP33" i="39"/>
  <c r="AO64" i="39"/>
  <c r="AN44" i="39"/>
  <c r="AN32" i="39"/>
  <c r="AN27" i="39"/>
  <c r="AN58" i="39"/>
  <c r="AP72" i="39"/>
  <c r="AP43" i="39"/>
  <c r="AP90" i="39"/>
  <c r="AN72" i="39"/>
  <c r="AP80" i="39"/>
  <c r="AO23" i="39"/>
  <c r="AN100" i="39"/>
  <c r="AN76" i="39"/>
  <c r="AP75" i="39"/>
  <c r="AP50" i="39"/>
  <c r="V97" i="39"/>
  <c r="AN11" i="39"/>
  <c r="AN75" i="39"/>
  <c r="AN38" i="39"/>
  <c r="AP26" i="39"/>
  <c r="AN31" i="39"/>
  <c r="AO90" i="39"/>
  <c r="AN79" i="39"/>
  <c r="AO80" i="39"/>
  <c r="AP56" i="39"/>
  <c r="AN85" i="39"/>
  <c r="AO99" i="39"/>
  <c r="W82" i="39"/>
  <c r="X97" i="39"/>
  <c r="AN28" i="39"/>
  <c r="AN42" i="39"/>
  <c r="AN51" i="39"/>
  <c r="AO31" i="39"/>
  <c r="AO35" i="39"/>
  <c r="AO82" i="39"/>
  <c r="AN35" i="39"/>
  <c r="AP88" i="39"/>
  <c r="AN68" i="39"/>
  <c r="AP85" i="39"/>
  <c r="AP76" i="39"/>
  <c r="AP95" i="39"/>
  <c r="AP99" i="39"/>
  <c r="AP97" i="39"/>
  <c r="AO84" i="39"/>
  <c r="AN59" i="39"/>
  <c r="AN95" i="39"/>
  <c r="AP24" i="39"/>
  <c r="AO96" i="39"/>
  <c r="AN64" i="39"/>
  <c r="AP25" i="39"/>
  <c r="AO94" i="39"/>
  <c r="AP36" i="39"/>
  <c r="AP17" i="39"/>
  <c r="AN41" i="39"/>
  <c r="AP54" i="39"/>
  <c r="T72" i="39"/>
  <c r="U82" i="39"/>
  <c r="AN21" i="39"/>
  <c r="AN49" i="39"/>
  <c r="AN61" i="39"/>
  <c r="AP53" i="39"/>
  <c r="AP39" i="39"/>
  <c r="AP59" i="39"/>
  <c r="AN52" i="39"/>
  <c r="AN96" i="39"/>
  <c r="AP93" i="39"/>
  <c r="AN23" i="39"/>
  <c r="AN93" i="39"/>
  <c r="W30" i="39"/>
  <c r="U64" i="39"/>
  <c r="S42" i="39"/>
  <c r="W75" i="39"/>
  <c r="AN65" i="39"/>
  <c r="AN37" i="39"/>
  <c r="AP45" i="39"/>
  <c r="AN97" i="39"/>
  <c r="AO45" i="39"/>
  <c r="AN94" i="39"/>
  <c r="AN13" i="39"/>
  <c r="AN29" i="39"/>
  <c r="AP52" i="39"/>
  <c r="G46" i="5"/>
  <c r="F21" i="15"/>
  <c r="G64" i="15"/>
  <c r="F41" i="16"/>
  <c r="F42" i="16"/>
  <c r="F47" i="15"/>
  <c r="F21" i="16"/>
  <c r="F16" i="16"/>
  <c r="F56" i="16"/>
  <c r="F76" i="16"/>
  <c r="F70" i="16"/>
  <c r="F71" i="16"/>
  <c r="F45" i="42"/>
  <c r="G90" i="15"/>
  <c r="G73" i="15"/>
  <c r="F37" i="15"/>
  <c r="G44" i="15"/>
  <c r="G28" i="15"/>
  <c r="G52" i="15"/>
  <c r="F50" i="15"/>
  <c r="G62" i="15"/>
  <c r="G53" i="15"/>
  <c r="F25" i="15"/>
  <c r="G49" i="15"/>
  <c r="G84" i="15"/>
  <c r="G24" i="15"/>
  <c r="F73" i="15"/>
  <c r="G38" i="15"/>
  <c r="G27" i="15"/>
  <c r="F28" i="15"/>
  <c r="G87" i="15"/>
  <c r="G75" i="15"/>
  <c r="F38" i="15"/>
  <c r="F27" i="15"/>
  <c r="G29" i="15"/>
  <c r="G36" i="15"/>
  <c r="F31" i="15"/>
  <c r="G45" i="15"/>
  <c r="G16" i="15"/>
  <c r="G83" i="15"/>
  <c r="G21" i="15"/>
  <c r="G70" i="15"/>
  <c r="G68" i="15"/>
  <c r="F36" i="15"/>
  <c r="G59" i="15"/>
  <c r="F49" i="15"/>
  <c r="G79" i="15"/>
  <c r="G74" i="15"/>
  <c r="G66" i="15"/>
  <c r="F59" i="15"/>
  <c r="G12" i="15"/>
  <c r="G88" i="15"/>
  <c r="G86" i="15"/>
  <c r="G11" i="15"/>
  <c r="F79" i="15"/>
  <c r="F66" i="15"/>
  <c r="F40" i="15"/>
  <c r="G31" i="15"/>
  <c r="G76" i="15"/>
  <c r="F72" i="15"/>
  <c r="F58" i="15"/>
  <c r="G50" i="15"/>
  <c r="G41" i="15"/>
  <c r="G80" i="15"/>
  <c r="F75" i="15"/>
  <c r="G67" i="15"/>
  <c r="G63" i="15"/>
  <c r="F53" i="15"/>
  <c r="F51" i="16"/>
  <c r="F72" i="16"/>
  <c r="F39" i="16"/>
  <c r="F35" i="16"/>
  <c r="F44" i="16"/>
  <c r="F58" i="16"/>
  <c r="F79" i="16"/>
  <c r="F17" i="16"/>
  <c r="F36" i="16"/>
  <c r="F16" i="15"/>
  <c r="F80" i="15"/>
  <c r="F19" i="15"/>
  <c r="F18" i="15"/>
  <c r="F87" i="15"/>
  <c r="F22" i="15"/>
  <c r="G58" i="15"/>
  <c r="G64" i="16"/>
  <c r="G33" i="16"/>
  <c r="G47" i="15"/>
  <c r="G39" i="16"/>
  <c r="G67" i="16"/>
  <c r="G23" i="15"/>
  <c r="G44" i="16"/>
  <c r="G52" i="16"/>
  <c r="F56" i="15"/>
  <c r="G82" i="15"/>
  <c r="G60" i="15"/>
  <c r="G49" i="16"/>
  <c r="G48" i="16"/>
  <c r="G66" i="16"/>
  <c r="F59" i="16"/>
  <c r="F53" i="16"/>
  <c r="F75" i="16"/>
  <c r="F22" i="16"/>
  <c r="F26" i="16"/>
  <c r="F60" i="16"/>
  <c r="F81" i="16"/>
  <c r="F27" i="16"/>
  <c r="F88" i="16"/>
  <c r="F81" i="15"/>
  <c r="F90" i="15"/>
  <c r="F64" i="15"/>
  <c r="F52" i="15"/>
  <c r="G10" i="15"/>
  <c r="G48" i="15"/>
  <c r="G53" i="16"/>
  <c r="G31" i="16"/>
  <c r="G87" i="16"/>
  <c r="G43" i="15"/>
  <c r="G22" i="16"/>
  <c r="G35" i="15"/>
  <c r="G25" i="15"/>
  <c r="G43" i="16"/>
  <c r="G15" i="15"/>
  <c r="G18" i="15"/>
  <c r="G32" i="15"/>
  <c r="G14" i="16"/>
  <c r="G17" i="16"/>
  <c r="G13" i="16"/>
  <c r="F13" i="16"/>
  <c r="F57" i="16"/>
  <c r="F78" i="16"/>
  <c r="F19" i="16"/>
  <c r="F25" i="16"/>
  <c r="F43" i="16"/>
  <c r="F63" i="16"/>
  <c r="F83" i="16"/>
  <c r="F29" i="16"/>
  <c r="F10" i="16"/>
  <c r="F29" i="15"/>
  <c r="F42" i="15"/>
  <c r="F45" i="15"/>
  <c r="F17" i="15"/>
  <c r="F44" i="15"/>
  <c r="F14" i="15"/>
  <c r="F65" i="15"/>
  <c r="F24" i="15"/>
  <c r="G57" i="15"/>
  <c r="G85" i="15"/>
  <c r="G15" i="16"/>
  <c r="G45" i="16"/>
  <c r="F23" i="16"/>
  <c r="G78" i="16"/>
  <c r="G30" i="15"/>
  <c r="G35" i="16"/>
  <c r="G54" i="15"/>
  <c r="G74" i="16"/>
  <c r="G54" i="16"/>
  <c r="G89" i="15"/>
  <c r="G61" i="15"/>
  <c r="G46" i="15"/>
  <c r="G71" i="16"/>
  <c r="G34" i="16"/>
  <c r="G36" i="16"/>
  <c r="F62" i="16"/>
  <c r="F28" i="16"/>
  <c r="F80" i="16"/>
  <c r="F54" i="16"/>
  <c r="F14" i="16"/>
  <c r="F46" i="16"/>
  <c r="F65" i="16"/>
  <c r="F86" i="16"/>
  <c r="F33" i="16"/>
  <c r="F32" i="16"/>
  <c r="F88" i="15"/>
  <c r="F69" i="15"/>
  <c r="F48" i="15"/>
  <c r="F43" i="15"/>
  <c r="F39" i="15"/>
  <c r="F62" i="15"/>
  <c r="F35" i="15"/>
  <c r="F60" i="15"/>
  <c r="F23" i="15"/>
  <c r="F32" i="15"/>
  <c r="F77" i="15"/>
  <c r="G33" i="15"/>
  <c r="G79" i="16"/>
  <c r="G83" i="16"/>
  <c r="G39" i="15"/>
  <c r="G68" i="16"/>
  <c r="F57" i="15"/>
  <c r="G62" i="16"/>
  <c r="G76" i="16"/>
  <c r="G72" i="16"/>
  <c r="G77" i="16"/>
  <c r="G13" i="15"/>
  <c r="F12" i="15"/>
  <c r="G40" i="15"/>
  <c r="G21" i="16"/>
  <c r="G70" i="16"/>
  <c r="G82" i="16"/>
  <c r="F61" i="16"/>
  <c r="F82" i="16"/>
  <c r="F67" i="16"/>
  <c r="F48" i="16"/>
  <c r="F69" i="16"/>
  <c r="F15" i="16"/>
  <c r="F55" i="16"/>
  <c r="F31" i="16"/>
  <c r="F68" i="15"/>
  <c r="F54" i="15"/>
  <c r="F33" i="15"/>
  <c r="F10" i="15"/>
  <c r="F63" i="15"/>
  <c r="F11" i="15"/>
  <c r="F76" i="15"/>
  <c r="G78" i="15"/>
  <c r="G69" i="16"/>
  <c r="G63" i="16"/>
  <c r="G81" i="15"/>
  <c r="G57" i="16"/>
  <c r="G86" i="16"/>
  <c r="G30" i="16"/>
  <c r="G56" i="16"/>
  <c r="G51" i="16"/>
  <c r="G12" i="16"/>
  <c r="G55" i="15"/>
  <c r="G40" i="16"/>
  <c r="G90" i="16"/>
  <c r="G84" i="16"/>
  <c r="G10" i="16"/>
  <c r="G41" i="16"/>
  <c r="G45" i="13"/>
  <c r="F45" i="16"/>
  <c r="F64" i="16"/>
  <c r="F85" i="16"/>
  <c r="F89" i="16"/>
  <c r="F20" i="16"/>
  <c r="F50" i="16"/>
  <c r="F11" i="16"/>
  <c r="F77" i="16"/>
  <c r="F73" i="16"/>
  <c r="F30" i="16"/>
  <c r="F84" i="16"/>
  <c r="F78" i="15"/>
  <c r="F34" i="15"/>
  <c r="F71" i="15"/>
  <c r="F89" i="15"/>
  <c r="F74" i="15"/>
  <c r="F15" i="15"/>
  <c r="F41" i="15"/>
  <c r="F30" i="15"/>
  <c r="G23" i="16"/>
  <c r="G72" i="15"/>
  <c r="G58" i="16"/>
  <c r="G25" i="16"/>
  <c r="G71" i="15"/>
  <c r="G47" i="16"/>
  <c r="G65" i="16"/>
  <c r="G50" i="16"/>
  <c r="G16" i="16"/>
  <c r="G81" i="16"/>
  <c r="G32" i="16"/>
  <c r="G51" i="15"/>
  <c r="G69" i="15"/>
  <c r="G80" i="16"/>
  <c r="G89" i="16"/>
  <c r="G91" i="15"/>
  <c r="G88" i="16"/>
  <c r="G78" i="5"/>
  <c r="F47" i="16"/>
  <c r="F68" i="16"/>
  <c r="F87" i="16"/>
  <c r="F34" i="16"/>
  <c r="F24" i="16"/>
  <c r="F52" i="16"/>
  <c r="F74" i="16"/>
  <c r="F37" i="16"/>
  <c r="F12" i="16"/>
  <c r="F67" i="15"/>
  <c r="F70" i="15"/>
  <c r="F46" i="15"/>
  <c r="F91" i="15"/>
  <c r="F84" i="15"/>
  <c r="F83" i="15"/>
  <c r="F85" i="15"/>
  <c r="F66" i="16"/>
  <c r="G29" i="16"/>
  <c r="G61" i="16"/>
  <c r="G14" i="15"/>
  <c r="G26" i="16"/>
  <c r="G46" i="16"/>
  <c r="G73" i="16"/>
  <c r="G24" i="16"/>
  <c r="G77" i="15"/>
  <c r="G20" i="16"/>
  <c r="G11" i="16"/>
  <c r="G34" i="15"/>
  <c r="G38" i="16"/>
  <c r="G42" i="16"/>
  <c r="G22" i="15"/>
  <c r="G18" i="16"/>
  <c r="G59" i="13"/>
  <c r="F49" i="16"/>
  <c r="F38" i="16"/>
  <c r="F90" i="16"/>
  <c r="F18" i="16"/>
  <c r="F13" i="15"/>
  <c r="F55" i="15"/>
  <c r="F61" i="15"/>
  <c r="F86" i="15"/>
  <c r="G56" i="15"/>
  <c r="F26" i="15"/>
  <c r="F82" i="15"/>
  <c r="F51" i="15"/>
  <c r="G19" i="15"/>
  <c r="G85" i="16"/>
  <c r="G59" i="16"/>
  <c r="G37" i="15"/>
  <c r="G19" i="16"/>
  <c r="G27" i="16"/>
  <c r="G55" i="16"/>
  <c r="G75" i="16"/>
  <c r="G37" i="16"/>
  <c r="G26" i="15"/>
  <c r="G42" i="15"/>
  <c r="G65" i="15"/>
  <c r="G28" i="16"/>
  <c r="F45" i="13"/>
  <c r="G17" i="15"/>
  <c r="G60" i="16"/>
  <c r="K104" i="15"/>
  <c r="AN111" i="39" s="1"/>
  <c r="W22" i="39"/>
  <c r="AM22" i="39"/>
  <c r="AK22" i="39"/>
  <c r="AK10" i="39"/>
  <c r="AM10" i="39"/>
  <c r="AK16" i="39"/>
  <c r="AM16" i="39"/>
  <c r="AL57" i="39"/>
  <c r="AK57" i="39"/>
  <c r="AM57" i="39"/>
  <c r="AL68" i="39"/>
  <c r="AK68" i="39"/>
  <c r="AM68" i="39"/>
  <c r="AM61" i="39"/>
  <c r="AL61" i="39"/>
  <c r="AK61" i="39"/>
  <c r="AM29" i="39"/>
  <c r="AK29" i="39"/>
  <c r="AL88" i="39"/>
  <c r="AM88" i="39"/>
  <c r="AK88" i="39"/>
  <c r="X84" i="39"/>
  <c r="AM84" i="39"/>
  <c r="AL84" i="39"/>
  <c r="AK84" i="39"/>
  <c r="U29" i="39"/>
  <c r="AM14" i="39"/>
  <c r="AL14" i="39"/>
  <c r="AK14" i="39"/>
  <c r="AK46" i="39"/>
  <c r="AM46" i="39"/>
  <c r="AM55" i="39"/>
  <c r="AK55" i="39"/>
  <c r="AK50" i="39"/>
  <c r="AM50" i="39"/>
  <c r="AM37" i="39"/>
  <c r="AK37" i="39"/>
  <c r="AL92" i="39"/>
  <c r="AK92" i="39"/>
  <c r="AM92" i="39"/>
  <c r="AM74" i="39"/>
  <c r="AK74" i="39"/>
  <c r="AL74" i="39"/>
  <c r="AM66" i="39"/>
  <c r="AK66" i="39"/>
  <c r="AL66" i="39"/>
  <c r="AL39" i="39"/>
  <c r="AK39" i="39"/>
  <c r="AM39" i="39"/>
  <c r="AK24" i="39"/>
  <c r="AM24" i="39"/>
  <c r="AM21" i="39"/>
  <c r="AK21" i="39"/>
  <c r="AK42" i="39"/>
  <c r="AM42" i="39"/>
  <c r="S17" i="39"/>
  <c r="AM17" i="39"/>
  <c r="AK17" i="39"/>
  <c r="AL17" i="39"/>
  <c r="AL35" i="39"/>
  <c r="AK35" i="39"/>
  <c r="AM35" i="39"/>
  <c r="AK85" i="39"/>
  <c r="AL85" i="39"/>
  <c r="AM85" i="39"/>
  <c r="AM31" i="39"/>
  <c r="AL31" i="39"/>
  <c r="AK31" i="39"/>
  <c r="AK95" i="39"/>
  <c r="AL95" i="39"/>
  <c r="AM95" i="39"/>
  <c r="AK76" i="39"/>
  <c r="AL76" i="39"/>
  <c r="AM76" i="39"/>
  <c r="AK71" i="39"/>
  <c r="AL71" i="39"/>
  <c r="AM71" i="39"/>
  <c r="AL32" i="39"/>
  <c r="AK32" i="39"/>
  <c r="AM32" i="39"/>
  <c r="AL48" i="39"/>
  <c r="AK48" i="39"/>
  <c r="AM48" i="39"/>
  <c r="AM64" i="39"/>
  <c r="AL64" i="39"/>
  <c r="AK64" i="39"/>
  <c r="AK43" i="39"/>
  <c r="AM43" i="39"/>
  <c r="AM65" i="39"/>
  <c r="AL65" i="39"/>
  <c r="AK65" i="39"/>
  <c r="AM80" i="39"/>
  <c r="AK80" i="39"/>
  <c r="AL80" i="39"/>
  <c r="AL94" i="39"/>
  <c r="AK94" i="39"/>
  <c r="AM94" i="39"/>
  <c r="AL96" i="39"/>
  <c r="AM96" i="39"/>
  <c r="AK96" i="39"/>
  <c r="AK49" i="39"/>
  <c r="AL49" i="39"/>
  <c r="AM49" i="39"/>
  <c r="AK44" i="39"/>
  <c r="AM44" i="39"/>
  <c r="S88" i="39"/>
  <c r="AM15" i="39"/>
  <c r="AL15" i="39"/>
  <c r="AK15" i="39"/>
  <c r="AM30" i="39"/>
  <c r="AK30" i="39"/>
  <c r="AM18" i="39"/>
  <c r="AK18" i="39"/>
  <c r="AK45" i="39"/>
  <c r="AL45" i="39"/>
  <c r="AM45" i="39"/>
  <c r="AK60" i="39"/>
  <c r="AM60" i="39"/>
  <c r="AL73" i="39"/>
  <c r="AK73" i="39"/>
  <c r="AM73" i="39"/>
  <c r="AL47" i="39"/>
  <c r="AK47" i="39"/>
  <c r="AM47" i="39"/>
  <c r="AL63" i="39"/>
  <c r="AK63" i="39"/>
  <c r="AM63" i="39"/>
  <c r="AM70" i="39"/>
  <c r="AL70" i="39"/>
  <c r="AK70" i="39"/>
  <c r="AL90" i="39"/>
  <c r="AM90" i="39"/>
  <c r="AK90" i="39"/>
  <c r="AL28" i="39"/>
  <c r="AK28" i="39"/>
  <c r="AM28" i="39"/>
  <c r="W84" i="39"/>
  <c r="S45" i="39"/>
  <c r="V22" i="39"/>
  <c r="S70" i="39"/>
  <c r="AM13" i="39"/>
  <c r="AL13" i="39"/>
  <c r="AK13" i="39"/>
  <c r="AK11" i="39"/>
  <c r="AM11" i="39"/>
  <c r="AL58" i="39"/>
  <c r="AK58" i="39"/>
  <c r="AM58" i="39"/>
  <c r="AM51" i="39"/>
  <c r="AK51" i="39"/>
  <c r="AM54" i="39"/>
  <c r="AK54" i="39"/>
  <c r="AL54" i="39"/>
  <c r="AM56" i="39"/>
  <c r="AL56" i="39"/>
  <c r="AK56" i="39"/>
  <c r="AM59" i="39"/>
  <c r="AK59" i="39"/>
  <c r="AL59" i="39"/>
  <c r="AM97" i="39"/>
  <c r="AL97" i="39"/>
  <c r="AK97" i="39"/>
  <c r="AL99" i="39"/>
  <c r="AK99" i="39"/>
  <c r="AM99" i="39"/>
  <c r="AM52" i="39"/>
  <c r="AL52" i="39"/>
  <c r="AK52" i="39"/>
  <c r="AM75" i="39"/>
  <c r="AL75" i="39"/>
  <c r="AK75" i="39"/>
  <c r="U45" i="39"/>
  <c r="V63" i="39"/>
  <c r="X22" i="39"/>
  <c r="AM27" i="39"/>
  <c r="AK27" i="39"/>
  <c r="AK25" i="39"/>
  <c r="AM25" i="39"/>
  <c r="AK26" i="39"/>
  <c r="AM26" i="39"/>
  <c r="AK38" i="39"/>
  <c r="AM38" i="39"/>
  <c r="AK41" i="39"/>
  <c r="AM41" i="39"/>
  <c r="AM23" i="39"/>
  <c r="AK23" i="39"/>
  <c r="AL23" i="39"/>
  <c r="AM82" i="39"/>
  <c r="AK82" i="39"/>
  <c r="AL82" i="39"/>
  <c r="S72" i="39"/>
  <c r="AM72" i="39"/>
  <c r="AK72" i="39"/>
  <c r="AL72" i="39"/>
  <c r="AL79" i="39"/>
  <c r="AK79" i="39"/>
  <c r="AM79" i="39"/>
  <c r="AM100" i="39"/>
  <c r="AK100" i="39"/>
  <c r="AL100" i="39"/>
  <c r="W94" i="39"/>
  <c r="V29" i="39"/>
  <c r="V60" i="39"/>
  <c r="S22" i="39"/>
  <c r="V42" i="39"/>
  <c r="AM12" i="39"/>
  <c r="AK12" i="39"/>
  <c r="AM19" i="39"/>
  <c r="AK19" i="39"/>
  <c r="AM33" i="39"/>
  <c r="AK33" i="39"/>
  <c r="AK36" i="39"/>
  <c r="AM36" i="39"/>
  <c r="AM53" i="39"/>
  <c r="AK53" i="39"/>
  <c r="AL53" i="39"/>
  <c r="AK62" i="39"/>
  <c r="AM62" i="39"/>
  <c r="AK93" i="39"/>
  <c r="AM93" i="39"/>
  <c r="AL93" i="39"/>
  <c r="AL87" i="39"/>
  <c r="AM87" i="39"/>
  <c r="AK87" i="39"/>
  <c r="S98" i="39"/>
  <c r="AK98" i="39"/>
  <c r="AL98" i="39"/>
  <c r="AM98" i="39"/>
  <c r="AM40" i="39"/>
  <c r="AK40" i="39"/>
  <c r="U98" i="39"/>
  <c r="W72" i="39"/>
  <c r="AO18" i="39"/>
  <c r="AB14" i="15"/>
  <c r="AB15" i="16"/>
  <c r="Y13" i="39"/>
  <c r="AJ13" i="39"/>
  <c r="AI13" i="39"/>
  <c r="AH13" i="39"/>
  <c r="U19" i="39"/>
  <c r="AJ19" i="39"/>
  <c r="AA55" i="39"/>
  <c r="AJ55" i="39"/>
  <c r="AA43" i="39"/>
  <c r="AJ43" i="39"/>
  <c r="AI43" i="39"/>
  <c r="AH43" i="39"/>
  <c r="U54" i="39"/>
  <c r="AJ54" i="39"/>
  <c r="AA56" i="39"/>
  <c r="AH56" i="39"/>
  <c r="AJ56" i="39"/>
  <c r="AI56" i="39"/>
  <c r="V87" i="39"/>
  <c r="AJ87" i="39"/>
  <c r="AH87" i="39"/>
  <c r="AI87" i="39"/>
  <c r="V39" i="39"/>
  <c r="AH39" i="39"/>
  <c r="AJ39" i="39"/>
  <c r="AI39" i="39"/>
  <c r="Z27" i="39"/>
  <c r="AH27" i="39"/>
  <c r="AJ27" i="39"/>
  <c r="AI27" i="39"/>
  <c r="AJ16" i="39"/>
  <c r="AA17" i="39"/>
  <c r="AI17" i="39"/>
  <c r="AH17" i="39"/>
  <c r="AJ17" i="39"/>
  <c r="AA45" i="39"/>
  <c r="AH45" i="39"/>
  <c r="AJ45" i="39"/>
  <c r="AI45" i="39"/>
  <c r="AI23" i="39"/>
  <c r="AJ23" i="39"/>
  <c r="AH23" i="39"/>
  <c r="X82" i="39"/>
  <c r="AH82" i="39"/>
  <c r="AJ82" i="39"/>
  <c r="AI82" i="39"/>
  <c r="AA22" i="39"/>
  <c r="AH22" i="39"/>
  <c r="AJ22" i="39"/>
  <c r="AI22" i="39"/>
  <c r="T76" i="39"/>
  <c r="AJ76" i="39"/>
  <c r="AI76" i="39"/>
  <c r="AH76" i="39"/>
  <c r="AA49" i="39"/>
  <c r="AJ49" i="39"/>
  <c r="S46" i="39"/>
  <c r="AJ46" i="39"/>
  <c r="AA51" i="39"/>
  <c r="AJ51" i="39"/>
  <c r="AA66" i="39"/>
  <c r="AJ66" i="39"/>
  <c r="W39" i="39"/>
  <c r="X49" i="39"/>
  <c r="V56" i="39"/>
  <c r="Z10" i="39"/>
  <c r="AJ10" i="39"/>
  <c r="AA42" i="39"/>
  <c r="AJ42" i="39"/>
  <c r="AA18" i="39"/>
  <c r="AJ18" i="39"/>
  <c r="AA41" i="39"/>
  <c r="AJ41" i="39"/>
  <c r="AA88" i="39"/>
  <c r="AJ88" i="39"/>
  <c r="AH88" i="39"/>
  <c r="AI88" i="39"/>
  <c r="Y95" i="39"/>
  <c r="AH95" i="39"/>
  <c r="AJ95" i="39"/>
  <c r="AI95" i="39"/>
  <c r="AA70" i="39"/>
  <c r="AI70" i="39"/>
  <c r="AJ70" i="39"/>
  <c r="AH70" i="39"/>
  <c r="T52" i="39"/>
  <c r="AJ52" i="39"/>
  <c r="AI52" i="39"/>
  <c r="AH52" i="39"/>
  <c r="AA44" i="39"/>
  <c r="AJ44" i="39"/>
  <c r="AH44" i="39"/>
  <c r="AI44" i="39"/>
  <c r="X87" i="39"/>
  <c r="X55" i="39"/>
  <c r="X56" i="39"/>
  <c r="AA14" i="39"/>
  <c r="AJ14" i="39"/>
  <c r="AA48" i="39"/>
  <c r="AJ48" i="39"/>
  <c r="AJ53" i="39"/>
  <c r="Y62" i="39"/>
  <c r="AJ62" i="39"/>
  <c r="Z74" i="39"/>
  <c r="AI74" i="39"/>
  <c r="AH74" i="39"/>
  <c r="AJ74" i="39"/>
  <c r="Z96" i="39"/>
  <c r="AJ96" i="39"/>
  <c r="AI96" i="39"/>
  <c r="AH96" i="39"/>
  <c r="Z99" i="39"/>
  <c r="AJ99" i="39"/>
  <c r="AI99" i="39"/>
  <c r="AH99" i="39"/>
  <c r="X90" i="39"/>
  <c r="AJ90" i="39"/>
  <c r="AI90" i="39"/>
  <c r="AH90" i="39"/>
  <c r="AA12" i="39"/>
  <c r="AJ12" i="39"/>
  <c r="W93" i="39"/>
  <c r="AJ93" i="39"/>
  <c r="AI93" i="39"/>
  <c r="AH93" i="39"/>
  <c r="W56" i="39"/>
  <c r="S87" i="39"/>
  <c r="S55" i="39"/>
  <c r="T56" i="39"/>
  <c r="V55" i="39"/>
  <c r="AJ21" i="39"/>
  <c r="AA30" i="39"/>
  <c r="AJ30" i="39"/>
  <c r="AA38" i="39"/>
  <c r="AJ38" i="39"/>
  <c r="X61" i="39"/>
  <c r="AI61" i="39"/>
  <c r="AH61" i="39"/>
  <c r="AJ61" i="39"/>
  <c r="AA29" i="39"/>
  <c r="AH29" i="39"/>
  <c r="AJ29" i="39"/>
  <c r="AI29" i="39"/>
  <c r="W31" i="39"/>
  <c r="AH31" i="39"/>
  <c r="AJ31" i="39"/>
  <c r="AI31" i="39"/>
  <c r="AA63" i="39"/>
  <c r="AJ63" i="39"/>
  <c r="AA100" i="39"/>
  <c r="AJ100" i="39"/>
  <c r="AI100" i="39"/>
  <c r="AH100" i="39"/>
  <c r="AB90" i="39"/>
  <c r="AA64" i="39"/>
  <c r="AI64" i="39"/>
  <c r="AH64" i="39"/>
  <c r="AJ64" i="39"/>
  <c r="U56" i="39"/>
  <c r="AA32" i="39"/>
  <c r="AJ32" i="39"/>
  <c r="AA58" i="39"/>
  <c r="AJ58" i="39"/>
  <c r="AJ36" i="39"/>
  <c r="AA37" i="39"/>
  <c r="AJ37" i="39"/>
  <c r="Y92" i="39"/>
  <c r="AJ92" i="39"/>
  <c r="AI92" i="39"/>
  <c r="AH92" i="39"/>
  <c r="Y94" i="39"/>
  <c r="AJ94" i="39"/>
  <c r="AI94" i="39"/>
  <c r="AH94" i="39"/>
  <c r="Y97" i="39"/>
  <c r="AJ97" i="39"/>
  <c r="AH97" i="39"/>
  <c r="AI97" i="39"/>
  <c r="W40" i="39"/>
  <c r="AI40" i="39"/>
  <c r="AH40" i="39"/>
  <c r="AJ40" i="39"/>
  <c r="Y75" i="39"/>
  <c r="AJ75" i="39"/>
  <c r="V12" i="39"/>
  <c r="X12" i="39"/>
  <c r="S92" i="39"/>
  <c r="S56" i="39"/>
  <c r="T82" i="39"/>
  <c r="AA24" i="39"/>
  <c r="AJ24" i="39"/>
  <c r="AA28" i="39"/>
  <c r="AJ28" i="39"/>
  <c r="AA26" i="39"/>
  <c r="AJ26" i="39"/>
  <c r="AA68" i="39"/>
  <c r="AJ68" i="39"/>
  <c r="AI68" i="39"/>
  <c r="AH68" i="39"/>
  <c r="AA35" i="39"/>
  <c r="AJ35" i="39"/>
  <c r="AI35" i="39"/>
  <c r="AH35" i="39"/>
  <c r="AA85" i="39"/>
  <c r="AJ85" i="39"/>
  <c r="AI85" i="39"/>
  <c r="AH85" i="39"/>
  <c r="AA47" i="39"/>
  <c r="AI47" i="39"/>
  <c r="AH47" i="39"/>
  <c r="AJ47" i="39"/>
  <c r="AA79" i="39"/>
  <c r="AI79" i="39"/>
  <c r="AH79" i="39"/>
  <c r="AJ79" i="39"/>
  <c r="U12" i="39"/>
  <c r="X19" i="39"/>
  <c r="V40" i="39"/>
  <c r="Y71" i="39"/>
  <c r="AJ71" i="39"/>
  <c r="AI71" i="39"/>
  <c r="AH71" i="39"/>
  <c r="AA11" i="39"/>
  <c r="AJ11" i="39"/>
  <c r="U33" i="39"/>
  <c r="AJ33" i="39"/>
  <c r="X50" i="39"/>
  <c r="AJ50" i="39"/>
  <c r="U65" i="39"/>
  <c r="AJ65" i="39"/>
  <c r="AA80" i="39"/>
  <c r="AJ80" i="39"/>
  <c r="AI80" i="39"/>
  <c r="AH80" i="39"/>
  <c r="U59" i="39"/>
  <c r="AJ59" i="39"/>
  <c r="AH59" i="39"/>
  <c r="AI59" i="39"/>
  <c r="AA98" i="39"/>
  <c r="AI98" i="39"/>
  <c r="AH98" i="39"/>
  <c r="AJ98" i="39"/>
  <c r="S19" i="39"/>
  <c r="AA15" i="39"/>
  <c r="AJ15" i="39"/>
  <c r="AI15" i="39"/>
  <c r="AH15" i="39"/>
  <c r="AA25" i="39"/>
  <c r="AJ25" i="39"/>
  <c r="AA57" i="39"/>
  <c r="AJ57" i="39"/>
  <c r="AA60" i="39"/>
  <c r="AJ60" i="39"/>
  <c r="AA73" i="39"/>
  <c r="AH73" i="39"/>
  <c r="AJ73" i="39"/>
  <c r="AI73" i="39"/>
  <c r="Z72" i="39"/>
  <c r="AJ72" i="39"/>
  <c r="AI72" i="39"/>
  <c r="AH72" i="39"/>
  <c r="Z84" i="39"/>
  <c r="AJ84" i="39"/>
  <c r="AI84" i="39"/>
  <c r="AH84" i="39"/>
  <c r="M36" i="13"/>
  <c r="AH54" i="39" s="1"/>
  <c r="M23" i="13"/>
  <c r="AH49" i="39" s="1"/>
  <c r="M35" i="13"/>
  <c r="AH58" i="39" s="1"/>
  <c r="M45" i="13"/>
  <c r="AH67" i="39" s="1"/>
  <c r="J67" i="39" s="1"/>
  <c r="M29" i="13"/>
  <c r="AH46" i="39" s="1"/>
  <c r="J68" i="3"/>
  <c r="J32" i="3"/>
  <c r="F34" i="13"/>
  <c r="G33" i="13"/>
  <c r="G54" i="13"/>
  <c r="G65" i="13"/>
  <c r="G78" i="13"/>
  <c r="G90" i="13"/>
  <c r="G33" i="41"/>
  <c r="G13" i="13"/>
  <c r="G16" i="13"/>
  <c r="F27" i="13"/>
  <c r="G31" i="13"/>
  <c r="F70" i="13"/>
  <c r="G40" i="13"/>
  <c r="G43" i="13"/>
  <c r="G75" i="13"/>
  <c r="G58" i="13"/>
  <c r="G67" i="13"/>
  <c r="G80" i="13"/>
  <c r="G13" i="5"/>
  <c r="G70" i="7"/>
  <c r="F13" i="13"/>
  <c r="G76" i="13"/>
  <c r="G15" i="13"/>
  <c r="F59" i="13"/>
  <c r="G69" i="13"/>
  <c r="G81" i="13"/>
  <c r="F75" i="13"/>
  <c r="G12" i="13"/>
  <c r="G55" i="13"/>
  <c r="G39" i="13"/>
  <c r="G32" i="13"/>
  <c r="G22" i="13"/>
  <c r="G25" i="13"/>
  <c r="G11" i="13"/>
  <c r="G48" i="13"/>
  <c r="G29" i="13"/>
  <c r="G21" i="13"/>
  <c r="G60" i="13"/>
  <c r="G71" i="13"/>
  <c r="G82" i="13"/>
  <c r="G18" i="13"/>
  <c r="G19" i="13"/>
  <c r="G79" i="13"/>
  <c r="G83" i="13"/>
  <c r="G37" i="13"/>
  <c r="G42" i="13"/>
  <c r="G24" i="13"/>
  <c r="G56" i="13"/>
  <c r="G68" i="13"/>
  <c r="G62" i="13"/>
  <c r="G35" i="13"/>
  <c r="G84" i="13"/>
  <c r="G86" i="13"/>
  <c r="F19" i="13"/>
  <c r="G26" i="13"/>
  <c r="F62" i="13"/>
  <c r="F36" i="13"/>
  <c r="G85" i="13"/>
  <c r="G50" i="13"/>
  <c r="G20" i="13"/>
  <c r="G89" i="13"/>
  <c r="F38" i="13"/>
  <c r="G57" i="13"/>
  <c r="G61" i="13"/>
  <c r="G46" i="13"/>
  <c r="G51" i="13"/>
  <c r="G47" i="13"/>
  <c r="G72" i="13"/>
  <c r="G23" i="13"/>
  <c r="G10" i="13"/>
  <c r="G17" i="13"/>
  <c r="G30" i="13"/>
  <c r="G52" i="13"/>
  <c r="G63" i="13"/>
  <c r="G74" i="13"/>
  <c r="G87" i="13"/>
  <c r="G45" i="42"/>
  <c r="G14" i="13"/>
  <c r="G66" i="13"/>
  <c r="G28" i="13"/>
  <c r="F73" i="13"/>
  <c r="G44" i="13"/>
  <c r="G49" i="13"/>
  <c r="G41" i="13"/>
  <c r="G53" i="13"/>
  <c r="G64" i="13"/>
  <c r="G77" i="13"/>
  <c r="G88" i="13"/>
  <c r="G38" i="13"/>
  <c r="F63" i="13"/>
  <c r="G36" i="13"/>
  <c r="F65" i="13"/>
  <c r="F74" i="13"/>
  <c r="F82" i="13"/>
  <c r="G73" i="13"/>
  <c r="F83" i="13"/>
  <c r="F52" i="13"/>
  <c r="F71" i="13"/>
  <c r="F85" i="13"/>
  <c r="F78" i="13"/>
  <c r="F18" i="13"/>
  <c r="F20" i="13"/>
  <c r="F42" i="13"/>
  <c r="F49" i="13"/>
  <c r="F46" i="13"/>
  <c r="F54" i="13"/>
  <c r="F69" i="13"/>
  <c r="F81" i="13"/>
  <c r="F87" i="13"/>
  <c r="F21" i="13"/>
  <c r="F66" i="13"/>
  <c r="F57" i="13"/>
  <c r="F41" i="13"/>
  <c r="F17" i="13"/>
  <c r="F89" i="13"/>
  <c r="F61" i="13"/>
  <c r="M41" i="13"/>
  <c r="AH53" i="39" s="1"/>
  <c r="F90" i="13"/>
  <c r="F26" i="13"/>
  <c r="M11" i="13"/>
  <c r="AH10" i="39" s="1"/>
  <c r="K103" i="13"/>
  <c r="AH110" i="39" s="1"/>
  <c r="M17" i="13"/>
  <c r="AH19" i="39" s="1"/>
  <c r="K107" i="13"/>
  <c r="M26" i="13"/>
  <c r="AH11" i="39" s="1"/>
  <c r="K109" i="13"/>
  <c r="M18" i="13"/>
  <c r="AH28" i="39" s="1"/>
  <c r="M22" i="13"/>
  <c r="AH48" i="39" s="1"/>
  <c r="M39" i="13"/>
  <c r="AH57" i="39" s="1"/>
  <c r="M46" i="13"/>
  <c r="AH65" i="39" s="1"/>
  <c r="K102" i="13"/>
  <c r="AH109" i="39" s="1"/>
  <c r="M40" i="13"/>
  <c r="AH63" i="39" s="1"/>
  <c r="M30" i="13"/>
  <c r="AH26" i="39" s="1"/>
  <c r="M28" i="13"/>
  <c r="AH42" i="39" s="1"/>
  <c r="M44" i="13"/>
  <c r="AH66" i="39" s="1"/>
  <c r="M33" i="13"/>
  <c r="AH51" i="39" s="1"/>
  <c r="M31" i="13"/>
  <c r="AH33" i="39" s="1"/>
  <c r="M16" i="13"/>
  <c r="AH21" i="39" s="1"/>
  <c r="M15" i="13"/>
  <c r="AH24" i="39" s="1"/>
  <c r="F43" i="13"/>
  <c r="F56" i="13"/>
  <c r="F86" i="13"/>
  <c r="F10" i="13"/>
  <c r="M12" i="13"/>
  <c r="AH18" i="39" s="1"/>
  <c r="G34" i="13"/>
  <c r="F76" i="13"/>
  <c r="G27" i="13"/>
  <c r="F55" i="13"/>
  <c r="M37" i="13"/>
  <c r="AH41" i="39" s="1"/>
  <c r="G70" i="13"/>
  <c r="F32" i="13"/>
  <c r="M24" i="13"/>
  <c r="AH32" i="39" s="1"/>
  <c r="F25" i="13"/>
  <c r="M19" i="13"/>
  <c r="AH25" i="39" s="1"/>
  <c r="M20" i="13"/>
  <c r="AH16" i="39" s="1"/>
  <c r="M38" i="13"/>
  <c r="AH50" i="39" s="1"/>
  <c r="AB13" i="13"/>
  <c r="F50" i="13"/>
  <c r="M34" i="13"/>
  <c r="AH37" i="39" s="1"/>
  <c r="F30" i="13"/>
  <c r="M27" i="13"/>
  <c r="AH36" i="39" s="1"/>
  <c r="F28" i="13"/>
  <c r="F44" i="13"/>
  <c r="M43" i="13"/>
  <c r="AH62" i="39" s="1"/>
  <c r="F51" i="13"/>
  <c r="F53" i="13"/>
  <c r="F58" i="13"/>
  <c r="F60" i="13"/>
  <c r="F47" i="13"/>
  <c r="F64" i="13"/>
  <c r="F67" i="13"/>
  <c r="F48" i="13"/>
  <c r="F35" i="13"/>
  <c r="F72" i="13"/>
  <c r="F77" i="13"/>
  <c r="F80" i="13"/>
  <c r="F29" i="13"/>
  <c r="F84" i="13"/>
  <c r="F23" i="13"/>
  <c r="F88" i="13"/>
  <c r="M10" i="13"/>
  <c r="AH75" i="39" s="1"/>
  <c r="F14" i="13"/>
  <c r="F33" i="13"/>
  <c r="F31" i="13"/>
  <c r="M32" i="13"/>
  <c r="AH55" i="39" s="1"/>
  <c r="F40" i="13"/>
  <c r="M25" i="13"/>
  <c r="AH38" i="39" s="1"/>
  <c r="F68" i="13"/>
  <c r="M14" i="13"/>
  <c r="AH14" i="39" s="1"/>
  <c r="M13" i="13"/>
  <c r="AH12" i="39" s="1"/>
  <c r="F16" i="13"/>
  <c r="M21" i="13"/>
  <c r="AH30" i="39" s="1"/>
  <c r="F15" i="13"/>
  <c r="F39" i="13"/>
  <c r="M42" i="13"/>
  <c r="AH60" i="39" s="1"/>
  <c r="F22" i="13"/>
  <c r="F11" i="13"/>
  <c r="F12" i="13"/>
  <c r="F79" i="13"/>
  <c r="F37" i="13"/>
  <c r="F24" i="13"/>
  <c r="S96" i="39"/>
  <c r="X47" i="39"/>
  <c r="S74" i="39"/>
  <c r="W96" i="39"/>
  <c r="U74" i="39"/>
  <c r="AA90" i="39"/>
  <c r="V90" i="39"/>
  <c r="T79" i="39"/>
  <c r="S90" i="39"/>
  <c r="W74" i="39"/>
  <c r="T96" i="39"/>
  <c r="U96" i="39"/>
  <c r="AD75" i="39"/>
  <c r="AE98" i="39"/>
  <c r="AG26" i="39"/>
  <c r="AG42" i="39"/>
  <c r="AF76" i="39"/>
  <c r="AG18" i="39"/>
  <c r="AG60" i="39"/>
  <c r="X48" i="39"/>
  <c r="V68" i="39"/>
  <c r="AG43" i="39"/>
  <c r="AF82" i="39"/>
  <c r="W92" i="39"/>
  <c r="Y82" i="39"/>
  <c r="AG24" i="39"/>
  <c r="AG59" i="39"/>
  <c r="AG72" i="39"/>
  <c r="S26" i="39"/>
  <c r="X100" i="39"/>
  <c r="Y29" i="39"/>
  <c r="AF98" i="39"/>
  <c r="X92" i="39"/>
  <c r="S100" i="39"/>
  <c r="U15" i="39"/>
  <c r="Y15" i="39"/>
  <c r="X75" i="39"/>
  <c r="AG52" i="39"/>
  <c r="AG98" i="39"/>
  <c r="X11" i="39"/>
  <c r="S49" i="39"/>
  <c r="S11" i="39"/>
  <c r="AG76" i="39"/>
  <c r="AF54" i="39"/>
  <c r="U11" i="39"/>
  <c r="S29" i="39"/>
  <c r="AG40" i="39"/>
  <c r="AG54" i="39"/>
  <c r="W100" i="39"/>
  <c r="Y12" i="39"/>
  <c r="AA16" i="39"/>
  <c r="AC90" i="39"/>
  <c r="AG12" i="39"/>
  <c r="AE82" i="39"/>
  <c r="S33" i="39"/>
  <c r="W79" i="39"/>
  <c r="X96" i="39"/>
  <c r="X74" i="39"/>
  <c r="T37" i="39"/>
  <c r="U60" i="39"/>
  <c r="S79" i="39"/>
  <c r="V49" i="39"/>
  <c r="U36" i="39"/>
  <c r="V10" i="39"/>
  <c r="V15" i="39"/>
  <c r="S75" i="39"/>
  <c r="W90" i="39"/>
  <c r="AF71" i="39"/>
  <c r="AG27" i="39"/>
  <c r="AE76" i="39"/>
  <c r="AG21" i="39"/>
  <c r="AE35" i="39"/>
  <c r="AG36" i="39"/>
  <c r="AG41" i="39"/>
  <c r="AG56" i="39"/>
  <c r="AG65" i="39"/>
  <c r="AE85" i="39"/>
  <c r="AF92" i="39"/>
  <c r="AG93" i="39"/>
  <c r="AE94" i="39"/>
  <c r="AF59" i="39"/>
  <c r="AG96" i="39"/>
  <c r="AE99" i="39"/>
  <c r="AG71" i="39"/>
  <c r="AE13" i="39"/>
  <c r="AG28" i="39"/>
  <c r="AG33" i="39"/>
  <c r="AG57" i="39"/>
  <c r="AG68" i="39"/>
  <c r="AF85" i="39"/>
  <c r="AG92" i="39"/>
  <c r="AE88" i="39"/>
  <c r="AF94" i="39"/>
  <c r="AE97" i="39"/>
  <c r="AF99" i="39"/>
  <c r="AC75" i="39"/>
  <c r="U90" i="39"/>
  <c r="AE15" i="39"/>
  <c r="AF13" i="39"/>
  <c r="AG35" i="39"/>
  <c r="AG48" i="39"/>
  <c r="AG51" i="39"/>
  <c r="AG38" i="39"/>
  <c r="AG85" i="39"/>
  <c r="AE80" i="39"/>
  <c r="AF88" i="39"/>
  <c r="AG94" i="39"/>
  <c r="AE72" i="39"/>
  <c r="AF97" i="39"/>
  <c r="AG99" i="39"/>
  <c r="U66" i="39"/>
  <c r="U49" i="39"/>
  <c r="T71" i="39"/>
  <c r="AB75" i="39"/>
  <c r="AD90" i="39"/>
  <c r="T90" i="39"/>
  <c r="AF15" i="39"/>
  <c r="AG13" i="39"/>
  <c r="AG19" i="39"/>
  <c r="AG37" i="39"/>
  <c r="AG84" i="39"/>
  <c r="AG50" i="39"/>
  <c r="AG53" i="39"/>
  <c r="AE54" i="39"/>
  <c r="AF80" i="39"/>
  <c r="AG88" i="39"/>
  <c r="AE90" i="39"/>
  <c r="AF72" i="39"/>
  <c r="AG97" i="39"/>
  <c r="AE100" i="39"/>
  <c r="AA65" i="39"/>
  <c r="AG15" i="39"/>
  <c r="AG32" i="39"/>
  <c r="AE17" i="39"/>
  <c r="AG44" i="39"/>
  <c r="AG46" i="39"/>
  <c r="AG55" i="39"/>
  <c r="AG80" i="39"/>
  <c r="AE74" i="39"/>
  <c r="AF90" i="39"/>
  <c r="AF100" i="39"/>
  <c r="AE73" i="39"/>
  <c r="AG16" i="39"/>
  <c r="AF17" i="39"/>
  <c r="AG87" i="39"/>
  <c r="AF74" i="39"/>
  <c r="AG90" i="39"/>
  <c r="AE95" i="39"/>
  <c r="AG100" i="39"/>
  <c r="AG75" i="39"/>
  <c r="AG25" i="39"/>
  <c r="AG17" i="39"/>
  <c r="AG64" i="39"/>
  <c r="AG61" i="39"/>
  <c r="AE79" i="39"/>
  <c r="AG74" i="39"/>
  <c r="AE47" i="39"/>
  <c r="AF95" i="39"/>
  <c r="W47" i="39"/>
  <c r="W68" i="39"/>
  <c r="S47" i="39"/>
  <c r="X60" i="39"/>
  <c r="X65" i="39"/>
  <c r="X95" i="39"/>
  <c r="U100" i="39"/>
  <c r="V75" i="39"/>
  <c r="Z90" i="39"/>
  <c r="AG73" i="39"/>
  <c r="AE10" i="39"/>
  <c r="AG11" i="39"/>
  <c r="AG30" i="39"/>
  <c r="AG58" i="39"/>
  <c r="AG45" i="39"/>
  <c r="AG66" i="39"/>
  <c r="AF79" i="39"/>
  <c r="AG82" i="39"/>
  <c r="AE31" i="39"/>
  <c r="AF47" i="39"/>
  <c r="AG95" i="39"/>
  <c r="AE39" i="39"/>
  <c r="W66" i="39"/>
  <c r="W29" i="39"/>
  <c r="T47" i="39"/>
  <c r="X37" i="39"/>
  <c r="S60" i="39"/>
  <c r="V79" i="39"/>
  <c r="X38" i="39"/>
  <c r="S95" i="39"/>
  <c r="X93" i="39"/>
  <c r="S28" i="39"/>
  <c r="U75" i="39"/>
  <c r="Y90" i="39"/>
  <c r="AG70" i="39"/>
  <c r="AE27" i="39"/>
  <c r="AG14" i="39"/>
  <c r="AG23" i="39"/>
  <c r="AG63" i="39"/>
  <c r="AG79" i="39"/>
  <c r="AE93" i="39"/>
  <c r="AF31" i="39"/>
  <c r="AG47" i="39"/>
  <c r="AE96" i="39"/>
  <c r="AF39" i="39"/>
  <c r="W49" i="39"/>
  <c r="W97" i="39"/>
  <c r="W15" i="39"/>
  <c r="W61" i="39"/>
  <c r="V96" i="39"/>
  <c r="U47" i="39"/>
  <c r="V74" i="39"/>
  <c r="S37" i="39"/>
  <c r="T60" i="39"/>
  <c r="X79" i="39"/>
  <c r="U38" i="39"/>
  <c r="U25" i="39"/>
  <c r="T93" i="39"/>
  <c r="S15" i="39"/>
  <c r="T75" i="39"/>
  <c r="AE71" i="39"/>
  <c r="AF27" i="39"/>
  <c r="AG10" i="39"/>
  <c r="AG22" i="39"/>
  <c r="AG29" i="39"/>
  <c r="AG49" i="39"/>
  <c r="AF65" i="39"/>
  <c r="AG62" i="39"/>
  <c r="AE92" i="39"/>
  <c r="AF93" i="39"/>
  <c r="AG31" i="39"/>
  <c r="AE59" i="39"/>
  <c r="AF96" i="39"/>
  <c r="AG39" i="39"/>
  <c r="Z75" i="39"/>
  <c r="Y56" i="39"/>
  <c r="W87" i="39"/>
  <c r="T46" i="39"/>
  <c r="T43" i="39"/>
  <c r="U22" i="39"/>
  <c r="U58" i="39"/>
  <c r="Y98" i="39"/>
  <c r="V19" i="39"/>
  <c r="Y33" i="39"/>
  <c r="Z35" i="39"/>
  <c r="AA62" i="39"/>
  <c r="U87" i="39"/>
  <c r="X62" i="39"/>
  <c r="T19" i="39"/>
  <c r="T27" i="39"/>
  <c r="V33" i="39"/>
  <c r="W62" i="39"/>
  <c r="U62" i="39"/>
  <c r="S62" i="39"/>
  <c r="X35" i="39"/>
  <c r="V92" i="39"/>
  <c r="S65" i="39"/>
  <c r="T64" i="39"/>
  <c r="U55" i="39"/>
  <c r="S35" i="39"/>
  <c r="T22" i="39"/>
  <c r="V65" i="39"/>
  <c r="V50" i="39"/>
  <c r="Y53" i="39"/>
  <c r="W44" i="39"/>
  <c r="S53" i="39"/>
  <c r="T80" i="39"/>
  <c r="Z44" i="39"/>
  <c r="Y44" i="39"/>
  <c r="W63" i="39"/>
  <c r="X71" i="39"/>
  <c r="U51" i="39"/>
  <c r="X44" i="39"/>
  <c r="X31" i="39"/>
  <c r="X30" i="39"/>
  <c r="U71" i="39"/>
  <c r="T31" i="39"/>
  <c r="U30" i="39"/>
  <c r="S71" i="39"/>
  <c r="S21" i="39"/>
  <c r="Y80" i="39"/>
  <c r="V44" i="39"/>
  <c r="U44" i="39"/>
  <c r="X63" i="39"/>
  <c r="V99" i="39"/>
  <c r="X14" i="39"/>
  <c r="Y61" i="39"/>
  <c r="AD44" i="39"/>
  <c r="T44" i="39"/>
  <c r="S63" i="39"/>
  <c r="V80" i="39"/>
  <c r="T49" i="39"/>
  <c r="X99" i="39"/>
  <c r="S14" i="39"/>
  <c r="Y36" i="39"/>
  <c r="AC44" i="39"/>
  <c r="S44" i="39"/>
  <c r="W80" i="39"/>
  <c r="T63" i="39"/>
  <c r="S80" i="39"/>
  <c r="T99" i="39"/>
  <c r="U14" i="39"/>
  <c r="S12" i="39"/>
  <c r="AB44" i="39"/>
  <c r="X53" i="39"/>
  <c r="U80" i="39"/>
  <c r="U99" i="39"/>
  <c r="X54" i="39"/>
  <c r="S30" i="39"/>
  <c r="V30" i="39"/>
  <c r="V51" i="39"/>
  <c r="V64" i="39"/>
  <c r="S38" i="39"/>
  <c r="U28" i="39"/>
  <c r="T38" i="39"/>
  <c r="S68" i="39"/>
  <c r="T97" i="39"/>
  <c r="U61" i="39"/>
  <c r="T100" i="39"/>
  <c r="X15" i="39"/>
  <c r="Y14" i="39"/>
  <c r="X25" i="39"/>
  <c r="V58" i="39"/>
  <c r="S25" i="39"/>
  <c r="X58" i="39"/>
  <c r="S94" i="39"/>
  <c r="X28" i="39"/>
  <c r="S23" i="39"/>
  <c r="V38" i="39"/>
  <c r="T66" i="39"/>
  <c r="T73" i="39"/>
  <c r="V61" i="39"/>
  <c r="V46" i="39"/>
  <c r="X36" i="39"/>
  <c r="Y19" i="39"/>
  <c r="AA36" i="39"/>
  <c r="AA53" i="39"/>
  <c r="AA87" i="39"/>
  <c r="V31" i="39"/>
  <c r="V53" i="39"/>
  <c r="S61" i="39"/>
  <c r="V95" i="39"/>
  <c r="V88" i="39"/>
  <c r="W24" i="39"/>
  <c r="V16" i="39"/>
  <c r="Y68" i="39"/>
  <c r="Z23" i="39"/>
  <c r="Y31" i="39"/>
  <c r="W95" i="39"/>
  <c r="W53" i="39"/>
  <c r="S31" i="39"/>
  <c r="T53" i="39"/>
  <c r="X68" i="39"/>
  <c r="T95" i="39"/>
  <c r="U88" i="39"/>
  <c r="AA31" i="39"/>
  <c r="AA95" i="39"/>
  <c r="W23" i="39"/>
  <c r="V84" i="39"/>
  <c r="S48" i="39"/>
  <c r="U31" i="39"/>
  <c r="T87" i="39"/>
  <c r="U53" i="39"/>
  <c r="V73" i="39"/>
  <c r="U68" i="39"/>
  <c r="U95" i="39"/>
  <c r="V23" i="39"/>
  <c r="V14" i="39"/>
  <c r="U16" i="39"/>
  <c r="V28" i="39"/>
  <c r="V62" i="39"/>
  <c r="Z61" i="39"/>
  <c r="V66" i="39"/>
  <c r="X73" i="39"/>
  <c r="V57" i="39"/>
  <c r="X23" i="39"/>
  <c r="T23" i="39"/>
  <c r="Y30" i="39"/>
  <c r="X66" i="39"/>
  <c r="S73" i="39"/>
  <c r="V24" i="39"/>
  <c r="U57" i="39"/>
  <c r="U23" i="39"/>
  <c r="T61" i="39"/>
  <c r="Y70" i="39"/>
  <c r="W88" i="39"/>
  <c r="S66" i="39"/>
  <c r="U73" i="39"/>
  <c r="S57" i="39"/>
  <c r="AA10" i="39"/>
  <c r="AA19" i="39"/>
  <c r="S58" i="39"/>
  <c r="AA93" i="39"/>
  <c r="V72" i="39"/>
  <c r="X26" i="39"/>
  <c r="U18" i="39"/>
  <c r="S85" i="39"/>
  <c r="U43" i="39"/>
  <c r="X16" i="39"/>
  <c r="U27" i="39"/>
  <c r="Y21" i="39"/>
  <c r="V45" i="39"/>
  <c r="X45" i="39"/>
  <c r="V37" i="39"/>
  <c r="U17" i="39"/>
  <c r="X80" i="39"/>
  <c r="X72" i="39"/>
  <c r="U26" i="39"/>
  <c r="X24" i="39"/>
  <c r="S36" i="39"/>
  <c r="V35" i="39"/>
  <c r="V71" i="39"/>
  <c r="S43" i="39"/>
  <c r="V93" i="39"/>
  <c r="X10" i="39"/>
  <c r="S16" i="39"/>
  <c r="S27" i="39"/>
  <c r="U94" i="39"/>
  <c r="Y27" i="39"/>
  <c r="AA21" i="39"/>
  <c r="Y35" i="39"/>
  <c r="Y85" i="39"/>
  <c r="Y40" i="39"/>
  <c r="AA27" i="39"/>
  <c r="T35" i="39"/>
  <c r="U93" i="39"/>
  <c r="S40" i="39"/>
  <c r="Y28" i="39"/>
  <c r="AA46" i="39"/>
  <c r="AA33" i="39"/>
  <c r="Y65" i="39"/>
  <c r="Y87" i="39"/>
  <c r="X40" i="39"/>
  <c r="U35" i="39"/>
  <c r="S93" i="39"/>
  <c r="U40" i="39"/>
  <c r="AA71" i="39"/>
  <c r="V85" i="39"/>
  <c r="V21" i="39"/>
  <c r="V59" i="39"/>
  <c r="T40" i="39"/>
  <c r="W85" i="39"/>
  <c r="X32" i="39"/>
  <c r="V13" i="39"/>
  <c r="X46" i="39"/>
  <c r="V18" i="39"/>
  <c r="X85" i="39"/>
  <c r="X21" i="39"/>
  <c r="X59" i="39"/>
  <c r="V41" i="39"/>
  <c r="V94" i="39"/>
  <c r="S54" i="39"/>
  <c r="V54" i="39"/>
  <c r="X42" i="39"/>
  <c r="T92" i="39"/>
  <c r="V17" i="39"/>
  <c r="X33" i="39"/>
  <c r="T65" i="39"/>
  <c r="S32" i="39"/>
  <c r="X13" i="39"/>
  <c r="U46" i="39"/>
  <c r="X18" i="39"/>
  <c r="T85" i="39"/>
  <c r="U21" i="39"/>
  <c r="V43" i="39"/>
  <c r="S59" i="39"/>
  <c r="X41" i="39"/>
  <c r="V27" i="39"/>
  <c r="X94" i="39"/>
  <c r="T54" i="39"/>
  <c r="U50" i="39"/>
  <c r="Y17" i="39"/>
  <c r="Z54" i="39"/>
  <c r="Y100" i="39"/>
  <c r="Z40" i="39"/>
  <c r="V32" i="39"/>
  <c r="W59" i="39"/>
  <c r="W41" i="39"/>
  <c r="W73" i="39"/>
  <c r="U84" i="39"/>
  <c r="U48" i="39"/>
  <c r="U42" i="39"/>
  <c r="S97" i="39"/>
  <c r="U63" i="39"/>
  <c r="U92" i="39"/>
  <c r="X17" i="39"/>
  <c r="U79" i="39"/>
  <c r="V26" i="39"/>
  <c r="U32" i="39"/>
  <c r="S13" i="39"/>
  <c r="V36" i="39"/>
  <c r="S18" i="39"/>
  <c r="U85" i="39"/>
  <c r="X43" i="39"/>
  <c r="T59" i="39"/>
  <c r="X27" i="39"/>
  <c r="T94" i="39"/>
  <c r="S50" i="39"/>
  <c r="T18" i="39"/>
  <c r="AA13" i="39"/>
  <c r="AA50" i="39"/>
  <c r="AA54" i="39"/>
  <c r="Y16" i="39"/>
  <c r="F70" i="7"/>
  <c r="B39" i="7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N52" i="7"/>
  <c r="O52" i="7" s="1"/>
  <c r="AF73" i="39" s="1"/>
  <c r="G35" i="41"/>
  <c r="G30" i="5"/>
  <c r="G82" i="41"/>
  <c r="G42" i="5"/>
  <c r="M48" i="7"/>
  <c r="AE61" i="39" s="1"/>
  <c r="G40" i="5"/>
  <c r="G19" i="41"/>
  <c r="F50" i="41"/>
  <c r="G42" i="41"/>
  <c r="G36" i="5"/>
  <c r="G16" i="41"/>
  <c r="G35" i="5"/>
  <c r="G27" i="5"/>
  <c r="G27" i="41"/>
  <c r="G54" i="5"/>
  <c r="G44" i="5"/>
  <c r="G41" i="5"/>
  <c r="G76" i="5"/>
  <c r="G37" i="5"/>
  <c r="G20" i="41"/>
  <c r="G48" i="41"/>
  <c r="G29" i="5"/>
  <c r="G43" i="5"/>
  <c r="G75" i="41"/>
  <c r="G62" i="5"/>
  <c r="G20" i="5"/>
  <c r="G15" i="5"/>
  <c r="G10" i="41"/>
  <c r="G17" i="41"/>
  <c r="G14" i="41"/>
  <c r="G50" i="5"/>
  <c r="G65" i="5"/>
  <c r="G84" i="5"/>
  <c r="G85" i="41"/>
  <c r="G41" i="41"/>
  <c r="F48" i="42"/>
  <c r="G15" i="41"/>
  <c r="G34" i="41"/>
  <c r="G26" i="5"/>
  <c r="G22" i="5"/>
  <c r="G77" i="5"/>
  <c r="G79" i="5"/>
  <c r="G62" i="41"/>
  <c r="G72" i="5"/>
  <c r="G12" i="5"/>
  <c r="G63" i="5"/>
  <c r="G19" i="5"/>
  <c r="G22" i="41"/>
  <c r="G59" i="41"/>
  <c r="G59" i="5"/>
  <c r="G53" i="5"/>
  <c r="G55" i="5"/>
  <c r="G28" i="5"/>
  <c r="G61" i="5"/>
  <c r="G73" i="5"/>
  <c r="G57" i="41"/>
  <c r="J29" i="3"/>
  <c r="G66" i="41"/>
  <c r="G25" i="41"/>
  <c r="G26" i="41"/>
  <c r="F76" i="42"/>
  <c r="F53" i="41"/>
  <c r="M45" i="7"/>
  <c r="AE63" i="39" s="1"/>
  <c r="F49" i="42"/>
  <c r="F29" i="7"/>
  <c r="M47" i="7"/>
  <c r="AE32" i="39" s="1"/>
  <c r="G39" i="5"/>
  <c r="G49" i="5"/>
  <c r="G64" i="5"/>
  <c r="G47" i="5"/>
  <c r="G67" i="5"/>
  <c r="G81" i="5"/>
  <c r="G23" i="41"/>
  <c r="G64" i="41"/>
  <c r="G58" i="41"/>
  <c r="F11" i="7"/>
  <c r="M23" i="7"/>
  <c r="AE11" i="39" s="1"/>
  <c r="F47" i="42"/>
  <c r="M50" i="7"/>
  <c r="AE62" i="39" s="1"/>
  <c r="G68" i="5"/>
  <c r="G34" i="5"/>
  <c r="G58" i="5"/>
  <c r="G69" i="5"/>
  <c r="G21" i="5"/>
  <c r="G76" i="41"/>
  <c r="G32" i="41"/>
  <c r="G71" i="41"/>
  <c r="G43" i="41"/>
  <c r="G55" i="41"/>
  <c r="G78" i="41"/>
  <c r="G47" i="42"/>
  <c r="G71" i="5"/>
  <c r="G16" i="5"/>
  <c r="G24" i="5"/>
  <c r="G48" i="5"/>
  <c r="G82" i="5"/>
  <c r="G69" i="41"/>
  <c r="G81" i="41"/>
  <c r="G29" i="41"/>
  <c r="G37" i="41"/>
  <c r="G52" i="41"/>
  <c r="G39" i="41"/>
  <c r="F55" i="5"/>
  <c r="M39" i="7"/>
  <c r="AE87" i="39" s="1"/>
  <c r="G70" i="41"/>
  <c r="G46" i="41"/>
  <c r="F29" i="5"/>
  <c r="M44" i="7"/>
  <c r="AE66" i="39" s="1"/>
  <c r="G38" i="5"/>
  <c r="G23" i="5"/>
  <c r="G33" i="5"/>
  <c r="G25" i="5"/>
  <c r="G83" i="5"/>
  <c r="G84" i="41"/>
  <c r="G74" i="5"/>
  <c r="G66" i="5"/>
  <c r="G60" i="41"/>
  <c r="G51" i="41"/>
  <c r="M53" i="7"/>
  <c r="AE65" i="39" s="1"/>
  <c r="M42" i="7"/>
  <c r="AE60" i="39" s="1"/>
  <c r="M24" i="7"/>
  <c r="AE49" i="39" s="1"/>
  <c r="M29" i="7"/>
  <c r="AE44" i="39" s="1"/>
  <c r="M55" i="7"/>
  <c r="AE22" i="39" s="1"/>
  <c r="M19" i="7"/>
  <c r="AE19" i="39" s="1"/>
  <c r="M11" i="7"/>
  <c r="AE75" i="39" s="1"/>
  <c r="N57" i="7"/>
  <c r="O57" i="7" s="1"/>
  <c r="AF35" i="39" s="1"/>
  <c r="M26" i="7"/>
  <c r="AE24" i="39" s="1"/>
  <c r="M51" i="7"/>
  <c r="AE64" i="39" s="1"/>
  <c r="M30" i="7"/>
  <c r="AE36" i="39" s="1"/>
  <c r="N56" i="7"/>
  <c r="O56" i="7" s="1"/>
  <c r="AF10" i="39" s="1"/>
  <c r="M38" i="7"/>
  <c r="M54" i="7"/>
  <c r="AE53" i="39" s="1"/>
  <c r="M33" i="7"/>
  <c r="M10" i="7"/>
  <c r="AE70" i="39" s="1"/>
  <c r="M21" i="7"/>
  <c r="AE23" i="39" s="1"/>
  <c r="G11" i="7"/>
  <c r="G29" i="7"/>
  <c r="J33" i="3"/>
  <c r="B12" i="3"/>
  <c r="F49" i="5"/>
  <c r="F28" i="5"/>
  <c r="F52" i="41"/>
  <c r="F89" i="7"/>
  <c r="G79" i="41"/>
  <c r="G44" i="41"/>
  <c r="G28" i="41"/>
  <c r="G61" i="41"/>
  <c r="G54" i="41"/>
  <c r="G72" i="41"/>
  <c r="F85" i="42"/>
  <c r="F79" i="5"/>
  <c r="F48" i="5"/>
  <c r="F25" i="5"/>
  <c r="F51" i="41"/>
  <c r="G48" i="42"/>
  <c r="G46" i="42"/>
  <c r="F71" i="42"/>
  <c r="F78" i="5"/>
  <c r="F45" i="5"/>
  <c r="F19" i="5"/>
  <c r="G55" i="42"/>
  <c r="F69" i="42"/>
  <c r="F75" i="5"/>
  <c r="F43" i="5"/>
  <c r="F18" i="5"/>
  <c r="F48" i="41"/>
  <c r="F46" i="42"/>
  <c r="G54" i="7"/>
  <c r="F78" i="42"/>
  <c r="F57" i="42"/>
  <c r="F69" i="5"/>
  <c r="F41" i="5"/>
  <c r="F43" i="41"/>
  <c r="G44" i="42"/>
  <c r="F50" i="42"/>
  <c r="F68" i="5"/>
  <c r="F40" i="5"/>
  <c r="F83" i="41"/>
  <c r="F32" i="41"/>
  <c r="G49" i="42"/>
  <c r="F72" i="42"/>
  <c r="F65" i="5"/>
  <c r="F39" i="5"/>
  <c r="F74" i="41"/>
  <c r="F26" i="41"/>
  <c r="G41" i="42"/>
  <c r="G56" i="5"/>
  <c r="G17" i="5"/>
  <c r="G11" i="5"/>
  <c r="G70" i="5"/>
  <c r="G57" i="5"/>
  <c r="G52" i="5"/>
  <c r="G14" i="5"/>
  <c r="G83" i="41"/>
  <c r="G18" i="41"/>
  <c r="G74" i="41"/>
  <c r="G68" i="41"/>
  <c r="G40" i="41"/>
  <c r="G56" i="41"/>
  <c r="G11" i="41"/>
  <c r="G36" i="41"/>
  <c r="F55" i="42"/>
  <c r="G30" i="41"/>
  <c r="F59" i="5"/>
  <c r="F38" i="5"/>
  <c r="F73" i="41"/>
  <c r="F21" i="41"/>
  <c r="G62" i="42"/>
  <c r="G32" i="5"/>
  <c r="G45" i="5"/>
  <c r="G51" i="5"/>
  <c r="G31" i="5"/>
  <c r="G18" i="5"/>
  <c r="G10" i="5"/>
  <c r="G60" i="5"/>
  <c r="G80" i="5"/>
  <c r="G73" i="41"/>
  <c r="G47" i="41"/>
  <c r="G24" i="41"/>
  <c r="G49" i="41"/>
  <c r="G75" i="5"/>
  <c r="F53" i="42"/>
  <c r="F58" i="5"/>
  <c r="F35" i="5"/>
  <c r="F63" i="41"/>
  <c r="F11" i="41"/>
  <c r="G76" i="42"/>
  <c r="F67" i="42"/>
  <c r="F41" i="42"/>
  <c r="F77" i="41"/>
  <c r="J9" i="3"/>
  <c r="P13" i="3"/>
  <c r="F84" i="42"/>
  <c r="F61" i="42"/>
  <c r="F75" i="42"/>
  <c r="F81" i="5"/>
  <c r="F71" i="5"/>
  <c r="F61" i="5"/>
  <c r="F51" i="5"/>
  <c r="F31" i="5"/>
  <c r="F21" i="5"/>
  <c r="F11" i="5"/>
  <c r="F76" i="41"/>
  <c r="F66" i="41"/>
  <c r="F56" i="41"/>
  <c r="F46" i="41"/>
  <c r="F36" i="41"/>
  <c r="F24" i="41"/>
  <c r="F12" i="41"/>
  <c r="G51" i="42"/>
  <c r="G66" i="42"/>
  <c r="G74" i="42"/>
  <c r="G63" i="42"/>
  <c r="G58" i="42"/>
  <c r="F32" i="42"/>
  <c r="G27" i="42"/>
  <c r="G53" i="12"/>
  <c r="F54" i="12"/>
  <c r="F63" i="12"/>
  <c r="F70" i="12"/>
  <c r="F37" i="12"/>
  <c r="G63" i="7"/>
  <c r="G23" i="7"/>
  <c r="G42" i="7"/>
  <c r="F32" i="7"/>
  <c r="G36" i="7"/>
  <c r="G64" i="7"/>
  <c r="G75" i="7"/>
  <c r="G80" i="7"/>
  <c r="F80" i="42"/>
  <c r="F59" i="42"/>
  <c r="F43" i="42"/>
  <c r="F80" i="5"/>
  <c r="F70" i="5"/>
  <c r="F60" i="5"/>
  <c r="F50" i="5"/>
  <c r="F30" i="5"/>
  <c r="F20" i="5"/>
  <c r="F10" i="5"/>
  <c r="F75" i="41"/>
  <c r="F65" i="41"/>
  <c r="F55" i="41"/>
  <c r="F45" i="41"/>
  <c r="F35" i="41"/>
  <c r="F23" i="41"/>
  <c r="G53" i="42"/>
  <c r="G68" i="42"/>
  <c r="G75" i="42"/>
  <c r="G67" i="42"/>
  <c r="F52" i="42"/>
  <c r="F27" i="42"/>
  <c r="G22" i="42"/>
  <c r="F14" i="42"/>
  <c r="F10" i="42"/>
  <c r="G18" i="12"/>
  <c r="G40" i="12"/>
  <c r="F77" i="12"/>
  <c r="G39" i="12"/>
  <c r="G13" i="12"/>
  <c r="G15" i="12"/>
  <c r="G71" i="12"/>
  <c r="G81" i="12"/>
  <c r="F23" i="7"/>
  <c r="G47" i="7"/>
  <c r="G27" i="7"/>
  <c r="F41" i="7"/>
  <c r="G30" i="7"/>
  <c r="G58" i="7"/>
  <c r="G65" i="7"/>
  <c r="G76" i="7"/>
  <c r="G81" i="7"/>
  <c r="F64" i="41"/>
  <c r="F54" i="41"/>
  <c r="F44" i="41"/>
  <c r="F33" i="41"/>
  <c r="F22" i="41"/>
  <c r="F10" i="41"/>
  <c r="G54" i="42"/>
  <c r="G69" i="42"/>
  <c r="G86" i="42"/>
  <c r="F63" i="42"/>
  <c r="F58" i="42"/>
  <c r="F22" i="42"/>
  <c r="G35" i="12"/>
  <c r="G48" i="12"/>
  <c r="F46" i="12"/>
  <c r="G55" i="12"/>
  <c r="G64" i="12"/>
  <c r="F17" i="12"/>
  <c r="G56" i="7"/>
  <c r="G25" i="7"/>
  <c r="G86" i="7"/>
  <c r="G41" i="7"/>
  <c r="G59" i="7"/>
  <c r="G66" i="7"/>
  <c r="G39" i="7"/>
  <c r="G83" i="7"/>
  <c r="F35" i="42"/>
  <c r="G17" i="42"/>
  <c r="F39" i="42"/>
  <c r="F49" i="12"/>
  <c r="G25" i="12"/>
  <c r="G21" i="12"/>
  <c r="G44" i="12"/>
  <c r="G51" i="12"/>
  <c r="G45" i="12"/>
  <c r="G72" i="12"/>
  <c r="G12" i="7"/>
  <c r="G85" i="7"/>
  <c r="G17" i="7"/>
  <c r="G51" i="7"/>
  <c r="G74" i="7"/>
  <c r="G48" i="7"/>
  <c r="G67" i="7"/>
  <c r="G21" i="7"/>
  <c r="G84" i="7"/>
  <c r="F74" i="42"/>
  <c r="F66" i="42"/>
  <c r="F77" i="5"/>
  <c r="F67" i="5"/>
  <c r="F57" i="5"/>
  <c r="F47" i="5"/>
  <c r="F37" i="5"/>
  <c r="F27" i="5"/>
  <c r="F17" i="5"/>
  <c r="F82" i="41"/>
  <c r="F72" i="41"/>
  <c r="F62" i="41"/>
  <c r="F42" i="41"/>
  <c r="F31" i="41"/>
  <c r="F20" i="41"/>
  <c r="G57" i="42"/>
  <c r="G71" i="42"/>
  <c r="G77" i="42"/>
  <c r="G65" i="42"/>
  <c r="F56" i="42"/>
  <c r="F40" i="42"/>
  <c r="F30" i="42"/>
  <c r="G21" i="42"/>
  <c r="F17" i="42"/>
  <c r="G29" i="12"/>
  <c r="G57" i="12"/>
  <c r="G65" i="12"/>
  <c r="F43" i="12"/>
  <c r="G38" i="7"/>
  <c r="G82" i="7"/>
  <c r="F50" i="7"/>
  <c r="F54" i="7"/>
  <c r="G69" i="7"/>
  <c r="G24" i="7"/>
  <c r="G10" i="7"/>
  <c r="G31" i="41"/>
  <c r="G80" i="41"/>
  <c r="G12" i="41"/>
  <c r="G67" i="41"/>
  <c r="G63" i="41"/>
  <c r="G21" i="41"/>
  <c r="G53" i="41"/>
  <c r="G77" i="41"/>
  <c r="F73" i="42"/>
  <c r="F62" i="42"/>
  <c r="F76" i="5"/>
  <c r="H76" i="5" s="1"/>
  <c r="F66" i="5"/>
  <c r="F56" i="5"/>
  <c r="F46" i="5"/>
  <c r="F36" i="5"/>
  <c r="F26" i="5"/>
  <c r="F16" i="5"/>
  <c r="F81" i="41"/>
  <c r="F71" i="41"/>
  <c r="F61" i="41"/>
  <c r="F41" i="41"/>
  <c r="F30" i="41"/>
  <c r="F19" i="41"/>
  <c r="G59" i="42"/>
  <c r="G72" i="42"/>
  <c r="G79" i="42"/>
  <c r="G60" i="42"/>
  <c r="F34" i="42"/>
  <c r="F25" i="42"/>
  <c r="F21" i="42"/>
  <c r="G12" i="42"/>
  <c r="F22" i="12"/>
  <c r="F10" i="12"/>
  <c r="G42" i="12"/>
  <c r="G33" i="12"/>
  <c r="G58" i="12"/>
  <c r="G66" i="12"/>
  <c r="G74" i="12"/>
  <c r="G13" i="7"/>
  <c r="G68" i="7"/>
  <c r="F28" i="7"/>
  <c r="G16" i="7"/>
  <c r="F46" i="7"/>
  <c r="G43" i="7"/>
  <c r="G44" i="7"/>
  <c r="G50" i="7"/>
  <c r="G60" i="7"/>
  <c r="G61" i="7"/>
  <c r="G57" i="7"/>
  <c r="F24" i="7"/>
  <c r="G87" i="7"/>
  <c r="F15" i="5"/>
  <c r="F80" i="41"/>
  <c r="F70" i="41"/>
  <c r="F60" i="41"/>
  <c r="F40" i="41"/>
  <c r="F29" i="41"/>
  <c r="F17" i="41"/>
  <c r="G81" i="42"/>
  <c r="F83" i="42"/>
  <c r="G70" i="42"/>
  <c r="F65" i="42"/>
  <c r="G42" i="42"/>
  <c r="G16" i="42"/>
  <c r="F12" i="42"/>
  <c r="G20" i="12"/>
  <c r="G16" i="12"/>
  <c r="G31" i="12"/>
  <c r="G56" i="12"/>
  <c r="G59" i="12"/>
  <c r="G67" i="12"/>
  <c r="F75" i="12"/>
  <c r="G28" i="7"/>
  <c r="G31" i="7"/>
  <c r="G52" i="7"/>
  <c r="F57" i="7"/>
  <c r="G78" i="7"/>
  <c r="G88" i="7"/>
  <c r="F44" i="42"/>
  <c r="F81" i="42"/>
  <c r="F54" i="42"/>
  <c r="F84" i="5"/>
  <c r="F74" i="5"/>
  <c r="F64" i="5"/>
  <c r="F54" i="5"/>
  <c r="F44" i="5"/>
  <c r="F34" i="5"/>
  <c r="F24" i="5"/>
  <c r="F14" i="5"/>
  <c r="F79" i="41"/>
  <c r="H79" i="41" s="1"/>
  <c r="F69" i="41"/>
  <c r="F59" i="41"/>
  <c r="F49" i="41"/>
  <c r="F39" i="41"/>
  <c r="F28" i="41"/>
  <c r="F16" i="41"/>
  <c r="G61" i="42"/>
  <c r="G73" i="42"/>
  <c r="G84" i="42"/>
  <c r="F60" i="42"/>
  <c r="F27" i="41"/>
  <c r="F86" i="42"/>
  <c r="G56" i="42"/>
  <c r="F24" i="42"/>
  <c r="F20" i="42"/>
  <c r="F16" i="42"/>
  <c r="F19" i="12"/>
  <c r="F27" i="12"/>
  <c r="G50" i="12"/>
  <c r="G60" i="12"/>
  <c r="G47" i="12"/>
  <c r="G76" i="12"/>
  <c r="G35" i="7"/>
  <c r="F34" i="7"/>
  <c r="F37" i="7"/>
  <c r="G53" i="7"/>
  <c r="G40" i="7"/>
  <c r="F14" i="7"/>
  <c r="F52" i="7"/>
  <c r="G71" i="7"/>
  <c r="G79" i="7"/>
  <c r="G33" i="7"/>
  <c r="F68" i="42"/>
  <c r="F79" i="42"/>
  <c r="F51" i="42"/>
  <c r="F83" i="5"/>
  <c r="F73" i="5"/>
  <c r="F63" i="5"/>
  <c r="F53" i="5"/>
  <c r="F33" i="5"/>
  <c r="F23" i="5"/>
  <c r="F13" i="5"/>
  <c r="F78" i="41"/>
  <c r="F68" i="41"/>
  <c r="F58" i="41"/>
  <c r="F38" i="41"/>
  <c r="F15" i="41"/>
  <c r="G85" i="42"/>
  <c r="F70" i="42"/>
  <c r="F42" i="42"/>
  <c r="G37" i="42"/>
  <c r="G11" i="42"/>
  <c r="G36" i="12"/>
  <c r="G28" i="12"/>
  <c r="G79" i="12"/>
  <c r="G61" i="12"/>
  <c r="G68" i="12"/>
  <c r="F78" i="12"/>
  <c r="F77" i="7"/>
  <c r="G15" i="7"/>
  <c r="G19" i="7"/>
  <c r="F22" i="7"/>
  <c r="G34" i="7"/>
  <c r="G37" i="7"/>
  <c r="F53" i="7"/>
  <c r="G62" i="7"/>
  <c r="G72" i="7"/>
  <c r="F79" i="7"/>
  <c r="G89" i="7"/>
  <c r="F80" i="7"/>
  <c r="G13" i="41"/>
  <c r="G65" i="41"/>
  <c r="G38" i="41"/>
  <c r="G45" i="41"/>
  <c r="F85" i="41"/>
  <c r="F64" i="42"/>
  <c r="F77" i="42"/>
  <c r="H77" i="42" s="1"/>
  <c r="F82" i="5"/>
  <c r="F72" i="5"/>
  <c r="F62" i="5"/>
  <c r="F52" i="5"/>
  <c r="F42" i="5"/>
  <c r="F32" i="5"/>
  <c r="F22" i="5"/>
  <c r="F12" i="5"/>
  <c r="F67" i="41"/>
  <c r="F57" i="41"/>
  <c r="F47" i="41"/>
  <c r="F37" i="41"/>
  <c r="F25" i="41"/>
  <c r="F13" i="41"/>
  <c r="G50" i="42"/>
  <c r="G64" i="42"/>
  <c r="G43" i="42"/>
  <c r="G52" i="42"/>
  <c r="F37" i="42"/>
  <c r="G32" i="42"/>
  <c r="F19" i="42"/>
  <c r="F15" i="42"/>
  <c r="F11" i="42"/>
  <c r="G12" i="12"/>
  <c r="G32" i="12"/>
  <c r="G34" i="12"/>
  <c r="G73" i="12"/>
  <c r="G62" i="12"/>
  <c r="G69" i="12"/>
  <c r="G80" i="12"/>
  <c r="G77" i="7"/>
  <c r="G49" i="7"/>
  <c r="G22" i="7"/>
  <c r="F36" i="7"/>
  <c r="G20" i="7"/>
  <c r="G55" i="7"/>
  <c r="G26" i="7"/>
  <c r="G73" i="7"/>
  <c r="G45" i="7"/>
  <c r="AB12" i="7"/>
  <c r="V127" i="39"/>
  <c r="AB13" i="5"/>
  <c r="AB13" i="41"/>
  <c r="AB13" i="42"/>
  <c r="F18" i="7"/>
  <c r="F74" i="7"/>
  <c r="F58" i="7"/>
  <c r="K103" i="7"/>
  <c r="AE110" i="39" s="1"/>
  <c r="F26" i="7"/>
  <c r="F83" i="7"/>
  <c r="F12" i="7"/>
  <c r="F16" i="7"/>
  <c r="F60" i="7"/>
  <c r="F72" i="7"/>
  <c r="F65" i="7"/>
  <c r="F10" i="7"/>
  <c r="F51" i="7"/>
  <c r="F75" i="7"/>
  <c r="G32" i="7"/>
  <c r="F13" i="7"/>
  <c r="F56" i="7"/>
  <c r="F35" i="7"/>
  <c r="G46" i="7"/>
  <c r="F25" i="7"/>
  <c r="G14" i="7"/>
  <c r="F67" i="7"/>
  <c r="F88" i="7"/>
  <c r="G18" i="7"/>
  <c r="F39" i="7"/>
  <c r="K102" i="7"/>
  <c r="AE109" i="39" s="1"/>
  <c r="K109" i="7"/>
  <c r="AE117" i="39" s="1"/>
  <c r="M41" i="7"/>
  <c r="AE55" i="39" s="1"/>
  <c r="M36" i="7"/>
  <c r="M20" i="7"/>
  <c r="AE37" i="39" s="1"/>
  <c r="M35" i="7"/>
  <c r="M49" i="7"/>
  <c r="M15" i="7"/>
  <c r="AE14" i="39" s="1"/>
  <c r="F19" i="7"/>
  <c r="F27" i="7"/>
  <c r="F38" i="7"/>
  <c r="M17" i="7"/>
  <c r="AE18" i="39" s="1"/>
  <c r="M18" i="7"/>
  <c r="AE25" i="39" s="1"/>
  <c r="F85" i="7"/>
  <c r="M46" i="7"/>
  <c r="AE48" i="39" s="1"/>
  <c r="F43" i="7"/>
  <c r="F42" i="7"/>
  <c r="M32" i="7"/>
  <c r="F44" i="7"/>
  <c r="M40" i="7"/>
  <c r="AE68" i="39" s="1"/>
  <c r="F55" i="7"/>
  <c r="M28" i="7"/>
  <c r="AE16" i="39" s="1"/>
  <c r="M22" i="7"/>
  <c r="AE30" i="39" s="1"/>
  <c r="M37" i="7"/>
  <c r="AE58" i="39" s="1"/>
  <c r="I107" i="7"/>
  <c r="K107" i="7" s="1"/>
  <c r="AE115" i="39" s="1"/>
  <c r="M27" i="7"/>
  <c r="AE52" i="39" s="1"/>
  <c r="F68" i="7"/>
  <c r="F49" i="7"/>
  <c r="M25" i="7"/>
  <c r="F31" i="7"/>
  <c r="F48" i="7"/>
  <c r="F15" i="7"/>
  <c r="F47" i="7"/>
  <c r="M43" i="7"/>
  <c r="AE46" i="39" s="1"/>
  <c r="F82" i="7"/>
  <c r="F30" i="7"/>
  <c r="F59" i="7"/>
  <c r="F61" i="7"/>
  <c r="F62" i="7"/>
  <c r="F64" i="7"/>
  <c r="F66" i="7"/>
  <c r="F69" i="7"/>
  <c r="F71" i="7"/>
  <c r="F73" i="7"/>
  <c r="F76" i="7"/>
  <c r="F21" i="7"/>
  <c r="F78" i="7"/>
  <c r="F45" i="7"/>
  <c r="F81" i="7"/>
  <c r="F84" i="7"/>
  <c r="F87" i="7"/>
  <c r="F33" i="7"/>
  <c r="M12" i="7"/>
  <c r="AE12" i="39" s="1"/>
  <c r="M13" i="7"/>
  <c r="AE28" i="39" s="1"/>
  <c r="F63" i="7"/>
  <c r="M16" i="7"/>
  <c r="AE21" i="39" s="1"/>
  <c r="F17" i="7"/>
  <c r="M34" i="7"/>
  <c r="AE42" i="39" s="1"/>
  <c r="F86" i="7"/>
  <c r="F20" i="7"/>
  <c r="M14" i="7"/>
  <c r="F40" i="7"/>
  <c r="M31" i="7"/>
  <c r="U52" i="39"/>
  <c r="V48" i="39"/>
  <c r="T74" i="39"/>
  <c r="V11" i="39"/>
  <c r="X64" i="39"/>
  <c r="T24" i="39"/>
  <c r="U13" i="39"/>
  <c r="T55" i="39"/>
  <c r="V25" i="39"/>
  <c r="T88" i="39"/>
  <c r="S99" i="39"/>
  <c r="U10" i="39"/>
  <c r="S41" i="39"/>
  <c r="S51" i="39"/>
  <c r="X51" i="39"/>
  <c r="T14" i="39"/>
  <c r="T29" i="39"/>
  <c r="Y25" i="39"/>
  <c r="Y55" i="39"/>
  <c r="Y51" i="39"/>
  <c r="Z29" i="39"/>
  <c r="V52" i="39"/>
  <c r="S64" i="39"/>
  <c r="S24" i="39"/>
  <c r="T10" i="39"/>
  <c r="U41" i="39"/>
  <c r="X39" i="39"/>
  <c r="T32" i="39"/>
  <c r="Y10" i="39"/>
  <c r="Y32" i="39"/>
  <c r="Z25" i="39"/>
  <c r="Y42" i="39"/>
  <c r="Y26" i="39"/>
  <c r="Z55" i="39"/>
  <c r="Y37" i="39"/>
  <c r="Y60" i="39"/>
  <c r="Z73" i="39"/>
  <c r="Y88" i="39"/>
  <c r="Y22" i="39"/>
  <c r="Y63" i="39"/>
  <c r="W52" i="39"/>
  <c r="U24" i="39"/>
  <c r="S10" i="39"/>
  <c r="S39" i="39"/>
  <c r="T50" i="39"/>
  <c r="W13" i="39"/>
  <c r="W48" i="39"/>
  <c r="Y38" i="39"/>
  <c r="Y50" i="39"/>
  <c r="X52" i="39"/>
  <c r="T39" i="39"/>
  <c r="Y24" i="39"/>
  <c r="Y41" i="39"/>
  <c r="Y59" i="39"/>
  <c r="Y39" i="39"/>
  <c r="Y52" i="39"/>
  <c r="U39" i="39"/>
  <c r="AA59" i="39"/>
  <c r="AA39" i="39"/>
  <c r="W27" i="39"/>
  <c r="Z24" i="39"/>
  <c r="X57" i="39"/>
  <c r="Y11" i="39"/>
  <c r="Y57" i="39"/>
  <c r="Z64" i="39"/>
  <c r="S52" i="39"/>
  <c r="Z14" i="39"/>
  <c r="Z26" i="39"/>
  <c r="AD40" i="39"/>
  <c r="N48" i="12"/>
  <c r="O48" i="12" s="1"/>
  <c r="AC37" i="39" s="1"/>
  <c r="M32" i="12"/>
  <c r="AB42" i="39" s="1"/>
  <c r="M34" i="12"/>
  <c r="AB51" i="39" s="1"/>
  <c r="M15" i="12"/>
  <c r="AB14" i="39" s="1"/>
  <c r="M26" i="12"/>
  <c r="AB18" i="39" s="1"/>
  <c r="G54" i="12"/>
  <c r="M37" i="12"/>
  <c r="AB84" i="39" s="1"/>
  <c r="M45" i="12"/>
  <c r="AB55" i="39" s="1"/>
  <c r="M29" i="12"/>
  <c r="AB52" i="39" s="1"/>
  <c r="AC24" i="39"/>
  <c r="AD13" i="39"/>
  <c r="AC22" i="39"/>
  <c r="AD19" i="39"/>
  <c r="AD58" i="39"/>
  <c r="AD64" i="39"/>
  <c r="AD35" i="39"/>
  <c r="AC92" i="39"/>
  <c r="AD73" i="39"/>
  <c r="AB74" i="39"/>
  <c r="AC47" i="39"/>
  <c r="AD87" i="39"/>
  <c r="AB97" i="39"/>
  <c r="AC39" i="39"/>
  <c r="AD70" i="39"/>
  <c r="M30" i="12"/>
  <c r="AB38" i="39" s="1"/>
  <c r="M40" i="12"/>
  <c r="AB45" i="39" s="1"/>
  <c r="M20" i="12"/>
  <c r="AB11" i="39" s="1"/>
  <c r="M14" i="12"/>
  <c r="AB76" i="39" s="1"/>
  <c r="M50" i="12"/>
  <c r="AB61" i="39" s="1"/>
  <c r="M53" i="12"/>
  <c r="AB22" i="39" s="1"/>
  <c r="AD24" i="39"/>
  <c r="AB27" i="39"/>
  <c r="AD22" i="39"/>
  <c r="AB23" i="39"/>
  <c r="AD18" i="39"/>
  <c r="AD55" i="39"/>
  <c r="AD37" i="39"/>
  <c r="AD92" i="39"/>
  <c r="AB82" i="39"/>
  <c r="AC74" i="39"/>
  <c r="AD47" i="39"/>
  <c r="AC97" i="39"/>
  <c r="AD39" i="39"/>
  <c r="AB99" i="39"/>
  <c r="AB71" i="39"/>
  <c r="AC27" i="39"/>
  <c r="AD14" i="39"/>
  <c r="AC23" i="39"/>
  <c r="AD48" i="39"/>
  <c r="AD41" i="39"/>
  <c r="AD68" i="39"/>
  <c r="AB53" i="39"/>
  <c r="AD62" i="39"/>
  <c r="AC82" i="39"/>
  <c r="AD74" i="39"/>
  <c r="AB59" i="39"/>
  <c r="AD97" i="39"/>
  <c r="AC99" i="39"/>
  <c r="M25" i="12"/>
  <c r="AB32" i="39" s="1"/>
  <c r="AC71" i="39"/>
  <c r="AD27" i="39"/>
  <c r="AD23" i="39"/>
  <c r="AD17" i="39"/>
  <c r="AD45" i="39"/>
  <c r="AC53" i="39"/>
  <c r="AD65" i="39"/>
  <c r="AB79" i="39"/>
  <c r="AD82" i="39"/>
  <c r="AB31" i="39"/>
  <c r="AC59" i="39"/>
  <c r="AD66" i="39"/>
  <c r="AB98" i="39"/>
  <c r="AD99" i="39"/>
  <c r="N52" i="12"/>
  <c r="O52" i="12" s="1"/>
  <c r="AC29" i="39" s="1"/>
  <c r="AD71" i="39"/>
  <c r="AD28" i="39"/>
  <c r="AD30" i="39"/>
  <c r="AB26" i="39"/>
  <c r="AD46" i="39"/>
  <c r="AD53" i="39"/>
  <c r="AC79" i="39"/>
  <c r="AD85" i="39"/>
  <c r="AB93" i="39"/>
  <c r="AC31" i="39"/>
  <c r="AD59" i="39"/>
  <c r="AB95" i="39"/>
  <c r="AC98" i="39"/>
  <c r="AD76" i="39"/>
  <c r="AB100" i="39"/>
  <c r="M21" i="12"/>
  <c r="AB17" i="39" s="1"/>
  <c r="M22" i="12"/>
  <c r="AB21" i="39" s="1"/>
  <c r="M28" i="12"/>
  <c r="AB30" i="39" s="1"/>
  <c r="N49" i="12"/>
  <c r="O49" i="12" s="1"/>
  <c r="AC36" i="39" s="1"/>
  <c r="AD12" i="39"/>
  <c r="AD42" i="39"/>
  <c r="AC26" i="39"/>
  <c r="AD33" i="39"/>
  <c r="AD56" i="39"/>
  <c r="AD79" i="39"/>
  <c r="AB80" i="39"/>
  <c r="AC93" i="39"/>
  <c r="AD31" i="39"/>
  <c r="AB72" i="39"/>
  <c r="AC95" i="39"/>
  <c r="AD98" i="39"/>
  <c r="AC100" i="39"/>
  <c r="M16" i="12"/>
  <c r="AB13" i="39" s="1"/>
  <c r="M51" i="12"/>
  <c r="AB85" i="39" s="1"/>
  <c r="M24" i="12"/>
  <c r="AB43" i="39" s="1"/>
  <c r="M13" i="12"/>
  <c r="AB10" i="39" s="1"/>
  <c r="M27" i="12"/>
  <c r="AB48" i="39" s="1"/>
  <c r="AD10" i="39"/>
  <c r="AD16" i="39"/>
  <c r="AB63" i="39"/>
  <c r="AD26" i="39"/>
  <c r="AD38" i="39"/>
  <c r="AD60" i="39"/>
  <c r="AB29" i="39"/>
  <c r="AC80" i="39"/>
  <c r="AD93" i="39"/>
  <c r="AB94" i="39"/>
  <c r="AC72" i="39"/>
  <c r="AD95" i="39"/>
  <c r="AD100" i="39"/>
  <c r="F67" i="12"/>
  <c r="M42" i="12"/>
  <c r="AB58" i="39" s="1"/>
  <c r="M35" i="12"/>
  <c r="AB50" i="39" s="1"/>
  <c r="M11" i="12"/>
  <c r="AB28" i="39" s="1"/>
  <c r="M43" i="12"/>
  <c r="AB66" i="39" s="1"/>
  <c r="AD15" i="39"/>
  <c r="AD21" i="39"/>
  <c r="AC63" i="39"/>
  <c r="AD52" i="39"/>
  <c r="AB36" i="39"/>
  <c r="AD43" i="39"/>
  <c r="AD61" i="39"/>
  <c r="AB54" i="39"/>
  <c r="AD80" i="39"/>
  <c r="AB88" i="39"/>
  <c r="AC94" i="39"/>
  <c r="AD72" i="39"/>
  <c r="AB96" i="39"/>
  <c r="AD49" i="39"/>
  <c r="AB40" i="39"/>
  <c r="M46" i="12"/>
  <c r="AB62" i="39" s="1"/>
  <c r="M36" i="12"/>
  <c r="AB41" i="39" s="1"/>
  <c r="M39" i="12"/>
  <c r="AB46" i="39" s="1"/>
  <c r="M33" i="12"/>
  <c r="AB60" i="39" s="1"/>
  <c r="AD32" i="39"/>
  <c r="AD63" i="39"/>
  <c r="AD57" i="39"/>
  <c r="AB64" i="39"/>
  <c r="AD50" i="39"/>
  <c r="AB35" i="39"/>
  <c r="AC54" i="39"/>
  <c r="AD29" i="39"/>
  <c r="AB73" i="39"/>
  <c r="AC88" i="39"/>
  <c r="AD94" i="39"/>
  <c r="AB87" i="39"/>
  <c r="AC96" i="39"/>
  <c r="AD84" i="39"/>
  <c r="AB70" i="39"/>
  <c r="AC40" i="39"/>
  <c r="AB24" i="39"/>
  <c r="AD11" i="39"/>
  <c r="AD25" i="39"/>
  <c r="AD36" i="39"/>
  <c r="AC64" i="39"/>
  <c r="AD51" i="39"/>
  <c r="AB37" i="39"/>
  <c r="AC35" i="39"/>
  <c r="AD54" i="39"/>
  <c r="AB92" i="39"/>
  <c r="AC73" i="39"/>
  <c r="AD88" i="39"/>
  <c r="AB47" i="39"/>
  <c r="AC87" i="39"/>
  <c r="AD96" i="39"/>
  <c r="AB39" i="39"/>
  <c r="AC70" i="39"/>
  <c r="U76" i="39"/>
  <c r="W76" i="39"/>
  <c r="X76" i="39"/>
  <c r="V76" i="39"/>
  <c r="Y76" i="39"/>
  <c r="S76" i="39"/>
  <c r="P59" i="40"/>
  <c r="P60" i="40" s="1"/>
  <c r="P61" i="40" s="1"/>
  <c r="P62" i="40" s="1"/>
  <c r="P63" i="40" s="1"/>
  <c r="P64" i="40" s="1"/>
  <c r="P65" i="40" s="1"/>
  <c r="P67" i="40" s="1"/>
  <c r="P68" i="40" s="1"/>
  <c r="P69" i="40" s="1"/>
  <c r="P70" i="40" s="1"/>
  <c r="P71" i="40" s="1"/>
  <c r="P72" i="40" s="1"/>
  <c r="P73" i="40" s="1"/>
  <c r="P74" i="40" s="1"/>
  <c r="P75" i="40" s="1"/>
  <c r="P76" i="40" s="1"/>
  <c r="P77" i="40" s="1"/>
  <c r="P80" i="40" s="1"/>
  <c r="P81" i="40" s="1"/>
  <c r="P82" i="40" s="1"/>
  <c r="P83" i="40" s="1"/>
  <c r="P84" i="40" s="1"/>
  <c r="P85" i="40" s="1"/>
  <c r="P86" i="40" s="1"/>
  <c r="P87" i="40" s="1"/>
  <c r="P88" i="40" s="1"/>
  <c r="P89" i="40" s="1"/>
  <c r="P90" i="40" s="1"/>
  <c r="P91" i="40" s="1"/>
  <c r="P92" i="40" s="1"/>
  <c r="M10" i="12"/>
  <c r="AB12" i="39" s="1"/>
  <c r="M19" i="12"/>
  <c r="AB19" i="39" s="1"/>
  <c r="M41" i="12"/>
  <c r="AB57" i="39" s="1"/>
  <c r="M23" i="12"/>
  <c r="AB33" i="39" s="1"/>
  <c r="M44" i="12"/>
  <c r="AB65" i="39" s="1"/>
  <c r="M31" i="12"/>
  <c r="AB56" i="39" s="1"/>
  <c r="M18" i="12"/>
  <c r="AB16" i="39" s="1"/>
  <c r="M38" i="12"/>
  <c r="AB49" i="39" s="1"/>
  <c r="M17" i="12"/>
  <c r="AB25" i="39" s="1"/>
  <c r="M47" i="12"/>
  <c r="AB68" i="39" s="1"/>
  <c r="M12" i="12"/>
  <c r="AB15" i="39" s="1"/>
  <c r="F42" i="12"/>
  <c r="F35" i="12"/>
  <c r="F59" i="12"/>
  <c r="F55" i="12"/>
  <c r="G63" i="12"/>
  <c r="G78" i="12"/>
  <c r="G77" i="12"/>
  <c r="G46" i="12"/>
  <c r="F18" i="12"/>
  <c r="G22" i="12"/>
  <c r="F50" i="12"/>
  <c r="G19" i="12"/>
  <c r="F64" i="12"/>
  <c r="G36" i="42"/>
  <c r="G11" i="12"/>
  <c r="F26" i="12"/>
  <c r="G82" i="12"/>
  <c r="F84" i="41"/>
  <c r="F34" i="41"/>
  <c r="F14" i="41"/>
  <c r="G78" i="42"/>
  <c r="F36" i="42"/>
  <c r="G26" i="12"/>
  <c r="G83" i="12"/>
  <c r="G83" i="42"/>
  <c r="G31" i="42"/>
  <c r="G24" i="12"/>
  <c r="F84" i="12"/>
  <c r="G80" i="42"/>
  <c r="F31" i="42"/>
  <c r="G84" i="12"/>
  <c r="G26" i="42"/>
  <c r="F30" i="12"/>
  <c r="G41" i="12"/>
  <c r="G82" i="42"/>
  <c r="F26" i="42"/>
  <c r="G30" i="12"/>
  <c r="F23" i="12"/>
  <c r="G23" i="12"/>
  <c r="F18" i="41"/>
  <c r="F82" i="42"/>
  <c r="F14" i="12"/>
  <c r="G85" i="12"/>
  <c r="G38" i="12"/>
  <c r="F52" i="12"/>
  <c r="F82" i="12"/>
  <c r="G86" i="12"/>
  <c r="K103" i="12"/>
  <c r="AB110" i="39" s="1"/>
  <c r="K102" i="12"/>
  <c r="AB109" i="39" s="1"/>
  <c r="J28" i="3"/>
  <c r="J92" i="3"/>
  <c r="J78" i="3"/>
  <c r="J45" i="3"/>
  <c r="J83" i="3"/>
  <c r="J57" i="3"/>
  <c r="J20" i="3"/>
  <c r="J94" i="3"/>
  <c r="J30" i="3"/>
  <c r="J81" i="3"/>
  <c r="J85" i="3"/>
  <c r="G17" i="12"/>
  <c r="G37" i="12"/>
  <c r="F61" i="12"/>
  <c r="F68" i="12"/>
  <c r="G43" i="12"/>
  <c r="F20" i="12"/>
  <c r="F34" i="12"/>
  <c r="F39" i="12"/>
  <c r="F73" i="12"/>
  <c r="F57" i="12"/>
  <c r="F65" i="12"/>
  <c r="G14" i="12"/>
  <c r="F29" i="12"/>
  <c r="F16" i="12"/>
  <c r="F28" i="12"/>
  <c r="G75" i="12"/>
  <c r="G70" i="12"/>
  <c r="G52" i="12"/>
  <c r="J82" i="3"/>
  <c r="J35" i="3"/>
  <c r="J66" i="3"/>
  <c r="J87" i="3"/>
  <c r="J31" i="3"/>
  <c r="K147" i="39"/>
  <c r="J19" i="3"/>
  <c r="J71" i="3"/>
  <c r="J55" i="3"/>
  <c r="K107" i="12"/>
  <c r="AB115" i="39" s="1"/>
  <c r="J7" i="3"/>
  <c r="J56" i="3"/>
  <c r="J48" i="3"/>
  <c r="J93" i="3"/>
  <c r="J69" i="3"/>
  <c r="J80" i="3"/>
  <c r="F11" i="12"/>
  <c r="G49" i="12"/>
  <c r="F25" i="12"/>
  <c r="G10" i="12"/>
  <c r="F31" i="12"/>
  <c r="G27" i="12"/>
  <c r="F79" i="12"/>
  <c r="J88" i="3"/>
  <c r="J77" i="3"/>
  <c r="J34" i="3"/>
  <c r="J86" i="3"/>
  <c r="J16" i="3"/>
  <c r="J11" i="3"/>
  <c r="J5" i="3"/>
  <c r="J90" i="3"/>
  <c r="F53" i="12"/>
  <c r="F40" i="12"/>
  <c r="F24" i="12"/>
  <c r="F56" i="12"/>
  <c r="J15" i="3"/>
  <c r="J58" i="3"/>
  <c r="J65" i="3"/>
  <c r="J60" i="3"/>
  <c r="J43" i="3"/>
  <c r="J79" i="3"/>
  <c r="J24" i="3"/>
  <c r="F12" i="12"/>
  <c r="F32" i="12"/>
  <c r="F21" i="12"/>
  <c r="F33" i="12"/>
  <c r="F13" i="12"/>
  <c r="F51" i="12"/>
  <c r="F58" i="12"/>
  <c r="F60" i="12"/>
  <c r="F62" i="12"/>
  <c r="F15" i="12"/>
  <c r="F45" i="12"/>
  <c r="F66" i="12"/>
  <c r="F47" i="12"/>
  <c r="F69" i="12"/>
  <c r="F71" i="12"/>
  <c r="F72" i="12"/>
  <c r="F74" i="12"/>
  <c r="F76" i="12"/>
  <c r="F80" i="12"/>
  <c r="F81" i="12"/>
  <c r="F38" i="12"/>
  <c r="F83" i="12"/>
  <c r="F41" i="12"/>
  <c r="F85" i="12"/>
  <c r="F86" i="12"/>
  <c r="J26" i="3"/>
  <c r="J36" i="3"/>
  <c r="J51" i="3"/>
  <c r="J23" i="3"/>
  <c r="J91" i="3"/>
  <c r="F36" i="12"/>
  <c r="F48" i="12"/>
  <c r="F44" i="12"/>
  <c r="J18" i="3"/>
  <c r="J42" i="3"/>
  <c r="J72" i="3"/>
  <c r="J27" i="3"/>
  <c r="J47" i="3"/>
  <c r="J49" i="3"/>
  <c r="K109" i="12"/>
  <c r="AB117" i="39" s="1"/>
  <c r="K102" i="42"/>
  <c r="I107" i="42"/>
  <c r="K107" i="42" s="1"/>
  <c r="AA92" i="39"/>
  <c r="Y73" i="39"/>
  <c r="AA82" i="39"/>
  <c r="Y74" i="39"/>
  <c r="AA94" i="39"/>
  <c r="Y72" i="39"/>
  <c r="Y96" i="39"/>
  <c r="AA97" i="39"/>
  <c r="Y84" i="39"/>
  <c r="AA76" i="39"/>
  <c r="Y99" i="39"/>
  <c r="AA40" i="39"/>
  <c r="G35" i="42"/>
  <c r="G30" i="42"/>
  <c r="G25" i="42"/>
  <c r="G20" i="42"/>
  <c r="G15" i="42"/>
  <c r="G10" i="42"/>
  <c r="Y93" i="39"/>
  <c r="AA74" i="39"/>
  <c r="Y47" i="39"/>
  <c r="AA72" i="39"/>
  <c r="Y66" i="39"/>
  <c r="AA96" i="39"/>
  <c r="Y79" i="39"/>
  <c r="AA84" i="39"/>
  <c r="Y49" i="39"/>
  <c r="AA99" i="39"/>
  <c r="AA52" i="39"/>
  <c r="G38" i="42"/>
  <c r="G33" i="42"/>
  <c r="G29" i="42"/>
  <c r="G23" i="42"/>
  <c r="G18" i="42"/>
  <c r="G13" i="42"/>
  <c r="Z71" i="39"/>
  <c r="Y46" i="39"/>
  <c r="Y48" i="39"/>
  <c r="Y58" i="39"/>
  <c r="Z33" i="39"/>
  <c r="Y18" i="39"/>
  <c r="Y45" i="39"/>
  <c r="AA61" i="39"/>
  <c r="Y54" i="39"/>
  <c r="Z85" i="39"/>
  <c r="Z93" i="39"/>
  <c r="Z47" i="39"/>
  <c r="Z66" i="39"/>
  <c r="Z79" i="39"/>
  <c r="Z49" i="39"/>
  <c r="F38" i="42"/>
  <c r="F33" i="42"/>
  <c r="F29" i="42"/>
  <c r="F23" i="42"/>
  <c r="F18" i="42"/>
  <c r="F13" i="42"/>
  <c r="Z31" i="39"/>
  <c r="Z87" i="39"/>
  <c r="Z39" i="39"/>
  <c r="Z100" i="39"/>
  <c r="G40" i="42"/>
  <c r="G34" i="42"/>
  <c r="G28" i="42"/>
  <c r="G24" i="42"/>
  <c r="G19" i="42"/>
  <c r="G14" i="42"/>
  <c r="G39" i="42"/>
  <c r="Z57" i="39"/>
  <c r="Y43" i="39"/>
  <c r="Z53" i="39"/>
  <c r="Y23" i="39"/>
  <c r="Z80" i="39"/>
  <c r="Z88" i="39"/>
  <c r="Z59" i="39"/>
  <c r="Z95" i="39"/>
  <c r="Z98" i="39"/>
  <c r="Z70" i="39"/>
  <c r="F28" i="42"/>
  <c r="Y64" i="39"/>
  <c r="Z68" i="39"/>
  <c r="AA23" i="39"/>
  <c r="Z92" i="39"/>
  <c r="Z82" i="39"/>
  <c r="Z94" i="39"/>
  <c r="Z97" i="39"/>
  <c r="Z76" i="39"/>
  <c r="J64" i="3"/>
  <c r="J17" i="3"/>
  <c r="J14" i="3"/>
  <c r="J89" i="3"/>
  <c r="J54" i="3"/>
  <c r="J62" i="3"/>
  <c r="J63" i="3"/>
  <c r="J74" i="3"/>
  <c r="J44" i="3"/>
  <c r="J21" i="3"/>
  <c r="J38" i="3"/>
  <c r="J53" i="3"/>
  <c r="J59" i="3"/>
  <c r="J37" i="3"/>
  <c r="J50" i="3"/>
  <c r="J12" i="3"/>
  <c r="J75" i="3"/>
  <c r="J46" i="3"/>
  <c r="J52" i="3"/>
  <c r="J61" i="3"/>
  <c r="J8" i="3"/>
  <c r="J70" i="3"/>
  <c r="J25" i="3"/>
  <c r="J73" i="3"/>
  <c r="J95" i="3"/>
  <c r="J39" i="39" l="1"/>
  <c r="J44" i="39"/>
  <c r="J73" i="39"/>
  <c r="J48" i="39"/>
  <c r="J80" i="39"/>
  <c r="J35" i="39"/>
  <c r="J95" i="39"/>
  <c r="J98" i="39"/>
  <c r="J64" i="39"/>
  <c r="J32" i="39"/>
  <c r="J30" i="39"/>
  <c r="J71" i="39"/>
  <c r="J22" i="39"/>
  <c r="J23" i="39"/>
  <c r="J75" i="39"/>
  <c r="J85" i="39"/>
  <c r="J65" i="39"/>
  <c r="J60" i="39"/>
  <c r="J92" i="39"/>
  <c r="J87" i="39"/>
  <c r="J46" i="39"/>
  <c r="J99" i="39"/>
  <c r="J27" i="39"/>
  <c r="J94" i="39"/>
  <c r="J100" i="39"/>
  <c r="J72" i="39"/>
  <c r="J82" i="39"/>
  <c r="J93" i="39"/>
  <c r="J74" i="39"/>
  <c r="J70" i="39"/>
  <c r="J97" i="39"/>
  <c r="J79" i="39"/>
  <c r="J49" i="39"/>
  <c r="J96" i="39"/>
  <c r="J19" i="39"/>
  <c r="J24" i="39"/>
  <c r="J76" i="39"/>
  <c r="J52" i="39"/>
  <c r="J58" i="39"/>
  <c r="J28" i="39"/>
  <c r="J61" i="39"/>
  <c r="J90" i="39"/>
  <c r="J88" i="39"/>
  <c r="AC32" i="47"/>
  <c r="H98" i="39"/>
  <c r="G98" i="39"/>
  <c r="K98" i="39"/>
  <c r="G96" i="39"/>
  <c r="H96" i="39"/>
  <c r="K96" i="39"/>
  <c r="G73" i="39"/>
  <c r="H73" i="39"/>
  <c r="K73" i="39"/>
  <c r="G99" i="39"/>
  <c r="H99" i="39"/>
  <c r="K99" i="39"/>
  <c r="AC11" i="47"/>
  <c r="AC10" i="47"/>
  <c r="AC13" i="47"/>
  <c r="AC14" i="47"/>
  <c r="AC12" i="47"/>
  <c r="AC15" i="47"/>
  <c r="AC16" i="47"/>
  <c r="AC17" i="47"/>
  <c r="AC18" i="47"/>
  <c r="AC19" i="47"/>
  <c r="AC20" i="47"/>
  <c r="AC21" i="47"/>
  <c r="AC22" i="47"/>
  <c r="AC23" i="47"/>
  <c r="AC24" i="47"/>
  <c r="AC25" i="47"/>
  <c r="AC26" i="47"/>
  <c r="AC27" i="47"/>
  <c r="AC28" i="47"/>
  <c r="AC29" i="47"/>
  <c r="AC30" i="47"/>
  <c r="AC31" i="47"/>
  <c r="G79" i="39"/>
  <c r="H79" i="39"/>
  <c r="K79" i="39"/>
  <c r="H100" i="39"/>
  <c r="G100" i="39"/>
  <c r="K100" i="39"/>
  <c r="G94" i="39"/>
  <c r="H94" i="39"/>
  <c r="K94" i="39"/>
  <c r="K97" i="39"/>
  <c r="G97" i="39"/>
  <c r="H97" i="39"/>
  <c r="K106" i="47"/>
  <c r="G92" i="39"/>
  <c r="H92" i="39"/>
  <c r="K92" i="39"/>
  <c r="AB34" i="47"/>
  <c r="AC33" i="47"/>
  <c r="AC31" i="45"/>
  <c r="AC26" i="38"/>
  <c r="K105" i="45"/>
  <c r="CV112" i="39" s="1"/>
  <c r="CV113" i="39" s="1"/>
  <c r="K105" i="38"/>
  <c r="CS112" i="39" s="1"/>
  <c r="CS113" i="39" s="1"/>
  <c r="AC12" i="38"/>
  <c r="AC10" i="38"/>
  <c r="AC11" i="38"/>
  <c r="AC13" i="38"/>
  <c r="AC14" i="38"/>
  <c r="AC15" i="38"/>
  <c r="AC16" i="38"/>
  <c r="AC17" i="38"/>
  <c r="AC18" i="38"/>
  <c r="AC19" i="38"/>
  <c r="AC20" i="38"/>
  <c r="AC21" i="38"/>
  <c r="AC22" i="38"/>
  <c r="AC23" i="38"/>
  <c r="AC24" i="38"/>
  <c r="AC25" i="38"/>
  <c r="AC13" i="45"/>
  <c r="AC12" i="45"/>
  <c r="AC14" i="45"/>
  <c r="AC10" i="45"/>
  <c r="AC11" i="45"/>
  <c r="AC15" i="45"/>
  <c r="AC16" i="45"/>
  <c r="AC17" i="45"/>
  <c r="AC18" i="45"/>
  <c r="AC19" i="45"/>
  <c r="AC20" i="45"/>
  <c r="AC21" i="45"/>
  <c r="AC22" i="45"/>
  <c r="AC23" i="45"/>
  <c r="AC24" i="45"/>
  <c r="AC25" i="45"/>
  <c r="AC26" i="45"/>
  <c r="AC27" i="45"/>
  <c r="AC28" i="45"/>
  <c r="AC29" i="45"/>
  <c r="AC30" i="45"/>
  <c r="AC32" i="45"/>
  <c r="AB33" i="45"/>
  <c r="K105" i="37"/>
  <c r="CP112" i="39" s="1"/>
  <c r="CP113" i="39" s="1"/>
  <c r="AB28" i="38"/>
  <c r="AC27" i="38"/>
  <c r="AC28" i="37"/>
  <c r="AC10" i="37"/>
  <c r="AC12" i="37"/>
  <c r="AC13" i="37"/>
  <c r="AC11" i="37"/>
  <c r="AC14" i="37"/>
  <c r="AC15" i="37"/>
  <c r="AC16" i="37"/>
  <c r="AC17" i="37"/>
  <c r="AC18" i="37"/>
  <c r="AC19" i="37"/>
  <c r="AC20" i="37"/>
  <c r="AC21" i="37"/>
  <c r="AC22" i="37"/>
  <c r="AC23" i="37"/>
  <c r="AC24" i="37"/>
  <c r="AC25" i="37"/>
  <c r="AC26" i="37"/>
  <c r="AC27" i="37"/>
  <c r="B8" i="40"/>
  <c r="AB30" i="37"/>
  <c r="AC29" i="37"/>
  <c r="AC26" i="36"/>
  <c r="AC25" i="35"/>
  <c r="AC24" i="34"/>
  <c r="AC22" i="32"/>
  <c r="AC23" i="29"/>
  <c r="AC21" i="27"/>
  <c r="AC25" i="36"/>
  <c r="AC24" i="36"/>
  <c r="AC23" i="36"/>
  <c r="AC22" i="36"/>
  <c r="AC21" i="36"/>
  <c r="AC20" i="36"/>
  <c r="AC19" i="36"/>
  <c r="AC18" i="36"/>
  <c r="AC17" i="36"/>
  <c r="AC16" i="36"/>
  <c r="AC15" i="36"/>
  <c r="AC14" i="36"/>
  <c r="K105" i="36"/>
  <c r="CM112" i="39" s="1"/>
  <c r="CM113" i="39" s="1"/>
  <c r="AC11" i="36"/>
  <c r="AC12" i="36"/>
  <c r="AC13" i="36"/>
  <c r="AC10" i="36"/>
  <c r="AC24" i="35"/>
  <c r="AC23" i="35"/>
  <c r="AC22" i="35"/>
  <c r="AC21" i="35"/>
  <c r="AC20" i="35"/>
  <c r="AC19" i="35"/>
  <c r="AC18" i="35"/>
  <c r="AC17" i="35"/>
  <c r="AC16" i="35"/>
  <c r="AC15" i="35"/>
  <c r="AC10" i="35"/>
  <c r="AC13" i="35"/>
  <c r="AC14" i="35"/>
  <c r="AC12" i="35"/>
  <c r="AC11" i="35"/>
  <c r="K105" i="35"/>
  <c r="CJ112" i="39" s="1"/>
  <c r="CJ113" i="39" s="1"/>
  <c r="AC23" i="34"/>
  <c r="AC22" i="34"/>
  <c r="AC21" i="34"/>
  <c r="AC20" i="34"/>
  <c r="AC19" i="34"/>
  <c r="AC18" i="34"/>
  <c r="AC17" i="34"/>
  <c r="AC16" i="34"/>
  <c r="AC15" i="34"/>
  <c r="AC14" i="34"/>
  <c r="AC11" i="34"/>
  <c r="AC10" i="34"/>
  <c r="AC13" i="34"/>
  <c r="K105" i="34"/>
  <c r="CG112" i="39" s="1"/>
  <c r="CG113" i="39" s="1"/>
  <c r="AC12" i="34"/>
  <c r="AC21" i="32"/>
  <c r="AC20" i="32"/>
  <c r="AC19" i="32"/>
  <c r="AC18" i="32"/>
  <c r="AC17" i="32"/>
  <c r="AC16" i="32"/>
  <c r="AC15" i="32"/>
  <c r="AC14" i="32"/>
  <c r="AC13" i="32"/>
  <c r="AC10" i="32"/>
  <c r="AC11" i="32"/>
  <c r="AC12" i="32"/>
  <c r="K105" i="32"/>
  <c r="CD112" i="39" s="1"/>
  <c r="CD113" i="39" s="1"/>
  <c r="AC27" i="36"/>
  <c r="AB28" i="36"/>
  <c r="AB27" i="35"/>
  <c r="AC26" i="35"/>
  <c r="AB26" i="34"/>
  <c r="AC25" i="34"/>
  <c r="AB24" i="32"/>
  <c r="AC23" i="32"/>
  <c r="K105" i="31"/>
  <c r="CA112" i="39" s="1"/>
  <c r="CA113" i="39" s="1"/>
  <c r="AC12" i="31"/>
  <c r="AC11" i="31"/>
  <c r="AC10" i="31"/>
  <c r="AC13" i="31"/>
  <c r="AC14" i="31"/>
  <c r="AC15" i="31"/>
  <c r="AC16" i="31"/>
  <c r="AC17" i="31"/>
  <c r="AC18" i="31"/>
  <c r="AC19" i="31"/>
  <c r="AC20" i="31"/>
  <c r="AC21" i="31"/>
  <c r="AC22" i="31"/>
  <c r="AC23" i="31"/>
  <c r="AB24" i="31"/>
  <c r="AC22" i="30"/>
  <c r="AC17" i="24"/>
  <c r="AC17" i="23"/>
  <c r="AC18" i="25"/>
  <c r="AC19" i="26"/>
  <c r="AC12" i="24"/>
  <c r="AC11" i="24"/>
  <c r="AC10" i="24"/>
  <c r="K105" i="24"/>
  <c r="BI112" i="39" s="1"/>
  <c r="BI113" i="39" s="1"/>
  <c r="AC13" i="24"/>
  <c r="AC14" i="24"/>
  <c r="AC15" i="24"/>
  <c r="AC16" i="24"/>
  <c r="K105" i="29"/>
  <c r="BU112" i="39" s="1"/>
  <c r="BU113" i="39" s="1"/>
  <c r="AC11" i="29"/>
  <c r="AC10" i="29"/>
  <c r="AC13" i="29"/>
  <c r="AC14" i="29"/>
  <c r="AC12" i="29"/>
  <c r="AC15" i="29"/>
  <c r="AC16" i="29"/>
  <c r="AC17" i="29"/>
  <c r="AC18" i="29"/>
  <c r="AC19" i="29"/>
  <c r="AC20" i="29"/>
  <c r="AC21" i="29"/>
  <c r="AC22" i="29"/>
  <c r="AC10" i="23"/>
  <c r="AC13" i="23"/>
  <c r="K105" i="23"/>
  <c r="BF112" i="39" s="1"/>
  <c r="BF113" i="39" s="1"/>
  <c r="AC12" i="23"/>
  <c r="AC11" i="23"/>
  <c r="AC14" i="23"/>
  <c r="AC15" i="23"/>
  <c r="AC16" i="23"/>
  <c r="B13" i="3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K105" i="26"/>
  <c r="BO112" i="39" s="1"/>
  <c r="BO113" i="39" s="1"/>
  <c r="AC12" i="26"/>
  <c r="AC10" i="26"/>
  <c r="AC11" i="26"/>
  <c r="AC13" i="26"/>
  <c r="AC14" i="26"/>
  <c r="AC15" i="26"/>
  <c r="AC16" i="26"/>
  <c r="AC17" i="26"/>
  <c r="AC18" i="26"/>
  <c r="AC11" i="30"/>
  <c r="K105" i="30"/>
  <c r="BX112" i="39" s="1"/>
  <c r="BX113" i="39" s="1"/>
  <c r="AC13" i="30"/>
  <c r="AC12" i="30"/>
  <c r="AC10" i="30"/>
  <c r="AC14" i="30"/>
  <c r="AC15" i="30"/>
  <c r="AC16" i="30"/>
  <c r="AC17" i="30"/>
  <c r="AC18" i="30"/>
  <c r="AC19" i="30"/>
  <c r="AC20" i="30"/>
  <c r="AC21" i="30"/>
  <c r="AC12" i="25"/>
  <c r="AC13" i="25"/>
  <c r="AC11" i="25"/>
  <c r="AC10" i="25"/>
  <c r="AC14" i="25"/>
  <c r="AC15" i="25"/>
  <c r="AC16" i="25"/>
  <c r="AC17" i="25"/>
  <c r="AC10" i="27"/>
  <c r="AC12" i="27"/>
  <c r="K105" i="27"/>
  <c r="BR112" i="39" s="1"/>
  <c r="BR113" i="39" s="1"/>
  <c r="AC14" i="27"/>
  <c r="AC13" i="27"/>
  <c r="AC11" i="27"/>
  <c r="AC15" i="27"/>
  <c r="AC16" i="27"/>
  <c r="AC17" i="27"/>
  <c r="AC18" i="27"/>
  <c r="AC19" i="27"/>
  <c r="AC20" i="27"/>
  <c r="AC23" i="30"/>
  <c r="AB24" i="30"/>
  <c r="AC24" i="29"/>
  <c r="AB25" i="29"/>
  <c r="AE26" i="39"/>
  <c r="AC22" i="27"/>
  <c r="AB23" i="27"/>
  <c r="AB21" i="26"/>
  <c r="AC20" i="26"/>
  <c r="AB20" i="25"/>
  <c r="AC19" i="25"/>
  <c r="AC18" i="24"/>
  <c r="AB19" i="24"/>
  <c r="AC18" i="23"/>
  <c r="AB19" i="23"/>
  <c r="AC11" i="22"/>
  <c r="K105" i="22"/>
  <c r="BC112" i="39" s="1"/>
  <c r="BC113" i="39" s="1"/>
  <c r="AC10" i="22"/>
  <c r="AC12" i="22"/>
  <c r="AC13" i="22"/>
  <c r="AC14" i="22"/>
  <c r="AC15" i="22"/>
  <c r="AC16" i="22"/>
  <c r="AB17" i="22"/>
  <c r="AC13" i="18"/>
  <c r="AE38" i="39"/>
  <c r="AC11" i="18"/>
  <c r="AC14" i="17"/>
  <c r="AC13" i="19"/>
  <c r="AC14" i="16"/>
  <c r="AC16" i="21"/>
  <c r="K105" i="17"/>
  <c r="AQ112" i="39" s="1"/>
  <c r="AQ113" i="39" s="1"/>
  <c r="AC14" i="19"/>
  <c r="AC10" i="18"/>
  <c r="AC12" i="19"/>
  <c r="AC14" i="21"/>
  <c r="AC13" i="21"/>
  <c r="AC10" i="21"/>
  <c r="AC11" i="21"/>
  <c r="AC12" i="21"/>
  <c r="AC15" i="21"/>
  <c r="K105" i="16"/>
  <c r="AK112" i="39" s="1"/>
  <c r="AK113" i="39" s="1"/>
  <c r="AC13" i="17"/>
  <c r="AC12" i="18"/>
  <c r="AC12" i="17"/>
  <c r="K105" i="18"/>
  <c r="AT112" i="39" s="1"/>
  <c r="AT113" i="39" s="1"/>
  <c r="AC11" i="19"/>
  <c r="AC11" i="17"/>
  <c r="AC10" i="19"/>
  <c r="AC10" i="17"/>
  <c r="K105" i="19"/>
  <c r="AW112" i="39" s="1"/>
  <c r="AW113" i="39" s="1"/>
  <c r="K105" i="21"/>
  <c r="AZ112" i="39" s="1"/>
  <c r="AZ113" i="39" s="1"/>
  <c r="AC17" i="21"/>
  <c r="AB18" i="21"/>
  <c r="B37" i="39"/>
  <c r="B38" i="39" s="1"/>
  <c r="B39" i="39" s="1"/>
  <c r="B40" i="39" s="1"/>
  <c r="B41" i="39" s="1"/>
  <c r="B42" i="39" s="1"/>
  <c r="AB16" i="19"/>
  <c r="AC15" i="19"/>
  <c r="AU27" i="39"/>
  <c r="AU62" i="39"/>
  <c r="AB15" i="18"/>
  <c r="AC14" i="18"/>
  <c r="AU46" i="39"/>
  <c r="AU61" i="39"/>
  <c r="AU37" i="39"/>
  <c r="AU15" i="39"/>
  <c r="AC15" i="17"/>
  <c r="AB16" i="17"/>
  <c r="AE41" i="39"/>
  <c r="AE57" i="39"/>
  <c r="AE29" i="39"/>
  <c r="AE56" i="39"/>
  <c r="K105" i="15"/>
  <c r="AN112" i="39" s="1"/>
  <c r="AN113" i="39" s="1"/>
  <c r="AC12" i="15"/>
  <c r="AC12" i="16"/>
  <c r="AC13" i="16"/>
  <c r="AC13" i="15"/>
  <c r="AC11" i="16"/>
  <c r="AC11" i="15"/>
  <c r="AC10" i="16"/>
  <c r="AC10" i="15"/>
  <c r="AE40" i="39"/>
  <c r="J40" i="39" s="1"/>
  <c r="AE84" i="39"/>
  <c r="J84" i="39" s="1"/>
  <c r="AE33" i="39"/>
  <c r="AE43" i="39"/>
  <c r="AE45" i="39"/>
  <c r="AE51" i="39"/>
  <c r="J51" i="39" s="1"/>
  <c r="AE50" i="39"/>
  <c r="AC14" i="15"/>
  <c r="AB15" i="15"/>
  <c r="AB16" i="16"/>
  <c r="AC15" i="16"/>
  <c r="K105" i="7"/>
  <c r="K104" i="13"/>
  <c r="AH111" i="39" s="1"/>
  <c r="K105" i="13"/>
  <c r="AC11" i="13"/>
  <c r="AC10" i="13"/>
  <c r="AC12" i="13"/>
  <c r="AB14" i="13"/>
  <c r="AC13" i="13"/>
  <c r="K105" i="5"/>
  <c r="S112" i="39" s="1"/>
  <c r="S113" i="39" s="1"/>
  <c r="AC11" i="5"/>
  <c r="AC12" i="42"/>
  <c r="AC12" i="5"/>
  <c r="AC11" i="41"/>
  <c r="AC12" i="41"/>
  <c r="AC10" i="41"/>
  <c r="AC10" i="5"/>
  <c r="AC10" i="7"/>
  <c r="AC11" i="7"/>
  <c r="AC11" i="42"/>
  <c r="AC11" i="12"/>
  <c r="AC21" i="12"/>
  <c r="AC31" i="12"/>
  <c r="AC41" i="12"/>
  <c r="AC10" i="12"/>
  <c r="AC12" i="12"/>
  <c r="AC22" i="12"/>
  <c r="AC32" i="12"/>
  <c r="AC42" i="12"/>
  <c r="AC13" i="12"/>
  <c r="AC23" i="12"/>
  <c r="AC33" i="12"/>
  <c r="AC43" i="12"/>
  <c r="AC14" i="12"/>
  <c r="AC24" i="12"/>
  <c r="AC34" i="12"/>
  <c r="AC44" i="12"/>
  <c r="AC15" i="12"/>
  <c r="AC25" i="12"/>
  <c r="AC35" i="12"/>
  <c r="AC45" i="12"/>
  <c r="AC16" i="12"/>
  <c r="AC26" i="12"/>
  <c r="AC36" i="12"/>
  <c r="AC46" i="12"/>
  <c r="AC17" i="12"/>
  <c r="AC27" i="12"/>
  <c r="AC37" i="12"/>
  <c r="AC47" i="12"/>
  <c r="AC18" i="12"/>
  <c r="AC28" i="12"/>
  <c r="AC38" i="12"/>
  <c r="AC48" i="12"/>
  <c r="AC19" i="12"/>
  <c r="AC29" i="12"/>
  <c r="AC39" i="12"/>
  <c r="AC49" i="12"/>
  <c r="AC20" i="12"/>
  <c r="AC30" i="12"/>
  <c r="AC40" i="12"/>
  <c r="AC50" i="12"/>
  <c r="AC10" i="42"/>
  <c r="P14" i="3"/>
  <c r="AB13" i="7"/>
  <c r="AC12" i="7"/>
  <c r="V128" i="39"/>
  <c r="AB14" i="5"/>
  <c r="AC13" i="5"/>
  <c r="AB14" i="41"/>
  <c r="AC13" i="41"/>
  <c r="AB14" i="42"/>
  <c r="AC13" i="42"/>
  <c r="K104" i="7"/>
  <c r="AE111" i="39" s="1"/>
  <c r="K105" i="41"/>
  <c r="V112" i="39" s="1"/>
  <c r="V113" i="39" s="1"/>
  <c r="K104" i="12"/>
  <c r="AB111" i="39" s="1"/>
  <c r="K105" i="12"/>
  <c r="AB112" i="39" s="1"/>
  <c r="Y109" i="39"/>
  <c r="K104" i="42"/>
  <c r="Y111" i="39" s="1"/>
  <c r="K105" i="42"/>
  <c r="Y112" i="39" s="1"/>
  <c r="J98" i="3"/>
  <c r="J125" i="39" l="1"/>
  <c r="J124" i="39"/>
  <c r="CY112" i="39"/>
  <c r="CY113" i="39" s="1"/>
  <c r="CY115" i="39"/>
  <c r="W126" i="39"/>
  <c r="W124" i="39"/>
  <c r="W125" i="39"/>
  <c r="AB35" i="47"/>
  <c r="AC34" i="47"/>
  <c r="H89" i="43"/>
  <c r="H80" i="43"/>
  <c r="AB34" i="45"/>
  <c r="AC33" i="45"/>
  <c r="B6" i="43"/>
  <c r="I89" i="43"/>
  <c r="E89" i="43"/>
  <c r="H87" i="43"/>
  <c r="F89" i="43"/>
  <c r="H88" i="43"/>
  <c r="H96" i="43"/>
  <c r="H94" i="43"/>
  <c r="H93" i="43"/>
  <c r="AB29" i="38"/>
  <c r="AC28" i="38"/>
  <c r="B9" i="40"/>
  <c r="AB31" i="37"/>
  <c r="AC30" i="37"/>
  <c r="AB29" i="36"/>
  <c r="AC28" i="36"/>
  <c r="AC27" i="35"/>
  <c r="AB28" i="35"/>
  <c r="AC26" i="34"/>
  <c r="AB27" i="34"/>
  <c r="AB25" i="32"/>
  <c r="AC24" i="32"/>
  <c r="AC24" i="31"/>
  <c r="AB25" i="31"/>
  <c r="AC24" i="30"/>
  <c r="AB25" i="30"/>
  <c r="AC25" i="29"/>
  <c r="AB26" i="29"/>
  <c r="P73" i="39"/>
  <c r="Q73" i="39"/>
  <c r="P79" i="39"/>
  <c r="Q79" i="39"/>
  <c r="P92" i="39"/>
  <c r="Q92" i="39"/>
  <c r="P97" i="39"/>
  <c r="Q97" i="39"/>
  <c r="P99" i="39"/>
  <c r="Q99" i="39"/>
  <c r="P96" i="39"/>
  <c r="Q96" i="39"/>
  <c r="P98" i="39"/>
  <c r="Q98" i="39"/>
  <c r="P94" i="39"/>
  <c r="Q94" i="39"/>
  <c r="P100" i="39"/>
  <c r="Q100" i="39"/>
  <c r="N97" i="39"/>
  <c r="AB24" i="27"/>
  <c r="AC23" i="27"/>
  <c r="AC21" i="26"/>
  <c r="AB22" i="26"/>
  <c r="AC20" i="25"/>
  <c r="AB21" i="25"/>
  <c r="AC19" i="24"/>
  <c r="AB20" i="24"/>
  <c r="AC19" i="23"/>
  <c r="AB20" i="23"/>
  <c r="B43" i="39"/>
  <c r="B44" i="39" s="1"/>
  <c r="B45" i="39" s="1"/>
  <c r="B48" i="39" s="1"/>
  <c r="B49" i="39" s="1"/>
  <c r="B50" i="39" s="1"/>
  <c r="B51" i="39" s="1"/>
  <c r="B52" i="39" s="1"/>
  <c r="B53" i="39" s="1"/>
  <c r="B54" i="39" s="1"/>
  <c r="B55" i="39" s="1"/>
  <c r="B56" i="39" s="1"/>
  <c r="B57" i="39" s="1"/>
  <c r="B58" i="39" s="1"/>
  <c r="B59" i="39" s="1"/>
  <c r="B60" i="39" s="1"/>
  <c r="B61" i="39" s="1"/>
  <c r="B62" i="39" s="1"/>
  <c r="B63" i="39" s="1"/>
  <c r="B64" i="39" s="1"/>
  <c r="B65" i="39" s="1"/>
  <c r="B66" i="39" s="1"/>
  <c r="B67" i="39" s="1"/>
  <c r="B68" i="39" s="1"/>
  <c r="B69" i="39" s="1"/>
  <c r="B70" i="39" s="1"/>
  <c r="B71" i="39" s="1"/>
  <c r="AB18" i="22"/>
  <c r="AC17" i="22"/>
  <c r="AB19" i="21"/>
  <c r="AC18" i="21"/>
  <c r="AC16" i="19"/>
  <c r="AB17" i="19"/>
  <c r="AB16" i="18"/>
  <c r="AC15" i="18"/>
  <c r="AB17" i="17"/>
  <c r="AC16" i="17"/>
  <c r="B32" i="3"/>
  <c r="B33" i="3" s="1"/>
  <c r="B34" i="3" s="1"/>
  <c r="B35" i="3" s="1"/>
  <c r="B36" i="3" s="1"/>
  <c r="B37" i="3" s="1"/>
  <c r="B38" i="3" s="1"/>
  <c r="AB16" i="15"/>
  <c r="AC15" i="15"/>
  <c r="AB17" i="16"/>
  <c r="AC16" i="16"/>
  <c r="AH112" i="39"/>
  <c r="AH113" i="39" s="1"/>
  <c r="AB15" i="13"/>
  <c r="AC14" i="13"/>
  <c r="M97" i="39"/>
  <c r="P15" i="3"/>
  <c r="AB14" i="7"/>
  <c r="AC13" i="7"/>
  <c r="W127" i="39" s="1"/>
  <c r="V129" i="39"/>
  <c r="AB15" i="5"/>
  <c r="AC14" i="5"/>
  <c r="AB15" i="41"/>
  <c r="AC14" i="41"/>
  <c r="AB15" i="42"/>
  <c r="AC14" i="42"/>
  <c r="AE112" i="39"/>
  <c r="AE113" i="39" s="1"/>
  <c r="AB113" i="39"/>
  <c r="N92" i="39"/>
  <c r="M92" i="39"/>
  <c r="M98" i="39"/>
  <c r="N98" i="39"/>
  <c r="N94" i="39"/>
  <c r="M94" i="39"/>
  <c r="Y113" i="39"/>
  <c r="N96" i="39"/>
  <c r="M96" i="39"/>
  <c r="N99" i="39"/>
  <c r="M99" i="39"/>
  <c r="M73" i="39"/>
  <c r="N73" i="39"/>
  <c r="M79" i="39"/>
  <c r="N79" i="39"/>
  <c r="N100" i="39"/>
  <c r="M100" i="39"/>
  <c r="J141" i="39" l="1"/>
  <c r="J142" i="39" s="1"/>
  <c r="J140" i="39"/>
  <c r="AB36" i="47"/>
  <c r="AC35" i="47"/>
  <c r="AB35" i="45"/>
  <c r="AC34" i="45"/>
  <c r="K89" i="43"/>
  <c r="L89" i="43"/>
  <c r="O89" i="43"/>
  <c r="N89" i="43"/>
  <c r="AB30" i="38"/>
  <c r="AC29" i="38"/>
  <c r="B10" i="40"/>
  <c r="AC31" i="37"/>
  <c r="AB32" i="37"/>
  <c r="AB30" i="36"/>
  <c r="AC29" i="36"/>
  <c r="AC28" i="35"/>
  <c r="AB29" i="35"/>
  <c r="AB28" i="34"/>
  <c r="AC27" i="34"/>
  <c r="AB26" i="32"/>
  <c r="AC25" i="32"/>
  <c r="AB26" i="31"/>
  <c r="AC25" i="31"/>
  <c r="B72" i="39"/>
  <c r="B73" i="39" s="1"/>
  <c r="B74" i="39" s="1"/>
  <c r="B75" i="39" s="1"/>
  <c r="B76" i="39" s="1"/>
  <c r="B77" i="39" s="1"/>
  <c r="B78" i="39" s="1"/>
  <c r="B79" i="39" s="1"/>
  <c r="B80" i="39" s="1"/>
  <c r="AC25" i="30"/>
  <c r="AB26" i="30"/>
  <c r="AB27" i="29"/>
  <c r="AC26" i="29"/>
  <c r="AB25" i="27"/>
  <c r="AC24" i="27"/>
  <c r="AC22" i="26"/>
  <c r="AB23" i="26"/>
  <c r="AB22" i="25"/>
  <c r="AC21" i="25"/>
  <c r="AC20" i="24"/>
  <c r="AB21" i="24"/>
  <c r="AB21" i="23"/>
  <c r="AC20" i="23"/>
  <c r="B39" i="3"/>
  <c r="B40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AB19" i="22"/>
  <c r="AC18" i="22"/>
  <c r="AB20" i="21"/>
  <c r="AC19" i="21"/>
  <c r="AB18" i="19"/>
  <c r="AC17" i="19"/>
  <c r="AC16" i="18"/>
  <c r="AB17" i="18"/>
  <c r="AC17" i="17"/>
  <c r="AB18" i="17"/>
  <c r="AB17" i="15"/>
  <c r="AC16" i="15"/>
  <c r="AC17" i="16"/>
  <c r="AB18" i="16"/>
  <c r="AB16" i="13"/>
  <c r="AC15" i="13"/>
  <c r="P16" i="3"/>
  <c r="AB15" i="7"/>
  <c r="AC14" i="7"/>
  <c r="W128" i="39" s="1"/>
  <c r="V130" i="39"/>
  <c r="AC15" i="5"/>
  <c r="AB16" i="5"/>
  <c r="AC15" i="41"/>
  <c r="AB16" i="41"/>
  <c r="AC15" i="42"/>
  <c r="AB16" i="42"/>
  <c r="AB37" i="47" l="1"/>
  <c r="AC36" i="47"/>
  <c r="AB36" i="45"/>
  <c r="AC35" i="45"/>
  <c r="AB31" i="38"/>
  <c r="AC30" i="38"/>
  <c r="B81" i="39"/>
  <c r="B82" i="39" s="1"/>
  <c r="B83" i="39" s="1"/>
  <c r="B84" i="39" s="1"/>
  <c r="B85" i="39" s="1"/>
  <c r="B86" i="39" s="1"/>
  <c r="B87" i="39" s="1"/>
  <c r="B88" i="39" s="1"/>
  <c r="B89" i="39" s="1"/>
  <c r="B90" i="39" s="1"/>
  <c r="B91" i="39" s="1"/>
  <c r="B92" i="39" s="1"/>
  <c r="B93" i="39" s="1"/>
  <c r="B94" i="39" s="1"/>
  <c r="B95" i="39" s="1"/>
  <c r="B96" i="39" s="1"/>
  <c r="B97" i="39" s="1"/>
  <c r="B98" i="39" s="1"/>
  <c r="B99" i="39" s="1"/>
  <c r="B100" i="39" s="1"/>
  <c r="B11" i="40"/>
  <c r="AB33" i="37"/>
  <c r="AC32" i="37"/>
  <c r="AC30" i="36"/>
  <c r="AB31" i="36"/>
  <c r="AB30" i="35"/>
  <c r="AC29" i="35"/>
  <c r="AC28" i="34"/>
  <c r="AB29" i="34"/>
  <c r="AB27" i="32"/>
  <c r="AC26" i="32"/>
  <c r="AB27" i="31"/>
  <c r="AC26" i="31"/>
  <c r="AC26" i="30"/>
  <c r="AB27" i="30"/>
  <c r="AB28" i="29"/>
  <c r="AC27" i="29"/>
  <c r="AC25" i="27"/>
  <c r="AB26" i="27"/>
  <c r="AB24" i="26"/>
  <c r="AC23" i="26"/>
  <c r="AB23" i="25"/>
  <c r="AB22" i="24"/>
  <c r="AC21" i="24"/>
  <c r="AB22" i="23"/>
  <c r="AC21" i="23"/>
  <c r="AC19" i="22"/>
  <c r="AB20" i="22"/>
  <c r="AC20" i="21"/>
  <c r="AB21" i="21"/>
  <c r="AB19" i="19"/>
  <c r="AC18" i="19"/>
  <c r="AC17" i="18"/>
  <c r="AB18" i="18"/>
  <c r="AB19" i="17"/>
  <c r="AC18" i="17"/>
  <c r="AB18" i="15"/>
  <c r="AC17" i="15"/>
  <c r="AB19" i="16"/>
  <c r="AC18" i="16"/>
  <c r="AB17" i="13"/>
  <c r="AC16" i="13"/>
  <c r="P17" i="3"/>
  <c r="AC15" i="7"/>
  <c r="W129" i="39" s="1"/>
  <c r="AB16" i="7"/>
  <c r="V131" i="39"/>
  <c r="AB17" i="5"/>
  <c r="AC16" i="5"/>
  <c r="AB17" i="41"/>
  <c r="AC16" i="41"/>
  <c r="AB17" i="42"/>
  <c r="AC16" i="42"/>
  <c r="AB38" i="47" l="1"/>
  <c r="AC37" i="47"/>
  <c r="AB37" i="45"/>
  <c r="AC36" i="45"/>
  <c r="AC31" i="38"/>
  <c r="AB32" i="38"/>
  <c r="B12" i="40"/>
  <c r="AB34" i="37"/>
  <c r="AC33" i="37"/>
  <c r="AC31" i="36"/>
  <c r="AB32" i="36"/>
  <c r="AB31" i="35"/>
  <c r="AC30" i="35"/>
  <c r="AB30" i="34"/>
  <c r="AC29" i="34"/>
  <c r="AB28" i="32"/>
  <c r="AC27" i="32"/>
  <c r="AB28" i="31"/>
  <c r="AC27" i="31"/>
  <c r="AB28" i="30"/>
  <c r="AC27" i="30"/>
  <c r="AB29" i="29"/>
  <c r="AC28" i="29"/>
  <c r="AB27" i="27"/>
  <c r="AC26" i="27"/>
  <c r="AB25" i="26"/>
  <c r="AC24" i="26"/>
  <c r="AB24" i="25"/>
  <c r="AC22" i="24"/>
  <c r="AB23" i="24"/>
  <c r="AC22" i="23"/>
  <c r="AB23" i="23"/>
  <c r="AB21" i="22"/>
  <c r="AC20" i="22"/>
  <c r="AC21" i="21"/>
  <c r="AB22" i="21"/>
  <c r="AB20" i="19"/>
  <c r="AC19" i="19"/>
  <c r="AC18" i="18"/>
  <c r="AB19" i="18"/>
  <c r="AB20" i="17"/>
  <c r="AC19" i="17"/>
  <c r="AC18" i="15"/>
  <c r="AB19" i="15"/>
  <c r="AB20" i="16"/>
  <c r="AC19" i="16"/>
  <c r="AB18" i="13"/>
  <c r="AC17" i="13"/>
  <c r="P18" i="3"/>
  <c r="AC16" i="7"/>
  <c r="W130" i="39" s="1"/>
  <c r="AB17" i="7"/>
  <c r="V132" i="39"/>
  <c r="AB18" i="5"/>
  <c r="AC17" i="5"/>
  <c r="AB18" i="41"/>
  <c r="AC17" i="41"/>
  <c r="AB18" i="42"/>
  <c r="AC17" i="42"/>
  <c r="B13" i="12"/>
  <c r="B14" i="12"/>
  <c r="B15" i="12"/>
  <c r="B16" i="12"/>
  <c r="B17" i="12"/>
  <c r="B18" i="12"/>
  <c r="B19" i="12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10" i="12"/>
  <c r="B11" i="12"/>
  <c r="AC38" i="47" l="1"/>
  <c r="AB39" i="47"/>
  <c r="AB38" i="45"/>
  <c r="AC37" i="45"/>
  <c r="AB33" i="38"/>
  <c r="AC32" i="38"/>
  <c r="B13" i="40"/>
  <c r="AC34" i="37"/>
  <c r="AB35" i="37"/>
  <c r="AC32" i="36"/>
  <c r="AB33" i="36"/>
  <c r="AB32" i="35"/>
  <c r="AC31" i="35"/>
  <c r="AB31" i="34"/>
  <c r="AC30" i="34"/>
  <c r="AB29" i="32"/>
  <c r="AC28" i="32"/>
  <c r="AB29" i="31"/>
  <c r="AC28" i="31"/>
  <c r="AB29" i="30"/>
  <c r="AC28" i="30"/>
  <c r="AB30" i="29"/>
  <c r="AC29" i="29"/>
  <c r="AB28" i="27"/>
  <c r="AC27" i="27"/>
  <c r="AB26" i="26"/>
  <c r="AC25" i="26"/>
  <c r="AC24" i="25"/>
  <c r="AB25" i="25"/>
  <c r="AB24" i="24"/>
  <c r="AC23" i="24"/>
  <c r="AB24" i="23"/>
  <c r="AC23" i="23"/>
  <c r="AB22" i="22"/>
  <c r="AC21" i="22"/>
  <c r="AB23" i="21"/>
  <c r="AC22" i="21"/>
  <c r="AB21" i="19"/>
  <c r="AC20" i="19"/>
  <c r="AB20" i="18"/>
  <c r="AC19" i="18"/>
  <c r="AC20" i="17"/>
  <c r="AB21" i="17"/>
  <c r="AB20" i="15"/>
  <c r="AC19" i="15"/>
  <c r="AB21" i="16"/>
  <c r="AC20" i="16"/>
  <c r="AB19" i="13"/>
  <c r="AC18" i="13"/>
  <c r="P19" i="3"/>
  <c r="AB18" i="7"/>
  <c r="AC17" i="7"/>
  <c r="W131" i="39" s="1"/>
  <c r="V133" i="39"/>
  <c r="AB19" i="5"/>
  <c r="AC18" i="5"/>
  <c r="AB19" i="41"/>
  <c r="AC18" i="41"/>
  <c r="AB19" i="42"/>
  <c r="AC18" i="42"/>
  <c r="AB40" i="47" l="1"/>
  <c r="AC39" i="47"/>
  <c r="AB39" i="45"/>
  <c r="AC38" i="45"/>
  <c r="AB34" i="38"/>
  <c r="AC33" i="38"/>
  <c r="B14" i="40"/>
  <c r="AB36" i="37"/>
  <c r="AC35" i="37"/>
  <c r="AC33" i="36"/>
  <c r="AB34" i="36"/>
  <c r="AB33" i="35"/>
  <c r="AC32" i="35"/>
  <c r="AB32" i="34"/>
  <c r="AC31" i="34"/>
  <c r="AB30" i="32"/>
  <c r="AC29" i="32"/>
  <c r="AC29" i="31"/>
  <c r="AB30" i="31"/>
  <c r="AB30" i="30"/>
  <c r="AC29" i="30"/>
  <c r="AB31" i="29"/>
  <c r="AC30" i="29"/>
  <c r="AB29" i="27"/>
  <c r="AC28" i="27"/>
  <c r="AC26" i="26"/>
  <c r="AB27" i="26"/>
  <c r="AB26" i="25"/>
  <c r="AC24" i="24"/>
  <c r="AB25" i="24"/>
  <c r="AB25" i="23"/>
  <c r="AC24" i="23"/>
  <c r="AC22" i="22"/>
  <c r="AB23" i="22"/>
  <c r="AB24" i="21"/>
  <c r="AC23" i="21"/>
  <c r="AC21" i="19"/>
  <c r="AB22" i="19"/>
  <c r="AB21" i="18"/>
  <c r="AC20" i="18"/>
  <c r="AB22" i="17"/>
  <c r="AC21" i="17"/>
  <c r="AB21" i="15"/>
  <c r="AC20" i="15"/>
  <c r="AC21" i="16"/>
  <c r="AB22" i="16"/>
  <c r="AB20" i="13"/>
  <c r="AC19" i="13"/>
  <c r="P20" i="3"/>
  <c r="AB19" i="7"/>
  <c r="AC18" i="7"/>
  <c r="W132" i="39" s="1"/>
  <c r="V134" i="39"/>
  <c r="AB20" i="5"/>
  <c r="AC19" i="5"/>
  <c r="AB20" i="41"/>
  <c r="AC19" i="41"/>
  <c r="AB20" i="42"/>
  <c r="AC19" i="42"/>
  <c r="AB41" i="47" l="1"/>
  <c r="AC40" i="47"/>
  <c r="AB40" i="45"/>
  <c r="AC39" i="45"/>
  <c r="AB35" i="38"/>
  <c r="AC34" i="38"/>
  <c r="B15" i="40"/>
  <c r="AB37" i="37"/>
  <c r="AC36" i="37"/>
  <c r="AB35" i="36"/>
  <c r="AC34" i="36"/>
  <c r="AB34" i="35"/>
  <c r="AC33" i="35"/>
  <c r="AB33" i="34"/>
  <c r="AC32" i="34"/>
  <c r="AB31" i="32"/>
  <c r="AC30" i="32"/>
  <c r="AB31" i="31"/>
  <c r="AC30" i="31"/>
  <c r="AC30" i="30"/>
  <c r="AB31" i="30"/>
  <c r="AB32" i="29"/>
  <c r="AC31" i="29"/>
  <c r="AB30" i="27"/>
  <c r="AC29" i="27"/>
  <c r="AB28" i="26"/>
  <c r="AC27" i="26"/>
  <c r="AB27" i="25"/>
  <c r="AC25" i="24"/>
  <c r="AB26" i="24"/>
  <c r="AC25" i="23"/>
  <c r="AB26" i="23"/>
  <c r="AC23" i="22"/>
  <c r="AB24" i="22"/>
  <c r="AB25" i="21"/>
  <c r="AC24" i="21"/>
  <c r="AB23" i="19"/>
  <c r="AC22" i="19"/>
  <c r="AC21" i="18"/>
  <c r="AB22" i="18"/>
  <c r="AC22" i="17"/>
  <c r="AB23" i="17"/>
  <c r="AC21" i="15"/>
  <c r="AB22" i="15"/>
  <c r="AC22" i="16"/>
  <c r="AB23" i="16"/>
  <c r="AB21" i="13"/>
  <c r="AC20" i="13"/>
  <c r="P21" i="3"/>
  <c r="AB20" i="7"/>
  <c r="AC19" i="7"/>
  <c r="W133" i="39" s="1"/>
  <c r="V135" i="39"/>
  <c r="AC20" i="5"/>
  <c r="AB21" i="5"/>
  <c r="AC20" i="41"/>
  <c r="AB21" i="41"/>
  <c r="AC20" i="42"/>
  <c r="AB21" i="42"/>
  <c r="AC41" i="47" l="1"/>
  <c r="AB42" i="47"/>
  <c r="AB41" i="45"/>
  <c r="AC40" i="45"/>
  <c r="AB36" i="38"/>
  <c r="AC35" i="38"/>
  <c r="B16" i="40"/>
  <c r="AC37" i="37"/>
  <c r="AB38" i="37"/>
  <c r="AC35" i="36"/>
  <c r="AB36" i="36"/>
  <c r="AB35" i="35"/>
  <c r="AC34" i="35"/>
  <c r="AC33" i="34"/>
  <c r="AB34" i="34"/>
  <c r="AB32" i="32"/>
  <c r="AC31" i="32"/>
  <c r="AB32" i="31"/>
  <c r="AC31" i="31"/>
  <c r="AC31" i="30"/>
  <c r="AB32" i="30"/>
  <c r="AB33" i="29"/>
  <c r="AC32" i="29"/>
  <c r="AB31" i="27"/>
  <c r="AC30" i="27"/>
  <c r="AB29" i="26"/>
  <c r="AC28" i="26"/>
  <c r="AB28" i="25"/>
  <c r="AC26" i="24"/>
  <c r="AB27" i="24"/>
  <c r="AB27" i="23"/>
  <c r="AC26" i="23"/>
  <c r="AB25" i="22"/>
  <c r="AC24" i="22"/>
  <c r="AC25" i="21"/>
  <c r="AB26" i="21"/>
  <c r="AB24" i="19"/>
  <c r="AC23" i="19"/>
  <c r="AB23" i="18"/>
  <c r="AC22" i="18"/>
  <c r="AB24" i="17"/>
  <c r="AC23" i="17"/>
  <c r="AC22" i="15"/>
  <c r="AB23" i="15"/>
  <c r="AB24" i="16"/>
  <c r="AC23" i="16"/>
  <c r="AB22" i="13"/>
  <c r="AC21" i="13"/>
  <c r="P22" i="3"/>
  <c r="AC20" i="7"/>
  <c r="W134" i="39" s="1"/>
  <c r="AB21" i="7"/>
  <c r="V136" i="39"/>
  <c r="AB22" i="5"/>
  <c r="AC21" i="5"/>
  <c r="AB22" i="41"/>
  <c r="AC21" i="41"/>
  <c r="AB22" i="42"/>
  <c r="AC21" i="42"/>
  <c r="AB43" i="47" l="1"/>
  <c r="AC42" i="47"/>
  <c r="AB42" i="45"/>
  <c r="AC41" i="45"/>
  <c r="AC36" i="38"/>
  <c r="AB37" i="38"/>
  <c r="B17" i="40"/>
  <c r="AB39" i="37"/>
  <c r="AC38" i="37"/>
  <c r="AC36" i="36"/>
  <c r="AB37" i="36"/>
  <c r="AC35" i="35"/>
  <c r="AB36" i="35"/>
  <c r="AB35" i="34"/>
  <c r="AC34" i="34"/>
  <c r="AB33" i="32"/>
  <c r="AC32" i="32"/>
  <c r="AC32" i="31"/>
  <c r="AB33" i="31"/>
  <c r="AC32" i="30"/>
  <c r="AB33" i="30"/>
  <c r="AB34" i="29"/>
  <c r="AC33" i="29"/>
  <c r="AB32" i="27"/>
  <c r="AC31" i="27"/>
  <c r="AB30" i="26"/>
  <c r="AC29" i="26"/>
  <c r="AB29" i="25"/>
  <c r="AB28" i="24"/>
  <c r="AC27" i="24"/>
  <c r="AB28" i="23"/>
  <c r="AC27" i="23"/>
  <c r="AB26" i="22"/>
  <c r="AC25" i="22"/>
  <c r="AC26" i="21"/>
  <c r="AB27" i="21"/>
  <c r="AC24" i="19"/>
  <c r="AB25" i="19"/>
  <c r="AB24" i="18"/>
  <c r="AC23" i="18"/>
  <c r="AB25" i="17"/>
  <c r="AC24" i="17"/>
  <c r="AB24" i="15"/>
  <c r="AC23" i="15"/>
  <c r="AB25" i="16"/>
  <c r="AC24" i="16"/>
  <c r="AB23" i="13"/>
  <c r="AC22" i="13"/>
  <c r="P23" i="3"/>
  <c r="AB22" i="7"/>
  <c r="AC21" i="7"/>
  <c r="W135" i="39" s="1"/>
  <c r="V137" i="39"/>
  <c r="AB23" i="5"/>
  <c r="AC22" i="5"/>
  <c r="AB23" i="41"/>
  <c r="AC22" i="41"/>
  <c r="AB23" i="42"/>
  <c r="AC22" i="42"/>
  <c r="AB44" i="47" l="1"/>
  <c r="AC43" i="47"/>
  <c r="AB43" i="45"/>
  <c r="AC42" i="45"/>
  <c r="AC37" i="38"/>
  <c r="AB38" i="38"/>
  <c r="B18" i="40"/>
  <c r="AB40" i="37"/>
  <c r="AC39" i="37"/>
  <c r="AC37" i="36"/>
  <c r="AB38" i="36"/>
  <c r="AC36" i="35"/>
  <c r="AB37" i="35"/>
  <c r="AB36" i="34"/>
  <c r="AC35" i="34"/>
  <c r="AC33" i="32"/>
  <c r="AB34" i="32"/>
  <c r="AC33" i="31"/>
  <c r="AB34" i="31"/>
  <c r="AC33" i="30"/>
  <c r="AB34" i="30"/>
  <c r="AB35" i="29"/>
  <c r="AC34" i="29"/>
  <c r="AC32" i="27"/>
  <c r="AB33" i="27"/>
  <c r="AC30" i="26"/>
  <c r="AB31" i="26"/>
  <c r="AB30" i="25"/>
  <c r="AC28" i="24"/>
  <c r="AB29" i="24"/>
  <c r="AB29" i="23"/>
  <c r="AC28" i="23"/>
  <c r="AC26" i="22"/>
  <c r="AB27" i="22"/>
  <c r="AC27" i="21"/>
  <c r="AB28" i="21"/>
  <c r="AB26" i="19"/>
  <c r="AC25" i="19"/>
  <c r="AC24" i="18"/>
  <c r="AB25" i="18"/>
  <c r="AC25" i="17"/>
  <c r="AB26" i="17"/>
  <c r="AB25" i="15"/>
  <c r="AC24" i="15"/>
  <c r="AB26" i="16"/>
  <c r="AC25" i="16"/>
  <c r="AB24" i="13"/>
  <c r="AC23" i="13"/>
  <c r="P24" i="3"/>
  <c r="P25" i="3" s="1"/>
  <c r="P26" i="3" s="1"/>
  <c r="P27" i="3" s="1"/>
  <c r="P28" i="3" s="1"/>
  <c r="P29" i="3" s="1"/>
  <c r="P30" i="3" s="1"/>
  <c r="P31" i="3" s="1"/>
  <c r="P32" i="3" s="1"/>
  <c r="P33" i="3" s="1"/>
  <c r="P34" i="3" s="1"/>
  <c r="P35" i="3" s="1"/>
  <c r="P36" i="3" s="1"/>
  <c r="P37" i="3" s="1"/>
  <c r="P38" i="3" s="1"/>
  <c r="P39" i="3" s="1"/>
  <c r="P40" i="3" s="1"/>
  <c r="P41" i="3" s="1"/>
  <c r="P42" i="3" s="1"/>
  <c r="P43" i="3" s="1"/>
  <c r="P44" i="3" s="1"/>
  <c r="P45" i="3" s="1"/>
  <c r="P46" i="3" s="1"/>
  <c r="P47" i="3" s="1"/>
  <c r="P48" i="3" s="1"/>
  <c r="P49" i="3" s="1"/>
  <c r="P50" i="3" s="1"/>
  <c r="P51" i="3" s="1"/>
  <c r="P52" i="3" s="1"/>
  <c r="P53" i="3" s="1"/>
  <c r="P54" i="3" s="1"/>
  <c r="P55" i="3" s="1"/>
  <c r="P56" i="3" s="1"/>
  <c r="P57" i="3" s="1"/>
  <c r="P58" i="3" s="1"/>
  <c r="P59" i="3" s="1"/>
  <c r="P60" i="3" s="1"/>
  <c r="P61" i="3" s="1"/>
  <c r="P62" i="3" s="1"/>
  <c r="P63" i="3" s="1"/>
  <c r="P64" i="3" s="1"/>
  <c r="P65" i="3" s="1"/>
  <c r="P66" i="3" s="1"/>
  <c r="P67" i="3" s="1"/>
  <c r="P68" i="3" s="1"/>
  <c r="P69" i="3" s="1"/>
  <c r="P70" i="3" s="1"/>
  <c r="P71" i="3" s="1"/>
  <c r="P72" i="3" s="1"/>
  <c r="P73" i="3" s="1"/>
  <c r="P74" i="3" s="1"/>
  <c r="P75" i="3" s="1"/>
  <c r="P76" i="3" s="1"/>
  <c r="P77" i="3" s="1"/>
  <c r="P78" i="3" s="1"/>
  <c r="P79" i="3" s="1"/>
  <c r="P80" i="3" s="1"/>
  <c r="P81" i="3" s="1"/>
  <c r="P82" i="3" s="1"/>
  <c r="P83" i="3" s="1"/>
  <c r="AB23" i="7"/>
  <c r="AC22" i="7"/>
  <c r="V138" i="39"/>
  <c r="AB24" i="5"/>
  <c r="AC23" i="5"/>
  <c r="AB24" i="41"/>
  <c r="AC23" i="41"/>
  <c r="AB24" i="42"/>
  <c r="AC23" i="42"/>
  <c r="AC44" i="47" l="1"/>
  <c r="AB45" i="47"/>
  <c r="AB44" i="45"/>
  <c r="AC43" i="45"/>
  <c r="AB39" i="38"/>
  <c r="AC38" i="38"/>
  <c r="B19" i="40"/>
  <c r="AB41" i="37"/>
  <c r="AC40" i="37"/>
  <c r="P84" i="3"/>
  <c r="H61" i="31" s="1"/>
  <c r="H87" i="36"/>
  <c r="H85" i="35"/>
  <c r="H85" i="34"/>
  <c r="H85" i="32"/>
  <c r="AB39" i="36"/>
  <c r="AC38" i="36"/>
  <c r="AC37" i="35"/>
  <c r="AB38" i="35"/>
  <c r="AC36" i="34"/>
  <c r="AB37" i="34"/>
  <c r="AB35" i="32"/>
  <c r="AC34" i="32"/>
  <c r="K67" i="3"/>
  <c r="H20" i="31"/>
  <c r="N20" i="31" s="1"/>
  <c r="H46" i="31"/>
  <c r="N46" i="31" s="1"/>
  <c r="H86" i="31"/>
  <c r="H33" i="31"/>
  <c r="N33" i="31" s="1"/>
  <c r="H67" i="31"/>
  <c r="H68" i="31"/>
  <c r="H60" i="31"/>
  <c r="H62" i="31"/>
  <c r="H44" i="31"/>
  <c r="N44" i="31" s="1"/>
  <c r="H40" i="31"/>
  <c r="N40" i="31" s="1"/>
  <c r="H53" i="31"/>
  <c r="H88" i="31"/>
  <c r="H55" i="31"/>
  <c r="H91" i="31"/>
  <c r="H50" i="31"/>
  <c r="H84" i="31"/>
  <c r="H38" i="31"/>
  <c r="N38" i="31" s="1"/>
  <c r="H96" i="31"/>
  <c r="H77" i="31"/>
  <c r="H70" i="31"/>
  <c r="H90" i="31"/>
  <c r="H21" i="31"/>
  <c r="N21" i="31" s="1"/>
  <c r="H41" i="31"/>
  <c r="N41" i="31" s="1"/>
  <c r="H81" i="31"/>
  <c r="H69" i="31"/>
  <c r="H25" i="31"/>
  <c r="N25" i="31" s="1"/>
  <c r="H29" i="31"/>
  <c r="N29" i="31" s="1"/>
  <c r="H24" i="31"/>
  <c r="N24" i="31" s="1"/>
  <c r="H16" i="31"/>
  <c r="N16" i="31" s="1"/>
  <c r="H82" i="31"/>
  <c r="H92" i="31"/>
  <c r="H75" i="31"/>
  <c r="H79" i="31"/>
  <c r="H95" i="31"/>
  <c r="H42" i="31"/>
  <c r="N42" i="31" s="1"/>
  <c r="H52" i="31"/>
  <c r="H58" i="31"/>
  <c r="H74" i="31"/>
  <c r="H23" i="31"/>
  <c r="N23" i="31" s="1"/>
  <c r="H35" i="31"/>
  <c r="N35" i="31" s="1"/>
  <c r="H12" i="31"/>
  <c r="N12" i="31" s="1"/>
  <c r="H37" i="31"/>
  <c r="N37" i="31" s="1"/>
  <c r="H89" i="31"/>
  <c r="H19" i="31"/>
  <c r="N19" i="31" s="1"/>
  <c r="H78" i="31"/>
  <c r="H93" i="31"/>
  <c r="H51" i="31"/>
  <c r="H34" i="31"/>
  <c r="N34" i="31" s="1"/>
  <c r="H73" i="31"/>
  <c r="H18" i="31"/>
  <c r="N18" i="31" s="1"/>
  <c r="H28" i="31"/>
  <c r="N28" i="31" s="1"/>
  <c r="H83" i="31"/>
  <c r="H59" i="31"/>
  <c r="H94" i="31"/>
  <c r="H30" i="31"/>
  <c r="N30" i="31" s="1"/>
  <c r="H31" i="31"/>
  <c r="N31" i="31" s="1"/>
  <c r="H15" i="31"/>
  <c r="N15" i="31" s="1"/>
  <c r="H80" i="31"/>
  <c r="H63" i="31"/>
  <c r="H11" i="31"/>
  <c r="N11" i="31" s="1"/>
  <c r="H10" i="31"/>
  <c r="N10" i="31" s="1"/>
  <c r="H27" i="31"/>
  <c r="N27" i="31" s="1"/>
  <c r="H14" i="31"/>
  <c r="N14" i="31" s="1"/>
  <c r="H32" i="31"/>
  <c r="N32" i="31" s="1"/>
  <c r="H65" i="31"/>
  <c r="H76" i="31"/>
  <c r="H85" i="31"/>
  <c r="H26" i="31"/>
  <c r="N26" i="31" s="1"/>
  <c r="H87" i="31"/>
  <c r="H45" i="31"/>
  <c r="CB19" i="39" s="1"/>
  <c r="H56" i="31"/>
  <c r="H72" i="31"/>
  <c r="H49" i="31"/>
  <c r="H48" i="31"/>
  <c r="H13" i="31"/>
  <c r="N13" i="31" s="1"/>
  <c r="H47" i="31"/>
  <c r="CB21" i="39" s="1"/>
  <c r="H17" i="31"/>
  <c r="N17" i="31" s="1"/>
  <c r="H66" i="31"/>
  <c r="H39" i="31"/>
  <c r="N39" i="31" s="1"/>
  <c r="H40" i="30"/>
  <c r="N40" i="30" s="1"/>
  <c r="H43" i="31"/>
  <c r="N43" i="31" s="1"/>
  <c r="H54" i="31"/>
  <c r="H71" i="31"/>
  <c r="H57" i="31"/>
  <c r="H64" i="31"/>
  <c r="H22" i="31"/>
  <c r="N22" i="31" s="1"/>
  <c r="AC34" i="31"/>
  <c r="AB35" i="31"/>
  <c r="K13" i="3"/>
  <c r="H85" i="30"/>
  <c r="H35" i="27"/>
  <c r="N35" i="27" s="1"/>
  <c r="H78" i="25"/>
  <c r="H64" i="25"/>
  <c r="H37" i="25"/>
  <c r="H44" i="29"/>
  <c r="H39" i="25"/>
  <c r="N39" i="25" s="1"/>
  <c r="H59" i="27"/>
  <c r="H84" i="25"/>
  <c r="H42" i="25"/>
  <c r="N42" i="25" s="1"/>
  <c r="H26" i="27"/>
  <c r="N26" i="27" s="1"/>
  <c r="H48" i="25"/>
  <c r="H12" i="25"/>
  <c r="H56" i="25"/>
  <c r="H45" i="25"/>
  <c r="H91" i="25"/>
  <c r="H53" i="25"/>
  <c r="H31" i="25"/>
  <c r="N31" i="25" s="1"/>
  <c r="H22" i="26"/>
  <c r="N22" i="26" s="1"/>
  <c r="H51" i="26"/>
  <c r="H90" i="25"/>
  <c r="H73" i="25"/>
  <c r="H38" i="27"/>
  <c r="N38" i="27" s="1"/>
  <c r="H71" i="25"/>
  <c r="H88" i="25"/>
  <c r="H89" i="25"/>
  <c r="H53" i="30"/>
  <c r="N53" i="30" s="1"/>
  <c r="H40" i="26"/>
  <c r="H82" i="25"/>
  <c r="H25" i="27"/>
  <c r="N25" i="27" s="1"/>
  <c r="H85" i="27"/>
  <c r="H50" i="29"/>
  <c r="H20" i="25"/>
  <c r="N20" i="25" s="1"/>
  <c r="H53" i="27"/>
  <c r="H72" i="25"/>
  <c r="H94" i="25"/>
  <c r="H87" i="25"/>
  <c r="H36" i="24"/>
  <c r="N36" i="24" s="1"/>
  <c r="H29" i="25"/>
  <c r="N29" i="25" s="1"/>
  <c r="H61" i="25"/>
  <c r="H67" i="25"/>
  <c r="H83" i="25"/>
  <c r="H74" i="25"/>
  <c r="H25" i="24"/>
  <c r="N25" i="24" s="1"/>
  <c r="H79" i="27"/>
  <c r="H59" i="25"/>
  <c r="H55" i="25"/>
  <c r="H76" i="25"/>
  <c r="H63" i="25"/>
  <c r="H41" i="27"/>
  <c r="N41" i="27" s="1"/>
  <c r="H28" i="25"/>
  <c r="N28" i="25" s="1"/>
  <c r="H54" i="25"/>
  <c r="H85" i="25"/>
  <c r="H92" i="25"/>
  <c r="H65" i="25"/>
  <c r="H14" i="23"/>
  <c r="N14" i="23" s="1"/>
  <c r="H80" i="27"/>
  <c r="H24" i="23"/>
  <c r="N24" i="23" s="1"/>
  <c r="H36" i="26"/>
  <c r="N36" i="26" s="1"/>
  <c r="H37" i="29"/>
  <c r="N37" i="29" s="1"/>
  <c r="H90" i="27"/>
  <c r="H62" i="27"/>
  <c r="H37" i="24"/>
  <c r="N37" i="24" s="1"/>
  <c r="H56" i="26"/>
  <c r="H18" i="25"/>
  <c r="N18" i="25" s="1"/>
  <c r="H50" i="26"/>
  <c r="H94" i="27"/>
  <c r="H76" i="23"/>
  <c r="H64" i="27"/>
  <c r="H66" i="24"/>
  <c r="H93" i="25"/>
  <c r="H19" i="29"/>
  <c r="N19" i="29" s="1"/>
  <c r="H76" i="29"/>
  <c r="H43" i="26"/>
  <c r="N43" i="26" s="1"/>
  <c r="O43" i="26" s="1"/>
  <c r="BP19" i="39" s="1"/>
  <c r="H30" i="26"/>
  <c r="N30" i="26" s="1"/>
  <c r="H57" i="29"/>
  <c r="H10" i="26"/>
  <c r="N10" i="26" s="1"/>
  <c r="H31" i="27"/>
  <c r="N31" i="27" s="1"/>
  <c r="H70" i="23"/>
  <c r="H36" i="23"/>
  <c r="N36" i="23" s="1"/>
  <c r="H41" i="25"/>
  <c r="N41" i="25" s="1"/>
  <c r="H30" i="24"/>
  <c r="N30" i="24" s="1"/>
  <c r="H16" i="26"/>
  <c r="N16" i="26" s="1"/>
  <c r="H73" i="24"/>
  <c r="H84" i="29"/>
  <c r="H82" i="23"/>
  <c r="H60" i="26"/>
  <c r="H13" i="29"/>
  <c r="N13" i="29" s="1"/>
  <c r="H75" i="29"/>
  <c r="H34" i="23"/>
  <c r="N34" i="23" s="1"/>
  <c r="H68" i="26"/>
  <c r="H71" i="23"/>
  <c r="H24" i="30"/>
  <c r="N24" i="30" s="1"/>
  <c r="H49" i="24"/>
  <c r="H92" i="26"/>
  <c r="H78" i="30"/>
  <c r="H65" i="29"/>
  <c r="H86" i="30"/>
  <c r="H72" i="27"/>
  <c r="H87" i="29"/>
  <c r="H23" i="23"/>
  <c r="N23" i="23" s="1"/>
  <c r="H84" i="27"/>
  <c r="H73" i="27"/>
  <c r="H64" i="23"/>
  <c r="H57" i="24"/>
  <c r="H72" i="23"/>
  <c r="H20" i="27"/>
  <c r="N20" i="27" s="1"/>
  <c r="H63" i="24"/>
  <c r="H41" i="23"/>
  <c r="H17" i="30"/>
  <c r="N17" i="30" s="1"/>
  <c r="H37" i="30"/>
  <c r="N37" i="30" s="1"/>
  <c r="H89" i="27"/>
  <c r="H46" i="23"/>
  <c r="H80" i="29"/>
  <c r="H89" i="30"/>
  <c r="H16" i="24"/>
  <c r="N16" i="24" s="1"/>
  <c r="H60" i="24"/>
  <c r="H18" i="29"/>
  <c r="N18" i="29" s="1"/>
  <c r="H67" i="24"/>
  <c r="H15" i="29"/>
  <c r="N15" i="29" s="1"/>
  <c r="H25" i="25"/>
  <c r="N25" i="25" s="1"/>
  <c r="H55" i="24"/>
  <c r="H86" i="25"/>
  <c r="H51" i="27"/>
  <c r="H28" i="27"/>
  <c r="N28" i="27" s="1"/>
  <c r="H13" i="30"/>
  <c r="N13" i="30" s="1"/>
  <c r="H11" i="24"/>
  <c r="N11" i="24" s="1"/>
  <c r="H68" i="24"/>
  <c r="H57" i="25"/>
  <c r="H91" i="24"/>
  <c r="H53" i="24"/>
  <c r="H39" i="26"/>
  <c r="N39" i="26" s="1"/>
  <c r="O39" i="26" s="1"/>
  <c r="BP57" i="39" s="1"/>
  <c r="H84" i="26"/>
  <c r="H67" i="30"/>
  <c r="H13" i="25"/>
  <c r="N13" i="25" s="1"/>
  <c r="H90" i="29"/>
  <c r="H19" i="26"/>
  <c r="N19" i="26" s="1"/>
  <c r="H23" i="30"/>
  <c r="N23" i="30" s="1"/>
  <c r="H21" i="27"/>
  <c r="N21" i="27" s="1"/>
  <c r="H51" i="25"/>
  <c r="H44" i="24"/>
  <c r="N44" i="24" s="1"/>
  <c r="O44" i="24" s="1"/>
  <c r="BJ29" i="39" s="1"/>
  <c r="H86" i="24"/>
  <c r="H42" i="30"/>
  <c r="N42" i="30" s="1"/>
  <c r="H77" i="27"/>
  <c r="H85" i="26"/>
  <c r="H58" i="23"/>
  <c r="H35" i="25"/>
  <c r="N35" i="25" s="1"/>
  <c r="H50" i="30"/>
  <c r="N50" i="30" s="1"/>
  <c r="H12" i="26"/>
  <c r="N12" i="26" s="1"/>
  <c r="H58" i="27"/>
  <c r="H54" i="26"/>
  <c r="H26" i="25"/>
  <c r="N26" i="25" s="1"/>
  <c r="H37" i="23"/>
  <c r="H22" i="30"/>
  <c r="N22" i="30" s="1"/>
  <c r="H32" i="26"/>
  <c r="N32" i="26" s="1"/>
  <c r="H47" i="29"/>
  <c r="H48" i="27"/>
  <c r="H79" i="24"/>
  <c r="H18" i="30"/>
  <c r="N18" i="30" s="1"/>
  <c r="H59" i="24"/>
  <c r="H87" i="24"/>
  <c r="H23" i="25"/>
  <c r="N23" i="25" s="1"/>
  <c r="H28" i="26"/>
  <c r="N28" i="26" s="1"/>
  <c r="H11" i="26"/>
  <c r="N11" i="26" s="1"/>
  <c r="H75" i="23"/>
  <c r="H94" i="23"/>
  <c r="H60" i="29"/>
  <c r="H42" i="23"/>
  <c r="H83" i="30"/>
  <c r="H24" i="26"/>
  <c r="N24" i="26" s="1"/>
  <c r="H15" i="30"/>
  <c r="N15" i="30" s="1"/>
  <c r="H51" i="29"/>
  <c r="H58" i="26"/>
  <c r="H32" i="29"/>
  <c r="N32" i="29" s="1"/>
  <c r="H84" i="30"/>
  <c r="H11" i="27"/>
  <c r="N11" i="27" s="1"/>
  <c r="H88" i="30"/>
  <c r="H64" i="24"/>
  <c r="H10" i="30"/>
  <c r="N10" i="30" s="1"/>
  <c r="H78" i="23"/>
  <c r="H69" i="29"/>
  <c r="H27" i="25"/>
  <c r="N27" i="25" s="1"/>
  <c r="H39" i="24"/>
  <c r="N39" i="24" s="1"/>
  <c r="H40" i="27"/>
  <c r="N40" i="27" s="1"/>
  <c r="H42" i="26"/>
  <c r="N42" i="26" s="1"/>
  <c r="O42" i="26" s="1"/>
  <c r="BP52" i="39" s="1"/>
  <c r="H74" i="26"/>
  <c r="H38" i="23"/>
  <c r="H53" i="23"/>
  <c r="H59" i="30"/>
  <c r="H15" i="24"/>
  <c r="N15" i="24" s="1"/>
  <c r="H26" i="23"/>
  <c r="N26" i="23" s="1"/>
  <c r="H30" i="27"/>
  <c r="N30" i="27" s="1"/>
  <c r="H44" i="25"/>
  <c r="N44" i="25" s="1"/>
  <c r="H91" i="27"/>
  <c r="H71" i="27"/>
  <c r="H37" i="26"/>
  <c r="N37" i="26" s="1"/>
  <c r="H16" i="29"/>
  <c r="N16" i="29" s="1"/>
  <c r="H76" i="24"/>
  <c r="H38" i="29"/>
  <c r="N38" i="29" s="1"/>
  <c r="H12" i="23"/>
  <c r="N12" i="23" s="1"/>
  <c r="H77" i="25"/>
  <c r="H89" i="23"/>
  <c r="H46" i="25"/>
  <c r="H26" i="24"/>
  <c r="N26" i="24" s="1"/>
  <c r="H27" i="27"/>
  <c r="N27" i="27" s="1"/>
  <c r="H86" i="29"/>
  <c r="H65" i="23"/>
  <c r="H38" i="24"/>
  <c r="N38" i="24" s="1"/>
  <c r="H59" i="29"/>
  <c r="H36" i="29"/>
  <c r="N36" i="29" s="1"/>
  <c r="H19" i="23"/>
  <c r="N19" i="23" s="1"/>
  <c r="H23" i="29"/>
  <c r="N23" i="29" s="1"/>
  <c r="H73" i="23"/>
  <c r="H14" i="30"/>
  <c r="N14" i="30" s="1"/>
  <c r="H75" i="24"/>
  <c r="H30" i="23"/>
  <c r="N30" i="23" s="1"/>
  <c r="H71" i="26"/>
  <c r="H85" i="24"/>
  <c r="H63" i="26"/>
  <c r="H40" i="24"/>
  <c r="N40" i="24" s="1"/>
  <c r="H56" i="30"/>
  <c r="H72" i="30"/>
  <c r="H29" i="29"/>
  <c r="N29" i="29" s="1"/>
  <c r="H79" i="26"/>
  <c r="H50" i="23"/>
  <c r="H82" i="24"/>
  <c r="H20" i="26"/>
  <c r="N20" i="26" s="1"/>
  <c r="H68" i="29"/>
  <c r="H49" i="23"/>
  <c r="H81" i="26"/>
  <c r="H11" i="25"/>
  <c r="N11" i="25" s="1"/>
  <c r="H93" i="29"/>
  <c r="H91" i="23"/>
  <c r="H33" i="24"/>
  <c r="N33" i="24" s="1"/>
  <c r="H27" i="29"/>
  <c r="N27" i="29" s="1"/>
  <c r="H92" i="24"/>
  <c r="H17" i="23"/>
  <c r="N17" i="23" s="1"/>
  <c r="H72" i="24"/>
  <c r="H60" i="27"/>
  <c r="H57" i="27"/>
  <c r="H65" i="30"/>
  <c r="H72" i="29"/>
  <c r="H72" i="26"/>
  <c r="H43" i="29"/>
  <c r="H61" i="24"/>
  <c r="H88" i="26"/>
  <c r="H24" i="25"/>
  <c r="N24" i="25" s="1"/>
  <c r="H18" i="23"/>
  <c r="N18" i="23" s="1"/>
  <c r="H44" i="27"/>
  <c r="H65" i="27"/>
  <c r="H58" i="30"/>
  <c r="H83" i="23"/>
  <c r="H82" i="30"/>
  <c r="H34" i="27"/>
  <c r="N34" i="27" s="1"/>
  <c r="H32" i="30"/>
  <c r="N32" i="30" s="1"/>
  <c r="H21" i="24"/>
  <c r="N21" i="24" s="1"/>
  <c r="H36" i="25"/>
  <c r="N36" i="25" s="1"/>
  <c r="H58" i="24"/>
  <c r="H23" i="24"/>
  <c r="N23" i="24" s="1"/>
  <c r="H52" i="23"/>
  <c r="H60" i="30"/>
  <c r="H57" i="30"/>
  <c r="H82" i="27"/>
  <c r="H52" i="27"/>
  <c r="H33" i="25"/>
  <c r="N33" i="25" s="1"/>
  <c r="H67" i="29"/>
  <c r="H12" i="24"/>
  <c r="N12" i="24" s="1"/>
  <c r="H86" i="27"/>
  <c r="H14" i="29"/>
  <c r="N14" i="29" s="1"/>
  <c r="H73" i="26"/>
  <c r="H43" i="25"/>
  <c r="N43" i="25" s="1"/>
  <c r="H12" i="27"/>
  <c r="N12" i="27" s="1"/>
  <c r="H92" i="27"/>
  <c r="H78" i="24"/>
  <c r="H70" i="24"/>
  <c r="H19" i="30"/>
  <c r="N19" i="30" s="1"/>
  <c r="H90" i="23"/>
  <c r="H13" i="24"/>
  <c r="N13" i="24" s="1"/>
  <c r="H33" i="26"/>
  <c r="N33" i="26" s="1"/>
  <c r="H29" i="24"/>
  <c r="N29" i="24" s="1"/>
  <c r="H17" i="27"/>
  <c r="N17" i="27" s="1"/>
  <c r="H14" i="26"/>
  <c r="N14" i="26" s="1"/>
  <c r="H47" i="25"/>
  <c r="H32" i="27"/>
  <c r="N32" i="27" s="1"/>
  <c r="H84" i="24"/>
  <c r="H18" i="24"/>
  <c r="N18" i="24" s="1"/>
  <c r="H38" i="26"/>
  <c r="N38" i="26" s="1"/>
  <c r="H69" i="25"/>
  <c r="H36" i="30"/>
  <c r="N36" i="30" s="1"/>
  <c r="H10" i="25"/>
  <c r="N10" i="25" s="1"/>
  <c r="H93" i="27"/>
  <c r="H78" i="27"/>
  <c r="H18" i="27"/>
  <c r="N18" i="27" s="1"/>
  <c r="H85" i="23"/>
  <c r="H59" i="26"/>
  <c r="H69" i="24"/>
  <c r="H56" i="27"/>
  <c r="H27" i="30"/>
  <c r="N27" i="30" s="1"/>
  <c r="H85" i="29"/>
  <c r="H30" i="25"/>
  <c r="N30" i="25" s="1"/>
  <c r="H26" i="29"/>
  <c r="N26" i="29" s="1"/>
  <c r="H81" i="27"/>
  <c r="H44" i="23"/>
  <c r="H46" i="30"/>
  <c r="N46" i="30" s="1"/>
  <c r="H88" i="27"/>
  <c r="H31" i="29"/>
  <c r="N31" i="29" s="1"/>
  <c r="H69" i="23"/>
  <c r="H56" i="23"/>
  <c r="H45" i="26"/>
  <c r="H20" i="24"/>
  <c r="N20" i="24" s="1"/>
  <c r="H39" i="23"/>
  <c r="H46" i="24"/>
  <c r="H66" i="27"/>
  <c r="H14" i="25"/>
  <c r="N14" i="25" s="1"/>
  <c r="H37" i="27"/>
  <c r="N37" i="27" s="1"/>
  <c r="H25" i="26"/>
  <c r="N25" i="26" s="1"/>
  <c r="H84" i="23"/>
  <c r="H52" i="26"/>
  <c r="H25" i="29"/>
  <c r="N25" i="29" s="1"/>
  <c r="H48" i="26"/>
  <c r="H66" i="25"/>
  <c r="H21" i="29"/>
  <c r="N21" i="29" s="1"/>
  <c r="H93" i="30"/>
  <c r="H54" i="30"/>
  <c r="H75" i="30"/>
  <c r="H81" i="24"/>
  <c r="H75" i="25"/>
  <c r="H22" i="29"/>
  <c r="N22" i="29" s="1"/>
  <c r="H13" i="27"/>
  <c r="N13" i="27" s="1"/>
  <c r="H46" i="26"/>
  <c r="H61" i="27"/>
  <c r="H33" i="27"/>
  <c r="N33" i="27" s="1"/>
  <c r="H75" i="26"/>
  <c r="H25" i="30"/>
  <c r="N25" i="30" s="1"/>
  <c r="H49" i="29"/>
  <c r="H83" i="24"/>
  <c r="H77" i="26"/>
  <c r="H40" i="23"/>
  <c r="H11" i="29"/>
  <c r="N11" i="29" s="1"/>
  <c r="H91" i="29"/>
  <c r="H67" i="23"/>
  <c r="H58" i="29"/>
  <c r="H44" i="30"/>
  <c r="N44" i="30" s="1"/>
  <c r="H59" i="23"/>
  <c r="H74" i="23"/>
  <c r="H28" i="29"/>
  <c r="N28" i="29" s="1"/>
  <c r="H47" i="23"/>
  <c r="H30" i="30"/>
  <c r="N30" i="30" s="1"/>
  <c r="H35" i="29"/>
  <c r="N35" i="29" s="1"/>
  <c r="H17" i="29"/>
  <c r="N17" i="29" s="1"/>
  <c r="H80" i="25"/>
  <c r="H30" i="29"/>
  <c r="N30" i="29" s="1"/>
  <c r="H64" i="29"/>
  <c r="H87" i="26"/>
  <c r="H14" i="27"/>
  <c r="N14" i="27" s="1"/>
  <c r="H24" i="27"/>
  <c r="N24" i="27" s="1"/>
  <c r="H51" i="23"/>
  <c r="H46" i="27"/>
  <c r="H70" i="25"/>
  <c r="H52" i="24"/>
  <c r="H20" i="23"/>
  <c r="N20" i="23" s="1"/>
  <c r="H52" i="30"/>
  <c r="N52" i="30" s="1"/>
  <c r="H48" i="24"/>
  <c r="H79" i="25"/>
  <c r="H39" i="29"/>
  <c r="N39" i="29" s="1"/>
  <c r="H66" i="30"/>
  <c r="H51" i="30"/>
  <c r="N51" i="30" s="1"/>
  <c r="H50" i="27"/>
  <c r="H91" i="30"/>
  <c r="H94" i="29"/>
  <c r="H53" i="26"/>
  <c r="H81" i="25"/>
  <c r="H19" i="25"/>
  <c r="N19" i="25" s="1"/>
  <c r="H35" i="23"/>
  <c r="N35" i="23" s="1"/>
  <c r="H63" i="23"/>
  <c r="H11" i="23"/>
  <c r="N11" i="23" s="1"/>
  <c r="H16" i="30"/>
  <c r="N16" i="30" s="1"/>
  <c r="H13" i="26"/>
  <c r="N13" i="26" s="1"/>
  <c r="H39" i="30"/>
  <c r="N39" i="30" s="1"/>
  <c r="H54" i="29"/>
  <c r="H55" i="30"/>
  <c r="H93" i="24"/>
  <c r="H90" i="26"/>
  <c r="H45" i="23"/>
  <c r="H41" i="30"/>
  <c r="N41" i="30" s="1"/>
  <c r="H35" i="26"/>
  <c r="N35" i="26" s="1"/>
  <c r="H33" i="23"/>
  <c r="N33" i="23" s="1"/>
  <c r="H81" i="23"/>
  <c r="H61" i="30"/>
  <c r="H73" i="30"/>
  <c r="H54" i="24"/>
  <c r="H48" i="29"/>
  <c r="H82" i="26"/>
  <c r="H70" i="30"/>
  <c r="H89" i="26"/>
  <c r="H62" i="30"/>
  <c r="H15" i="23"/>
  <c r="N15" i="23" s="1"/>
  <c r="H67" i="26"/>
  <c r="H47" i="27"/>
  <c r="H40" i="25"/>
  <c r="N40" i="25" s="1"/>
  <c r="H16" i="27"/>
  <c r="N16" i="27" s="1"/>
  <c r="H29" i="26"/>
  <c r="N29" i="26" s="1"/>
  <c r="H55" i="29"/>
  <c r="H62" i="25"/>
  <c r="H12" i="30"/>
  <c r="N12" i="30" s="1"/>
  <c r="H69" i="27"/>
  <c r="H90" i="24"/>
  <c r="H79" i="30"/>
  <c r="H74" i="27"/>
  <c r="H65" i="26"/>
  <c r="H54" i="27"/>
  <c r="H42" i="27"/>
  <c r="H44" i="26"/>
  <c r="H16" i="25"/>
  <c r="N16" i="25" s="1"/>
  <c r="H77" i="24"/>
  <c r="H77" i="30"/>
  <c r="H34" i="29"/>
  <c r="N34" i="29" s="1"/>
  <c r="H83" i="26"/>
  <c r="H61" i="29"/>
  <c r="H83" i="29"/>
  <c r="H87" i="27"/>
  <c r="H82" i="29"/>
  <c r="H46" i="29"/>
  <c r="H93" i="26"/>
  <c r="H77" i="23"/>
  <c r="H18" i="26"/>
  <c r="N18" i="26" s="1"/>
  <c r="H19" i="24"/>
  <c r="N19" i="24" s="1"/>
  <c r="H55" i="26"/>
  <c r="H58" i="25"/>
  <c r="H48" i="30"/>
  <c r="H79" i="23"/>
  <c r="H15" i="27"/>
  <c r="N15" i="27" s="1"/>
  <c r="H43" i="23"/>
  <c r="H21" i="23"/>
  <c r="N21" i="23" s="1"/>
  <c r="H71" i="29"/>
  <c r="H13" i="23"/>
  <c r="N13" i="23" s="1"/>
  <c r="H83" i="27"/>
  <c r="H76" i="27"/>
  <c r="H42" i="24"/>
  <c r="N42" i="24" s="1"/>
  <c r="H26" i="30"/>
  <c r="N26" i="30" s="1"/>
  <c r="H91" i="26"/>
  <c r="H70" i="29"/>
  <c r="H71" i="30"/>
  <c r="H32" i="25"/>
  <c r="N32" i="25" s="1"/>
  <c r="H31" i="30"/>
  <c r="N31" i="30" s="1"/>
  <c r="H45" i="24"/>
  <c r="N45" i="24" s="1"/>
  <c r="O45" i="24" s="1"/>
  <c r="BJ13" i="39" s="1"/>
  <c r="H78" i="29"/>
  <c r="H49" i="26"/>
  <c r="H38" i="30"/>
  <c r="N38" i="30" s="1"/>
  <c r="H77" i="29"/>
  <c r="H74" i="24"/>
  <c r="H86" i="26"/>
  <c r="H38" i="25"/>
  <c r="N38" i="25" s="1"/>
  <c r="H62" i="24"/>
  <c r="H64" i="30"/>
  <c r="H65" i="24"/>
  <c r="H74" i="29"/>
  <c r="H22" i="27"/>
  <c r="N22" i="27" s="1"/>
  <c r="H68" i="30"/>
  <c r="H60" i="23"/>
  <c r="H57" i="26"/>
  <c r="H45" i="29"/>
  <c r="H20" i="30"/>
  <c r="N20" i="30" s="1"/>
  <c r="H17" i="24"/>
  <c r="N17" i="24" s="1"/>
  <c r="H62" i="23"/>
  <c r="H25" i="23"/>
  <c r="N25" i="23" s="1"/>
  <c r="H23" i="26"/>
  <c r="N23" i="26" s="1"/>
  <c r="H41" i="29"/>
  <c r="N41" i="29" s="1"/>
  <c r="H34" i="30"/>
  <c r="N34" i="30" s="1"/>
  <c r="H24" i="24"/>
  <c r="N24" i="24" s="1"/>
  <c r="H93" i="23"/>
  <c r="H26" i="26"/>
  <c r="N26" i="26" s="1"/>
  <c r="H27" i="24"/>
  <c r="N27" i="24" s="1"/>
  <c r="H22" i="24"/>
  <c r="N22" i="24" s="1"/>
  <c r="H36" i="27"/>
  <c r="N36" i="27" s="1"/>
  <c r="H43" i="30"/>
  <c r="N43" i="30" s="1"/>
  <c r="H80" i="26"/>
  <c r="H41" i="26"/>
  <c r="N41" i="26" s="1"/>
  <c r="O41" i="26" s="1"/>
  <c r="BP56" i="39" s="1"/>
  <c r="H87" i="23"/>
  <c r="H16" i="23"/>
  <c r="N16" i="23" s="1"/>
  <c r="H28" i="24"/>
  <c r="N28" i="24" s="1"/>
  <c r="H92" i="23"/>
  <c r="H17" i="25"/>
  <c r="N17" i="25" s="1"/>
  <c r="H32" i="23"/>
  <c r="N32" i="23" s="1"/>
  <c r="H63" i="27"/>
  <c r="H50" i="24"/>
  <c r="H68" i="23"/>
  <c r="H31" i="24"/>
  <c r="N31" i="24" s="1"/>
  <c r="H17" i="26"/>
  <c r="N17" i="26" s="1"/>
  <c r="H74" i="30"/>
  <c r="H27" i="23"/>
  <c r="N27" i="23" s="1"/>
  <c r="H24" i="29"/>
  <c r="N24" i="29" s="1"/>
  <c r="H94" i="30"/>
  <c r="H69" i="30"/>
  <c r="H47" i="26"/>
  <c r="H22" i="25"/>
  <c r="N22" i="25" s="1"/>
  <c r="H39" i="27"/>
  <c r="N39" i="27" s="1"/>
  <c r="H62" i="29"/>
  <c r="H80" i="24"/>
  <c r="H35" i="24"/>
  <c r="N35" i="24" s="1"/>
  <c r="H29" i="23"/>
  <c r="N29" i="23" s="1"/>
  <c r="H45" i="27"/>
  <c r="H11" i="30"/>
  <c r="N11" i="30" s="1"/>
  <c r="H12" i="29"/>
  <c r="N12" i="29" s="1"/>
  <c r="H23" i="27"/>
  <c r="N23" i="27" s="1"/>
  <c r="H43" i="27"/>
  <c r="H52" i="29"/>
  <c r="H88" i="29"/>
  <c r="H92" i="29"/>
  <c r="H49" i="25"/>
  <c r="H42" i="29"/>
  <c r="H21" i="25"/>
  <c r="N21" i="25" s="1"/>
  <c r="H43" i="24"/>
  <c r="H15" i="25"/>
  <c r="N15" i="25" s="1"/>
  <c r="H47" i="30"/>
  <c r="H86" i="23"/>
  <c r="H67" i="27"/>
  <c r="H41" i="24"/>
  <c r="N41" i="24" s="1"/>
  <c r="H27" i="26"/>
  <c r="N27" i="26" s="1"/>
  <c r="H34" i="25"/>
  <c r="N34" i="25" s="1"/>
  <c r="H66" i="23"/>
  <c r="H50" i="25"/>
  <c r="H11" i="22"/>
  <c r="N11" i="22" s="1"/>
  <c r="H55" i="23"/>
  <c r="H95" i="30"/>
  <c r="H22" i="23"/>
  <c r="N22" i="23" s="1"/>
  <c r="H63" i="29"/>
  <c r="H34" i="26"/>
  <c r="N34" i="26" s="1"/>
  <c r="H54" i="23"/>
  <c r="H78" i="26"/>
  <c r="H80" i="23"/>
  <c r="H70" i="27"/>
  <c r="H21" i="26"/>
  <c r="N21" i="26" s="1"/>
  <c r="H35" i="30"/>
  <c r="N35" i="30" s="1"/>
  <c r="H79" i="29"/>
  <c r="H75" i="27"/>
  <c r="H15" i="26"/>
  <c r="N15" i="26" s="1"/>
  <c r="H32" i="24"/>
  <c r="N32" i="24" s="1"/>
  <c r="H33" i="29"/>
  <c r="N33" i="29" s="1"/>
  <c r="H49" i="30"/>
  <c r="H76" i="26"/>
  <c r="H81" i="29"/>
  <c r="H52" i="25"/>
  <c r="H53" i="29"/>
  <c r="H14" i="24"/>
  <c r="N14" i="24" s="1"/>
  <c r="H61" i="26"/>
  <c r="H89" i="24"/>
  <c r="H81" i="30"/>
  <c r="BY95" i="39" s="1"/>
  <c r="H19" i="27"/>
  <c r="N19" i="27" s="1"/>
  <c r="H76" i="30"/>
  <c r="H63" i="30"/>
  <c r="H88" i="23"/>
  <c r="H31" i="23"/>
  <c r="N31" i="23" s="1"/>
  <c r="H66" i="26"/>
  <c r="H80" i="30"/>
  <c r="H10" i="27"/>
  <c r="N10" i="27" s="1"/>
  <c r="H92" i="30"/>
  <c r="H55" i="27"/>
  <c r="H56" i="24"/>
  <c r="H33" i="30"/>
  <c r="N33" i="30" s="1"/>
  <c r="H49" i="27"/>
  <c r="H28" i="30"/>
  <c r="N28" i="30" s="1"/>
  <c r="H28" i="23"/>
  <c r="N28" i="23" s="1"/>
  <c r="H34" i="24"/>
  <c r="N34" i="24" s="1"/>
  <c r="H20" i="29"/>
  <c r="N20" i="29" s="1"/>
  <c r="H62" i="26"/>
  <c r="H56" i="29"/>
  <c r="H94" i="26"/>
  <c r="H66" i="29"/>
  <c r="H88" i="24"/>
  <c r="H31" i="26"/>
  <c r="N31" i="26" s="1"/>
  <c r="H21" i="30"/>
  <c r="N21" i="30" s="1"/>
  <c r="H45" i="30"/>
  <c r="N45" i="30" s="1"/>
  <c r="H90" i="30"/>
  <c r="H64" i="26"/>
  <c r="H94" i="24"/>
  <c r="H51" i="24"/>
  <c r="H29" i="27"/>
  <c r="N29" i="27" s="1"/>
  <c r="H10" i="24"/>
  <c r="N10" i="24" s="1"/>
  <c r="H47" i="24"/>
  <c r="H29" i="30"/>
  <c r="N29" i="30" s="1"/>
  <c r="H73" i="29"/>
  <c r="H69" i="26"/>
  <c r="H40" i="29"/>
  <c r="N40" i="29" s="1"/>
  <c r="H61" i="23"/>
  <c r="H10" i="29"/>
  <c r="N10" i="29" s="1"/>
  <c r="H89" i="29"/>
  <c r="H87" i="30"/>
  <c r="H57" i="23"/>
  <c r="H68" i="25"/>
  <c r="H70" i="26"/>
  <c r="H48" i="23"/>
  <c r="H68" i="27"/>
  <c r="H71" i="24"/>
  <c r="H10" i="23"/>
  <c r="N10" i="23" s="1"/>
  <c r="AC34" i="30"/>
  <c r="AB35" i="30"/>
  <c r="AB36" i="29"/>
  <c r="AC35" i="29"/>
  <c r="AC33" i="27"/>
  <c r="AB34" i="27"/>
  <c r="AC31" i="26"/>
  <c r="AB32" i="26"/>
  <c r="AB31" i="25"/>
  <c r="AC29" i="24"/>
  <c r="AB30" i="24"/>
  <c r="AC29" i="23"/>
  <c r="AB30" i="23"/>
  <c r="K39" i="3"/>
  <c r="K40" i="3"/>
  <c r="H12" i="22"/>
  <c r="N12" i="22" s="1"/>
  <c r="H79" i="22"/>
  <c r="H47" i="22"/>
  <c r="H83" i="22"/>
  <c r="H58" i="22"/>
  <c r="H77" i="22"/>
  <c r="H38" i="22"/>
  <c r="H86" i="22"/>
  <c r="H90" i="22"/>
  <c r="H21" i="22"/>
  <c r="N21" i="22" s="1"/>
  <c r="H68" i="22"/>
  <c r="H28" i="22"/>
  <c r="N28" i="22" s="1"/>
  <c r="H91" i="22"/>
  <c r="H73" i="22"/>
  <c r="H45" i="22"/>
  <c r="H64" i="22"/>
  <c r="H60" i="22"/>
  <c r="H82" i="22"/>
  <c r="H70" i="22"/>
  <c r="H88" i="22"/>
  <c r="H71" i="22"/>
  <c r="H89" i="22"/>
  <c r="H23" i="22"/>
  <c r="N23" i="22" s="1"/>
  <c r="H85" i="22"/>
  <c r="H31" i="22"/>
  <c r="N31" i="22" s="1"/>
  <c r="H84" i="22"/>
  <c r="H10" i="22"/>
  <c r="N10" i="22" s="1"/>
  <c r="H94" i="22"/>
  <c r="H54" i="22"/>
  <c r="H14" i="22"/>
  <c r="N14" i="22" s="1"/>
  <c r="H42" i="22"/>
  <c r="H81" i="22"/>
  <c r="H63" i="22"/>
  <c r="H33" i="22"/>
  <c r="N33" i="22" s="1"/>
  <c r="H51" i="22"/>
  <c r="H25" i="22"/>
  <c r="N25" i="22" s="1"/>
  <c r="H78" i="22"/>
  <c r="H69" i="22"/>
  <c r="H15" i="22"/>
  <c r="N15" i="22" s="1"/>
  <c r="H43" i="22"/>
  <c r="H93" i="22"/>
  <c r="H32" i="22"/>
  <c r="N32" i="22" s="1"/>
  <c r="H87" i="22"/>
  <c r="H53" i="22"/>
  <c r="H19" i="22"/>
  <c r="N19" i="22" s="1"/>
  <c r="H59" i="22"/>
  <c r="H95" i="22"/>
  <c r="H22" i="22"/>
  <c r="N22" i="22" s="1"/>
  <c r="H50" i="22"/>
  <c r="H62" i="22"/>
  <c r="H41" i="22"/>
  <c r="H66" i="22"/>
  <c r="H49" i="22"/>
  <c r="H76" i="22"/>
  <c r="H55" i="22"/>
  <c r="H67" i="22"/>
  <c r="H20" i="22"/>
  <c r="N20" i="22" s="1"/>
  <c r="H61" i="22"/>
  <c r="H13" i="22"/>
  <c r="N13" i="22" s="1"/>
  <c r="H26" i="22"/>
  <c r="N26" i="22" s="1"/>
  <c r="H34" i="22"/>
  <c r="N34" i="22" s="1"/>
  <c r="H29" i="22"/>
  <c r="N29" i="22" s="1"/>
  <c r="H30" i="22"/>
  <c r="N30" i="22" s="1"/>
  <c r="H44" i="22"/>
  <c r="H52" i="22"/>
  <c r="H46" i="22"/>
  <c r="H17" i="22"/>
  <c r="N17" i="22" s="1"/>
  <c r="H39" i="22"/>
  <c r="H40" i="22"/>
  <c r="H35" i="22"/>
  <c r="N35" i="22" s="1"/>
  <c r="H72" i="22"/>
  <c r="H48" i="22"/>
  <c r="H80" i="22"/>
  <c r="H24" i="21"/>
  <c r="N24" i="21" s="1"/>
  <c r="H18" i="22"/>
  <c r="N18" i="22" s="1"/>
  <c r="H24" i="22"/>
  <c r="N24" i="22" s="1"/>
  <c r="H27" i="22"/>
  <c r="N27" i="22" s="1"/>
  <c r="H16" i="22"/>
  <c r="N16" i="22" s="1"/>
  <c r="H37" i="22"/>
  <c r="H74" i="22"/>
  <c r="H92" i="22"/>
  <c r="H65" i="22"/>
  <c r="H75" i="22"/>
  <c r="H57" i="22"/>
  <c r="H14" i="21"/>
  <c r="N14" i="21" s="1"/>
  <c r="H56" i="22"/>
  <c r="AB28" i="22"/>
  <c r="AC27" i="22"/>
  <c r="K22" i="3"/>
  <c r="H70" i="17"/>
  <c r="H78" i="18"/>
  <c r="H78" i="17"/>
  <c r="H62" i="17"/>
  <c r="H53" i="19"/>
  <c r="H33" i="18"/>
  <c r="N33" i="18" s="1"/>
  <c r="H26" i="17"/>
  <c r="N26" i="17" s="1"/>
  <c r="H80" i="17"/>
  <c r="H43" i="18"/>
  <c r="H17" i="21"/>
  <c r="N17" i="21" s="1"/>
  <c r="H63" i="17"/>
  <c r="H58" i="21"/>
  <c r="H91" i="18"/>
  <c r="H49" i="17"/>
  <c r="H85" i="18"/>
  <c r="H34" i="18"/>
  <c r="N34" i="18" s="1"/>
  <c r="H44" i="17"/>
  <c r="H35" i="21"/>
  <c r="N35" i="21" s="1"/>
  <c r="H77" i="18"/>
  <c r="H70" i="19"/>
  <c r="H22" i="19"/>
  <c r="N22" i="19" s="1"/>
  <c r="H76" i="18"/>
  <c r="H12" i="18"/>
  <c r="N12" i="18" s="1"/>
  <c r="H59" i="21"/>
  <c r="H21" i="19"/>
  <c r="N21" i="19" s="1"/>
  <c r="H27" i="19"/>
  <c r="N27" i="19" s="1"/>
  <c r="H89" i="21"/>
  <c r="H76" i="21"/>
  <c r="H56" i="21"/>
  <c r="H40" i="19"/>
  <c r="N40" i="19" s="1"/>
  <c r="H13" i="18"/>
  <c r="N13" i="18" s="1"/>
  <c r="H86" i="17"/>
  <c r="H13" i="17"/>
  <c r="N13" i="17" s="1"/>
  <c r="H84" i="21"/>
  <c r="H73" i="17"/>
  <c r="H30" i="19"/>
  <c r="N30" i="19" s="1"/>
  <c r="H83" i="18"/>
  <c r="H82" i="18"/>
  <c r="H39" i="19"/>
  <c r="N39" i="19" s="1"/>
  <c r="H56" i="19"/>
  <c r="H50" i="19"/>
  <c r="H60" i="21"/>
  <c r="H28" i="18"/>
  <c r="N28" i="18" s="1"/>
  <c r="H38" i="18"/>
  <c r="N38" i="18" s="1"/>
  <c r="H86" i="18"/>
  <c r="H93" i="21"/>
  <c r="H41" i="21"/>
  <c r="N41" i="21" s="1"/>
  <c r="H68" i="17"/>
  <c r="H69" i="21"/>
  <c r="H38" i="17"/>
  <c r="H87" i="19"/>
  <c r="H83" i="21"/>
  <c r="H80" i="19"/>
  <c r="H30" i="17"/>
  <c r="N30" i="17" s="1"/>
  <c r="H61" i="19"/>
  <c r="H33" i="19"/>
  <c r="N33" i="19" s="1"/>
  <c r="H21" i="18"/>
  <c r="N21" i="18" s="1"/>
  <c r="H52" i="19"/>
  <c r="H16" i="18"/>
  <c r="N16" i="18" s="1"/>
  <c r="H53" i="17"/>
  <c r="H40" i="17"/>
  <c r="H38" i="19"/>
  <c r="N38" i="19" s="1"/>
  <c r="H92" i="21"/>
  <c r="H29" i="18"/>
  <c r="N29" i="18" s="1"/>
  <c r="H59" i="19"/>
  <c r="H71" i="18"/>
  <c r="H52" i="17"/>
  <c r="H32" i="17"/>
  <c r="N32" i="17" s="1"/>
  <c r="H50" i="17"/>
  <c r="H54" i="19"/>
  <c r="H54" i="21"/>
  <c r="H42" i="17"/>
  <c r="H19" i="21"/>
  <c r="N19" i="21" s="1"/>
  <c r="H25" i="18"/>
  <c r="N25" i="18" s="1"/>
  <c r="H81" i="21"/>
  <c r="H66" i="19"/>
  <c r="H61" i="18"/>
  <c r="H79" i="19"/>
  <c r="H90" i="18"/>
  <c r="H31" i="21"/>
  <c r="N31" i="21" s="1"/>
  <c r="H21" i="21"/>
  <c r="N21" i="21" s="1"/>
  <c r="H34" i="19"/>
  <c r="N34" i="19" s="1"/>
  <c r="H25" i="17"/>
  <c r="N25" i="17" s="1"/>
  <c r="H12" i="19"/>
  <c r="N12" i="19" s="1"/>
  <c r="H77" i="19"/>
  <c r="H70" i="21"/>
  <c r="H89" i="18"/>
  <c r="H48" i="17"/>
  <c r="H49" i="18"/>
  <c r="H72" i="19"/>
  <c r="H72" i="18"/>
  <c r="H79" i="18"/>
  <c r="H37" i="19"/>
  <c r="N37" i="19" s="1"/>
  <c r="H35" i="17"/>
  <c r="N35" i="17" s="1"/>
  <c r="H84" i="17"/>
  <c r="H78" i="21"/>
  <c r="H19" i="17"/>
  <c r="N19" i="17" s="1"/>
  <c r="H69" i="19"/>
  <c r="H43" i="21"/>
  <c r="H46" i="19"/>
  <c r="N46" i="19" s="1"/>
  <c r="H59" i="17"/>
  <c r="H57" i="19"/>
  <c r="H76" i="19"/>
  <c r="H42" i="18"/>
  <c r="H88" i="19"/>
  <c r="H68" i="21"/>
  <c r="H76" i="17"/>
  <c r="H15" i="19"/>
  <c r="N15" i="19" s="1"/>
  <c r="H79" i="21"/>
  <c r="H51" i="19"/>
  <c r="H56" i="17"/>
  <c r="H46" i="18"/>
  <c r="H53" i="18"/>
  <c r="H89" i="19"/>
  <c r="H35" i="18"/>
  <c r="N35" i="18" s="1"/>
  <c r="H56" i="18"/>
  <c r="H25" i="21"/>
  <c r="N25" i="21" s="1"/>
  <c r="H36" i="17"/>
  <c r="N36" i="17" s="1"/>
  <c r="H24" i="18"/>
  <c r="N24" i="18" s="1"/>
  <c r="H22" i="17"/>
  <c r="N22" i="17" s="1"/>
  <c r="H90" i="21"/>
  <c r="H75" i="17"/>
  <c r="H44" i="19"/>
  <c r="N44" i="19" s="1"/>
  <c r="H77" i="17"/>
  <c r="H89" i="17"/>
  <c r="H41" i="17"/>
  <c r="H32" i="21"/>
  <c r="N32" i="21" s="1"/>
  <c r="H17" i="18"/>
  <c r="N17" i="18" s="1"/>
  <c r="H39" i="21"/>
  <c r="N39" i="21" s="1"/>
  <c r="H29" i="21"/>
  <c r="N29" i="21" s="1"/>
  <c r="H72" i="17"/>
  <c r="H75" i="19"/>
  <c r="H23" i="19"/>
  <c r="N23" i="19" s="1"/>
  <c r="H57" i="17"/>
  <c r="H27" i="18"/>
  <c r="N27" i="18" s="1"/>
  <c r="H47" i="17"/>
  <c r="H86" i="21"/>
  <c r="H22" i="21"/>
  <c r="N22" i="21" s="1"/>
  <c r="H18" i="19"/>
  <c r="N18" i="19" s="1"/>
  <c r="H42" i="19"/>
  <c r="N42" i="19" s="1"/>
  <c r="H30" i="18"/>
  <c r="N30" i="18" s="1"/>
  <c r="H55" i="21"/>
  <c r="H86" i="19"/>
  <c r="H10" i="21"/>
  <c r="N10" i="21" s="1"/>
  <c r="H45" i="18"/>
  <c r="H36" i="18"/>
  <c r="N36" i="18" s="1"/>
  <c r="H74" i="19"/>
  <c r="H15" i="18"/>
  <c r="N15" i="18" s="1"/>
  <c r="H57" i="18"/>
  <c r="H62" i="21"/>
  <c r="H82" i="19"/>
  <c r="H38" i="21"/>
  <c r="N38" i="21" s="1"/>
  <c r="H55" i="18"/>
  <c r="H17" i="17"/>
  <c r="N17" i="17" s="1"/>
  <c r="H34" i="21"/>
  <c r="N34" i="21" s="1"/>
  <c r="H28" i="19"/>
  <c r="N28" i="19" s="1"/>
  <c r="H85" i="19"/>
  <c r="H60" i="17"/>
  <c r="H46" i="17"/>
  <c r="H58" i="18"/>
  <c r="H24" i="17"/>
  <c r="N24" i="17" s="1"/>
  <c r="H67" i="21"/>
  <c r="H34" i="17"/>
  <c r="N34" i="17" s="1"/>
  <c r="H24" i="19"/>
  <c r="N24" i="19" s="1"/>
  <c r="H71" i="21"/>
  <c r="H32" i="18"/>
  <c r="N32" i="18" s="1"/>
  <c r="H57" i="21"/>
  <c r="H11" i="17"/>
  <c r="N11" i="17" s="1"/>
  <c r="H14" i="17"/>
  <c r="N14" i="17" s="1"/>
  <c r="H63" i="18"/>
  <c r="H40" i="21"/>
  <c r="N40" i="21" s="1"/>
  <c r="H81" i="17"/>
  <c r="H66" i="21"/>
  <c r="H44" i="18"/>
  <c r="H29" i="19"/>
  <c r="N29" i="19" s="1"/>
  <c r="H20" i="17"/>
  <c r="N20" i="17" s="1"/>
  <c r="H69" i="17"/>
  <c r="H18" i="17"/>
  <c r="N18" i="17" s="1"/>
  <c r="H19" i="18"/>
  <c r="N19" i="18" s="1"/>
  <c r="H17" i="19"/>
  <c r="N17" i="19" s="1"/>
  <c r="H44" i="21"/>
  <c r="H69" i="18"/>
  <c r="H14" i="18"/>
  <c r="N14" i="18" s="1"/>
  <c r="H20" i="19"/>
  <c r="N20" i="19" s="1"/>
  <c r="H60" i="18"/>
  <c r="H36" i="19"/>
  <c r="N36" i="19" s="1"/>
  <c r="H72" i="21"/>
  <c r="H91" i="17"/>
  <c r="H16" i="17"/>
  <c r="N16" i="17" s="1"/>
  <c r="H20" i="18"/>
  <c r="N20" i="18" s="1"/>
  <c r="H26" i="19"/>
  <c r="N26" i="19" s="1"/>
  <c r="H12" i="17"/>
  <c r="N12" i="17" s="1"/>
  <c r="H14" i="19"/>
  <c r="N14" i="19" s="1"/>
  <c r="H45" i="21"/>
  <c r="H64" i="18"/>
  <c r="H91" i="21"/>
  <c r="H31" i="19"/>
  <c r="N31" i="19" s="1"/>
  <c r="H68" i="18"/>
  <c r="H62" i="19"/>
  <c r="H54" i="18"/>
  <c r="H33" i="17"/>
  <c r="N33" i="17" s="1"/>
  <c r="H31" i="17"/>
  <c r="N31" i="17" s="1"/>
  <c r="H10" i="19"/>
  <c r="N10" i="19" s="1"/>
  <c r="H10" i="18"/>
  <c r="N10" i="18" s="1"/>
  <c r="H39" i="18"/>
  <c r="H23" i="18"/>
  <c r="N23" i="18" s="1"/>
  <c r="H53" i="21"/>
  <c r="H47" i="18"/>
  <c r="H48" i="19"/>
  <c r="H78" i="19"/>
  <c r="H30" i="21"/>
  <c r="N30" i="21" s="1"/>
  <c r="H12" i="21"/>
  <c r="N12" i="21" s="1"/>
  <c r="H11" i="18"/>
  <c r="N11" i="18" s="1"/>
  <c r="H82" i="21"/>
  <c r="H84" i="19"/>
  <c r="H87" i="17"/>
  <c r="H13" i="19"/>
  <c r="N13" i="19" s="1"/>
  <c r="H26" i="18"/>
  <c r="N26" i="18" s="1"/>
  <c r="H15" i="17"/>
  <c r="N15" i="17" s="1"/>
  <c r="H61" i="21"/>
  <c r="H22" i="18"/>
  <c r="N22" i="18" s="1"/>
  <c r="H58" i="17"/>
  <c r="H67" i="19"/>
  <c r="H26" i="21"/>
  <c r="N26" i="21" s="1"/>
  <c r="H51" i="18"/>
  <c r="H16" i="21"/>
  <c r="N16" i="21" s="1"/>
  <c r="H50" i="18"/>
  <c r="H90" i="17"/>
  <c r="H87" i="18"/>
  <c r="H11" i="21"/>
  <c r="N11" i="21" s="1"/>
  <c r="H27" i="17"/>
  <c r="N27" i="17" s="1"/>
  <c r="H88" i="18"/>
  <c r="H55" i="17"/>
  <c r="H73" i="19"/>
  <c r="H58" i="19"/>
  <c r="H64" i="19"/>
  <c r="H48" i="18"/>
  <c r="H80" i="21"/>
  <c r="H74" i="21"/>
  <c r="H61" i="17"/>
  <c r="H37" i="18"/>
  <c r="N37" i="18" s="1"/>
  <c r="H47" i="21"/>
  <c r="H90" i="19"/>
  <c r="H74" i="17"/>
  <c r="H11" i="19"/>
  <c r="N11" i="19" s="1"/>
  <c r="H67" i="17"/>
  <c r="H77" i="21"/>
  <c r="H41" i="19"/>
  <c r="N41" i="19" s="1"/>
  <c r="H74" i="18"/>
  <c r="H75" i="18"/>
  <c r="H16" i="19"/>
  <c r="N16" i="19" s="1"/>
  <c r="H60" i="19"/>
  <c r="H28" i="17"/>
  <c r="N28" i="17" s="1"/>
  <c r="H65" i="18"/>
  <c r="H20" i="21"/>
  <c r="N20" i="21" s="1"/>
  <c r="H63" i="21"/>
  <c r="H40" i="18"/>
  <c r="H49" i="21"/>
  <c r="H49" i="19"/>
  <c r="N49" i="19" s="1"/>
  <c r="O49" i="19" s="1"/>
  <c r="AX42" i="39" s="1"/>
  <c r="H88" i="21"/>
  <c r="H48" i="21"/>
  <c r="H36" i="21"/>
  <c r="N36" i="21" s="1"/>
  <c r="H51" i="17"/>
  <c r="H83" i="17"/>
  <c r="H41" i="18"/>
  <c r="H35" i="19"/>
  <c r="N35" i="19" s="1"/>
  <c r="H83" i="19"/>
  <c r="H65" i="19"/>
  <c r="H18" i="21"/>
  <c r="N18" i="21" s="1"/>
  <c r="H82" i="17"/>
  <c r="H37" i="17"/>
  <c r="H81" i="18"/>
  <c r="H37" i="21"/>
  <c r="N37" i="21" s="1"/>
  <c r="H68" i="19"/>
  <c r="H81" i="19"/>
  <c r="H46" i="21"/>
  <c r="H20" i="15"/>
  <c r="N20" i="15" s="1"/>
  <c r="H23" i="17"/>
  <c r="N23" i="17" s="1"/>
  <c r="H42" i="21"/>
  <c r="N42" i="21" s="1"/>
  <c r="H84" i="18"/>
  <c r="H85" i="21"/>
  <c r="H79" i="17"/>
  <c r="H18" i="18"/>
  <c r="N18" i="18" s="1"/>
  <c r="H71" i="19"/>
  <c r="H19" i="19"/>
  <c r="N19" i="19" s="1"/>
  <c r="H62" i="18"/>
  <c r="H59" i="18"/>
  <c r="H52" i="18"/>
  <c r="H65" i="17"/>
  <c r="H32" i="19"/>
  <c r="N32" i="19" s="1"/>
  <c r="H65" i="21"/>
  <c r="H67" i="18"/>
  <c r="H25" i="19"/>
  <c r="N25" i="19" s="1"/>
  <c r="H87" i="21"/>
  <c r="H66" i="17"/>
  <c r="H64" i="17"/>
  <c r="H70" i="18"/>
  <c r="H66" i="18"/>
  <c r="H13" i="21"/>
  <c r="N13" i="21" s="1"/>
  <c r="H23" i="21"/>
  <c r="N23" i="21" s="1"/>
  <c r="H10" i="17"/>
  <c r="N10" i="17" s="1"/>
  <c r="H64" i="21"/>
  <c r="H28" i="21"/>
  <c r="N28" i="21" s="1"/>
  <c r="H73" i="18"/>
  <c r="H54" i="17"/>
  <c r="H85" i="17"/>
  <c r="H91" i="19"/>
  <c r="H80" i="18"/>
  <c r="H45" i="19"/>
  <c r="N45" i="19" s="1"/>
  <c r="H51" i="21"/>
  <c r="H71" i="17"/>
  <c r="H39" i="17"/>
  <c r="H31" i="18"/>
  <c r="N31" i="18" s="1"/>
  <c r="H55" i="19"/>
  <c r="H50" i="21"/>
  <c r="H27" i="21"/>
  <c r="N27" i="21" s="1"/>
  <c r="H29" i="17"/>
  <c r="N29" i="17" s="1"/>
  <c r="H73" i="21"/>
  <c r="H63" i="19"/>
  <c r="H43" i="17"/>
  <c r="H52" i="21"/>
  <c r="H43" i="19"/>
  <c r="N43" i="19" s="1"/>
  <c r="H75" i="21"/>
  <c r="H21" i="17"/>
  <c r="N21" i="17" s="1"/>
  <c r="H33" i="21"/>
  <c r="N33" i="21" s="1"/>
  <c r="H88" i="17"/>
  <c r="H47" i="19"/>
  <c r="N47" i="19" s="1"/>
  <c r="H15" i="21"/>
  <c r="N15" i="21" s="1"/>
  <c r="H45" i="17"/>
  <c r="AB29" i="21"/>
  <c r="AC28" i="21"/>
  <c r="AB27" i="19"/>
  <c r="AC26" i="19"/>
  <c r="AC25" i="18"/>
  <c r="AB26" i="18"/>
  <c r="AB27" i="17"/>
  <c r="AC26" i="17"/>
  <c r="H21" i="15"/>
  <c r="N21" i="15" s="1"/>
  <c r="H27" i="16"/>
  <c r="N27" i="16" s="1"/>
  <c r="H28" i="15"/>
  <c r="N28" i="15" s="1"/>
  <c r="H57" i="15"/>
  <c r="H27" i="15"/>
  <c r="N27" i="15" s="1"/>
  <c r="H41" i="16"/>
  <c r="H38" i="15"/>
  <c r="N38" i="15" s="1"/>
  <c r="H12" i="15"/>
  <c r="N12" i="15" s="1"/>
  <c r="H71" i="15"/>
  <c r="H22" i="16"/>
  <c r="N22" i="16" s="1"/>
  <c r="H75" i="16"/>
  <c r="H85" i="15"/>
  <c r="H36" i="16"/>
  <c r="N36" i="16" s="1"/>
  <c r="O36" i="16" s="1"/>
  <c r="AL21" i="39" s="1"/>
  <c r="H83" i="16"/>
  <c r="H91" i="15"/>
  <c r="H77" i="15"/>
  <c r="H40" i="15"/>
  <c r="H81" i="16"/>
  <c r="H62" i="15"/>
  <c r="H51" i="15"/>
  <c r="H52" i="15"/>
  <c r="H26" i="16"/>
  <c r="N26" i="16" s="1"/>
  <c r="H40" i="16"/>
  <c r="H12" i="16"/>
  <c r="N12" i="16" s="1"/>
  <c r="H66" i="16"/>
  <c r="H30" i="16"/>
  <c r="N30" i="16" s="1"/>
  <c r="H68" i="16"/>
  <c r="H79" i="16"/>
  <c r="H25" i="16"/>
  <c r="N25" i="16" s="1"/>
  <c r="H82" i="16"/>
  <c r="H43" i="15"/>
  <c r="AO62" i="39" s="1"/>
  <c r="H28" i="16"/>
  <c r="N28" i="16" s="1"/>
  <c r="H23" i="15"/>
  <c r="N23" i="15" s="1"/>
  <c r="H86" i="16"/>
  <c r="H89" i="16"/>
  <c r="H48" i="16"/>
  <c r="H25" i="15"/>
  <c r="N25" i="15" s="1"/>
  <c r="H33" i="16"/>
  <c r="N33" i="16" s="1"/>
  <c r="H23" i="16"/>
  <c r="N23" i="16" s="1"/>
  <c r="H64" i="15"/>
  <c r="H76" i="16"/>
  <c r="H59" i="15"/>
  <c r="H19" i="15"/>
  <c r="N19" i="15" s="1"/>
  <c r="H47" i="16"/>
  <c r="H15" i="15"/>
  <c r="N15" i="15" s="1"/>
  <c r="H11" i="16"/>
  <c r="N11" i="16" s="1"/>
  <c r="H35" i="16"/>
  <c r="N35" i="16" s="1"/>
  <c r="O35" i="16" s="1"/>
  <c r="AL27" i="39" s="1"/>
  <c r="H69" i="15"/>
  <c r="H53" i="15"/>
  <c r="H39" i="15"/>
  <c r="N39" i="15" s="1"/>
  <c r="H75" i="15"/>
  <c r="H17" i="15"/>
  <c r="N17" i="15" s="1"/>
  <c r="H56" i="15"/>
  <c r="H34" i="15"/>
  <c r="N34" i="15" s="1"/>
  <c r="H89" i="15"/>
  <c r="H73" i="15"/>
  <c r="H70" i="15"/>
  <c r="H63" i="15"/>
  <c r="H87" i="16"/>
  <c r="H87" i="15"/>
  <c r="H19" i="16"/>
  <c r="N19" i="16" s="1"/>
  <c r="H32" i="16"/>
  <c r="N32" i="16" s="1"/>
  <c r="H68" i="15"/>
  <c r="H42" i="15"/>
  <c r="AO33" i="39" s="1"/>
  <c r="H21" i="16"/>
  <c r="N21" i="16" s="1"/>
  <c r="H53" i="16"/>
  <c r="H79" i="15"/>
  <c r="H78" i="15"/>
  <c r="H61" i="15"/>
  <c r="H37" i="15"/>
  <c r="N37" i="15" s="1"/>
  <c r="H31" i="15"/>
  <c r="N31" i="15" s="1"/>
  <c r="H47" i="15"/>
  <c r="H67" i="15"/>
  <c r="H85" i="16"/>
  <c r="H86" i="15"/>
  <c r="H74" i="16"/>
  <c r="H42" i="16"/>
  <c r="H39" i="16"/>
  <c r="N39" i="16" s="1"/>
  <c r="O39" i="16" s="1"/>
  <c r="AL19" i="39" s="1"/>
  <c r="H17" i="16"/>
  <c r="N17" i="16" s="1"/>
  <c r="H88" i="16"/>
  <c r="H31" i="16"/>
  <c r="N31" i="16" s="1"/>
  <c r="H30" i="15"/>
  <c r="N30" i="15" s="1"/>
  <c r="H60" i="16"/>
  <c r="H44" i="16"/>
  <c r="H72" i="16"/>
  <c r="H50" i="16"/>
  <c r="H14" i="16"/>
  <c r="N14" i="16" s="1"/>
  <c r="H52" i="16"/>
  <c r="H88" i="15"/>
  <c r="H58" i="16"/>
  <c r="H82" i="15"/>
  <c r="H49" i="16"/>
  <c r="H41" i="15"/>
  <c r="H58" i="15"/>
  <c r="H72" i="15"/>
  <c r="H60" i="15"/>
  <c r="H36" i="15"/>
  <c r="N36" i="15" s="1"/>
  <c r="H51" i="16"/>
  <c r="H63" i="16"/>
  <c r="H24" i="16"/>
  <c r="N24" i="16" s="1"/>
  <c r="H24" i="15"/>
  <c r="N24" i="15" s="1"/>
  <c r="H57" i="16"/>
  <c r="H10" i="15"/>
  <c r="N10" i="15" s="1"/>
  <c r="H22" i="15"/>
  <c r="N22" i="15" s="1"/>
  <c r="H18" i="16"/>
  <c r="N18" i="16" s="1"/>
  <c r="H56" i="16"/>
  <c r="H20" i="16"/>
  <c r="N20" i="16" s="1"/>
  <c r="H37" i="16"/>
  <c r="N37" i="16" s="1"/>
  <c r="O37" i="16" s="1"/>
  <c r="AL18" i="39" s="1"/>
  <c r="H80" i="16"/>
  <c r="H49" i="15"/>
  <c r="H11" i="15"/>
  <c r="N11" i="15" s="1"/>
  <c r="H45" i="13"/>
  <c r="N45" i="13" s="1"/>
  <c r="H84" i="15"/>
  <c r="H74" i="15"/>
  <c r="H16" i="15"/>
  <c r="N16" i="15" s="1"/>
  <c r="H65" i="15"/>
  <c r="H32" i="15"/>
  <c r="N32" i="15" s="1"/>
  <c r="H44" i="15"/>
  <c r="H18" i="15"/>
  <c r="N18" i="15" s="1"/>
  <c r="H46" i="15"/>
  <c r="H43" i="16"/>
  <c r="H26" i="15"/>
  <c r="N26" i="15" s="1"/>
  <c r="H14" i="15"/>
  <c r="N14" i="15" s="1"/>
  <c r="H13" i="16"/>
  <c r="N13" i="16" s="1"/>
  <c r="H34" i="16"/>
  <c r="N34" i="16" s="1"/>
  <c r="H76" i="15"/>
  <c r="H54" i="15"/>
  <c r="H50" i="15"/>
  <c r="H61" i="16"/>
  <c r="H16" i="16"/>
  <c r="N16" i="16" s="1"/>
  <c r="H78" i="16"/>
  <c r="H48" i="15"/>
  <c r="H59" i="16"/>
  <c r="H90" i="16"/>
  <c r="H55" i="16"/>
  <c r="H67" i="16"/>
  <c r="H45" i="15"/>
  <c r="H55" i="15"/>
  <c r="H77" i="16"/>
  <c r="H66" i="15"/>
  <c r="H38" i="16"/>
  <c r="H84" i="16"/>
  <c r="H13" i="15"/>
  <c r="N13" i="15" s="1"/>
  <c r="H81" i="15"/>
  <c r="H45" i="16"/>
  <c r="H90" i="15"/>
  <c r="H70" i="16"/>
  <c r="H33" i="15"/>
  <c r="N33" i="15" s="1"/>
  <c r="H35" i="15"/>
  <c r="N35" i="15" s="1"/>
  <c r="H29" i="16"/>
  <c r="N29" i="16" s="1"/>
  <c r="H10" i="16"/>
  <c r="N10" i="16" s="1"/>
  <c r="H73" i="16"/>
  <c r="H83" i="15"/>
  <c r="H80" i="15"/>
  <c r="H69" i="16"/>
  <c r="H15" i="16"/>
  <c r="N15" i="16" s="1"/>
  <c r="H64" i="16"/>
  <c r="K32" i="3"/>
  <c r="H71" i="16"/>
  <c r="H62" i="16"/>
  <c r="H54" i="16"/>
  <c r="H46" i="16"/>
  <c r="H65" i="16"/>
  <c r="H29" i="15"/>
  <c r="N29" i="15" s="1"/>
  <c r="AC25" i="15"/>
  <c r="AB26" i="15"/>
  <c r="AB27" i="16"/>
  <c r="AC26" i="16"/>
  <c r="H38" i="42"/>
  <c r="N38" i="42" s="1"/>
  <c r="H11" i="12"/>
  <c r="N11" i="12" s="1"/>
  <c r="K29" i="3"/>
  <c r="H75" i="13"/>
  <c r="H62" i="13"/>
  <c r="H65" i="13"/>
  <c r="H80" i="13"/>
  <c r="H57" i="13"/>
  <c r="H89" i="13"/>
  <c r="H56" i="13"/>
  <c r="H67" i="13"/>
  <c r="H13" i="13"/>
  <c r="N13" i="13" s="1"/>
  <c r="H43" i="13"/>
  <c r="N43" i="13" s="1"/>
  <c r="H44" i="13"/>
  <c r="N44" i="13" s="1"/>
  <c r="H61" i="13"/>
  <c r="H90" i="13"/>
  <c r="H14" i="13"/>
  <c r="N14" i="13" s="1"/>
  <c r="H36" i="13"/>
  <c r="N36" i="13" s="1"/>
  <c r="H53" i="13"/>
  <c r="H74" i="13"/>
  <c r="H35" i="13"/>
  <c r="N35" i="13" s="1"/>
  <c r="H70" i="7"/>
  <c r="H19" i="13"/>
  <c r="N19" i="13" s="1"/>
  <c r="H78" i="13"/>
  <c r="H30" i="13"/>
  <c r="N30" i="13" s="1"/>
  <c r="H41" i="13"/>
  <c r="N41" i="13" s="1"/>
  <c r="H18" i="13"/>
  <c r="N18" i="13" s="1"/>
  <c r="H10" i="13"/>
  <c r="N10" i="13" s="1"/>
  <c r="H85" i="13"/>
  <c r="H50" i="13"/>
  <c r="H46" i="13"/>
  <c r="N46" i="13" s="1"/>
  <c r="H24" i="13"/>
  <c r="N24" i="13" s="1"/>
  <c r="H38" i="13"/>
  <c r="N38" i="13" s="1"/>
  <c r="H15" i="13"/>
  <c r="N15" i="13" s="1"/>
  <c r="H25" i="13"/>
  <c r="N25" i="13" s="1"/>
  <c r="H22" i="13"/>
  <c r="N22" i="13" s="1"/>
  <c r="H66" i="13"/>
  <c r="H11" i="13"/>
  <c r="N11" i="13" s="1"/>
  <c r="H20" i="13"/>
  <c r="N20" i="13" s="1"/>
  <c r="H16" i="13"/>
  <c r="N16" i="13" s="1"/>
  <c r="H34" i="13"/>
  <c r="N34" i="13" s="1"/>
  <c r="H63" i="13"/>
  <c r="H51" i="13"/>
  <c r="H55" i="13"/>
  <c r="H79" i="13"/>
  <c r="H39" i="13"/>
  <c r="N39" i="13" s="1"/>
  <c r="H58" i="13"/>
  <c r="H83" i="13"/>
  <c r="H70" i="13"/>
  <c r="H37" i="13"/>
  <c r="N37" i="13" s="1"/>
  <c r="H54" i="13"/>
  <c r="H71" i="13"/>
  <c r="H52" i="13"/>
  <c r="H31" i="13"/>
  <c r="N31" i="13" s="1"/>
  <c r="H82" i="13"/>
  <c r="H29" i="13"/>
  <c r="N29" i="13" s="1"/>
  <c r="H69" i="13"/>
  <c r="H84" i="13"/>
  <c r="H42" i="13"/>
  <c r="N42" i="13" s="1"/>
  <c r="H77" i="13"/>
  <c r="H60" i="13"/>
  <c r="H47" i="13"/>
  <c r="H48" i="13"/>
  <c r="H40" i="13"/>
  <c r="N40" i="13" s="1"/>
  <c r="H28" i="13"/>
  <c r="N28" i="13" s="1"/>
  <c r="H23" i="13"/>
  <c r="N23" i="13" s="1"/>
  <c r="H21" i="13"/>
  <c r="N21" i="13" s="1"/>
  <c r="H27" i="13"/>
  <c r="N27" i="13" s="1"/>
  <c r="H64" i="13"/>
  <c r="H72" i="13"/>
  <c r="H81" i="13"/>
  <c r="H17" i="13"/>
  <c r="N17" i="13" s="1"/>
  <c r="H73" i="13"/>
  <c r="H68" i="13"/>
  <c r="H49" i="13"/>
  <c r="H12" i="13"/>
  <c r="N12" i="13" s="1"/>
  <c r="H26" i="13"/>
  <c r="N26" i="13" s="1"/>
  <c r="H86" i="13"/>
  <c r="H32" i="13"/>
  <c r="N32" i="13" s="1"/>
  <c r="H88" i="13"/>
  <c r="H87" i="13"/>
  <c r="H59" i="13"/>
  <c r="H76" i="13"/>
  <c r="H33" i="13"/>
  <c r="N33" i="13" s="1"/>
  <c r="AB25" i="13"/>
  <c r="AC24" i="13"/>
  <c r="K9" i="3"/>
  <c r="H11" i="7"/>
  <c r="N11" i="7" s="1"/>
  <c r="K33" i="3"/>
  <c r="H29" i="7"/>
  <c r="N29" i="7" s="1"/>
  <c r="H86" i="12"/>
  <c r="H82" i="12"/>
  <c r="H18" i="42"/>
  <c r="N18" i="42" s="1"/>
  <c r="H29" i="42"/>
  <c r="N29" i="42" s="1"/>
  <c r="H41" i="12"/>
  <c r="N41" i="12" s="1"/>
  <c r="P85" i="3"/>
  <c r="H37" i="41"/>
  <c r="N37" i="41" s="1"/>
  <c r="H17" i="41"/>
  <c r="N17" i="41" s="1"/>
  <c r="H60" i="41"/>
  <c r="H56" i="5"/>
  <c r="H54" i="41"/>
  <c r="H39" i="41"/>
  <c r="N39" i="41" s="1"/>
  <c r="H34" i="5"/>
  <c r="H81" i="41"/>
  <c r="H44" i="41"/>
  <c r="H33" i="41"/>
  <c r="N33" i="41" s="1"/>
  <c r="H77" i="41"/>
  <c r="H83" i="5"/>
  <c r="H22" i="41"/>
  <c r="N22" i="41" s="1"/>
  <c r="H40" i="41"/>
  <c r="N40" i="41" s="1"/>
  <c r="H13" i="5"/>
  <c r="N13" i="5" s="1"/>
  <c r="H60" i="5"/>
  <c r="H58" i="41"/>
  <c r="H75" i="5"/>
  <c r="H14" i="5"/>
  <c r="N14" i="5" s="1"/>
  <c r="H20" i="41"/>
  <c r="N20" i="41" s="1"/>
  <c r="H41" i="41"/>
  <c r="N41" i="41" s="1"/>
  <c r="H18" i="5"/>
  <c r="N18" i="5" s="1"/>
  <c r="H16" i="5"/>
  <c r="N16" i="5" s="1"/>
  <c r="H15" i="5"/>
  <c r="N15" i="5" s="1"/>
  <c r="H20" i="5"/>
  <c r="N20" i="5" s="1"/>
  <c r="H49" i="41"/>
  <c r="H26" i="7"/>
  <c r="N26" i="7" s="1"/>
  <c r="H68" i="41"/>
  <c r="H72" i="5"/>
  <c r="H37" i="12"/>
  <c r="N37" i="12" s="1"/>
  <c r="H23" i="5"/>
  <c r="N23" i="5" s="1"/>
  <c r="H81" i="5"/>
  <c r="H11" i="5"/>
  <c r="N11" i="5" s="1"/>
  <c r="H56" i="41"/>
  <c r="H66" i="5"/>
  <c r="H26" i="5"/>
  <c r="N26" i="5" s="1"/>
  <c r="H78" i="41"/>
  <c r="H50" i="5"/>
  <c r="H50" i="41"/>
  <c r="H13" i="41"/>
  <c r="N13" i="41" s="1"/>
  <c r="H58" i="5"/>
  <c r="H71" i="5"/>
  <c r="H10" i="41"/>
  <c r="N10" i="41" s="1"/>
  <c r="H38" i="5"/>
  <c r="H53" i="5"/>
  <c r="H72" i="41"/>
  <c r="H78" i="5"/>
  <c r="H41" i="5"/>
  <c r="H28" i="41"/>
  <c r="N28" i="41" s="1"/>
  <c r="H33" i="5"/>
  <c r="H64" i="41"/>
  <c r="H72" i="42"/>
  <c r="H24" i="41"/>
  <c r="N24" i="41" s="1"/>
  <c r="H63" i="5"/>
  <c r="H62" i="41"/>
  <c r="H48" i="5"/>
  <c r="H89" i="7"/>
  <c r="H73" i="5"/>
  <c r="H45" i="5"/>
  <c r="H61" i="5"/>
  <c r="H44" i="5"/>
  <c r="H82" i="41"/>
  <c r="H80" i="41"/>
  <c r="H21" i="5"/>
  <c r="N21" i="5" s="1"/>
  <c r="H74" i="5"/>
  <c r="H31" i="5"/>
  <c r="N31" i="5" s="1"/>
  <c r="H75" i="41"/>
  <c r="H71" i="12"/>
  <c r="H72" i="12"/>
  <c r="H24" i="5"/>
  <c r="N24" i="5" s="1"/>
  <c r="H44" i="12"/>
  <c r="N44" i="12" s="1"/>
  <c r="H23" i="41"/>
  <c r="N23" i="41" s="1"/>
  <c r="H51" i="5"/>
  <c r="H50" i="42"/>
  <c r="H47" i="41"/>
  <c r="H36" i="7"/>
  <c r="N36" i="7" s="1"/>
  <c r="H42" i="12"/>
  <c r="N42" i="12" s="1"/>
  <c r="H79" i="5"/>
  <c r="H83" i="41"/>
  <c r="H75" i="7"/>
  <c r="H48" i="41"/>
  <c r="H88" i="7"/>
  <c r="H54" i="5"/>
  <c r="H70" i="5"/>
  <c r="H25" i="41"/>
  <c r="N25" i="41" s="1"/>
  <c r="H57" i="41"/>
  <c r="H69" i="5"/>
  <c r="H84" i="41"/>
  <c r="K51" i="3"/>
  <c r="H10" i="42"/>
  <c r="N10" i="42" s="1"/>
  <c r="H76" i="7"/>
  <c r="K38" i="3"/>
  <c r="H15" i="42"/>
  <c r="N15" i="42" s="1"/>
  <c r="K80" i="3"/>
  <c r="H79" i="42"/>
  <c r="H32" i="12"/>
  <c r="N32" i="12" s="1"/>
  <c r="H29" i="12"/>
  <c r="N29" i="12" s="1"/>
  <c r="H49" i="12"/>
  <c r="H68" i="12"/>
  <c r="H65" i="41"/>
  <c r="K64" i="3"/>
  <c r="K95" i="3"/>
  <c r="K81" i="3"/>
  <c r="K77" i="3"/>
  <c r="H40" i="7"/>
  <c r="N40" i="7" s="1"/>
  <c r="H48" i="7"/>
  <c r="N48" i="7" s="1"/>
  <c r="K88" i="3"/>
  <c r="H85" i="7"/>
  <c r="H63" i="12"/>
  <c r="H30" i="7"/>
  <c r="N30" i="7" s="1"/>
  <c r="H14" i="41"/>
  <c r="N14" i="41" s="1"/>
  <c r="H73" i="42"/>
  <c r="K43" i="3"/>
  <c r="H55" i="7"/>
  <c r="N55" i="7" s="1"/>
  <c r="H17" i="12"/>
  <c r="N17" i="12" s="1"/>
  <c r="H79" i="12"/>
  <c r="H13" i="12"/>
  <c r="N13" i="12" s="1"/>
  <c r="K53" i="3"/>
  <c r="K34" i="3"/>
  <c r="H12" i="12"/>
  <c r="N12" i="12" s="1"/>
  <c r="H29" i="41"/>
  <c r="N29" i="41" s="1"/>
  <c r="K83" i="3"/>
  <c r="H16" i="7"/>
  <c r="N16" i="7" s="1"/>
  <c r="H75" i="12"/>
  <c r="K52" i="3"/>
  <c r="H61" i="7"/>
  <c r="K62" i="3"/>
  <c r="H24" i="42"/>
  <c r="N24" i="42" s="1"/>
  <c r="H21" i="41"/>
  <c r="N21" i="41" s="1"/>
  <c r="K44" i="3"/>
  <c r="H52" i="7"/>
  <c r="H19" i="12"/>
  <c r="N19" i="12" s="1"/>
  <c r="H22" i="42"/>
  <c r="N22" i="42" s="1"/>
  <c r="H43" i="7"/>
  <c r="N43" i="7" s="1"/>
  <c r="K86" i="3"/>
  <c r="H33" i="42"/>
  <c r="N33" i="42" s="1"/>
  <c r="H33" i="7"/>
  <c r="N33" i="7" s="1"/>
  <c r="K58" i="3"/>
  <c r="K25" i="3"/>
  <c r="K72" i="3"/>
  <c r="K21" i="3"/>
  <c r="H64" i="7"/>
  <c r="H56" i="7"/>
  <c r="K5" i="3"/>
  <c r="H48" i="12"/>
  <c r="H15" i="12"/>
  <c r="N15" i="12" s="1"/>
  <c r="K37" i="3"/>
  <c r="H21" i="7"/>
  <c r="N21" i="7" s="1"/>
  <c r="H59" i="7"/>
  <c r="H62" i="7"/>
  <c r="H61" i="42"/>
  <c r="H13" i="7"/>
  <c r="N13" i="7" s="1"/>
  <c r="H43" i="12"/>
  <c r="N43" i="12" s="1"/>
  <c r="K59" i="3"/>
  <c r="H81" i="7"/>
  <c r="H80" i="7"/>
  <c r="H27" i="7"/>
  <c r="N27" i="7" s="1"/>
  <c r="H30" i="42"/>
  <c r="N30" i="42" s="1"/>
  <c r="H71" i="7"/>
  <c r="H46" i="12"/>
  <c r="N46" i="12" s="1"/>
  <c r="K90" i="3"/>
  <c r="H86" i="7"/>
  <c r="H82" i="7"/>
  <c r="H58" i="7"/>
  <c r="K49" i="3"/>
  <c r="K54" i="3"/>
  <c r="H66" i="7"/>
  <c r="K26" i="3"/>
  <c r="K48" i="3"/>
  <c r="H61" i="12"/>
  <c r="K71" i="3"/>
  <c r="H62" i="12"/>
  <c r="H22" i="12"/>
  <c r="N22" i="12" s="1"/>
  <c r="H39" i="12"/>
  <c r="N39" i="12" s="1"/>
  <c r="K14" i="3"/>
  <c r="K75" i="3"/>
  <c r="K66" i="3"/>
  <c r="H47" i="12"/>
  <c r="N47" i="12" s="1"/>
  <c r="H47" i="7"/>
  <c r="N47" i="7" s="1"/>
  <c r="H78" i="7"/>
  <c r="H60" i="12"/>
  <c r="H83" i="42"/>
  <c r="H65" i="7"/>
  <c r="H33" i="12"/>
  <c r="N33" i="12" s="1"/>
  <c r="H25" i="12"/>
  <c r="N25" i="12" s="1"/>
  <c r="H53" i="41"/>
  <c r="K85" i="3"/>
  <c r="K61" i="3"/>
  <c r="K63" i="3"/>
  <c r="H84" i="42"/>
  <c r="H20" i="12"/>
  <c r="N20" i="12" s="1"/>
  <c r="H18" i="12"/>
  <c r="N18" i="12" s="1"/>
  <c r="H14" i="42"/>
  <c r="N14" i="42" s="1"/>
  <c r="K57" i="3"/>
  <c r="H80" i="5"/>
  <c r="K23" i="3"/>
  <c r="H81" i="12"/>
  <c r="K36" i="3"/>
  <c r="H14" i="7"/>
  <c r="N14" i="7" s="1"/>
  <c r="H68" i="42"/>
  <c r="H59" i="42"/>
  <c r="H76" i="12"/>
  <c r="H35" i="7"/>
  <c r="N35" i="7" s="1"/>
  <c r="K31" i="3"/>
  <c r="H21" i="12"/>
  <c r="N21" i="12" s="1"/>
  <c r="K47" i="3"/>
  <c r="H74" i="12"/>
  <c r="H36" i="41"/>
  <c r="N36" i="41" s="1"/>
  <c r="H15" i="41"/>
  <c r="N15" i="41" s="1"/>
  <c r="H32" i="7"/>
  <c r="N32" i="7" s="1"/>
  <c r="H59" i="12"/>
  <c r="H31" i="12"/>
  <c r="N31" i="12" s="1"/>
  <c r="H28" i="12"/>
  <c r="N28" i="12" s="1"/>
  <c r="H34" i="42"/>
  <c r="N34" i="42" s="1"/>
  <c r="K17" i="3"/>
  <c r="H64" i="12"/>
  <c r="H40" i="12"/>
  <c r="N40" i="12" s="1"/>
  <c r="H42" i="7"/>
  <c r="N42" i="7" s="1"/>
  <c r="H84" i="7"/>
  <c r="H70" i="12"/>
  <c r="H67" i="41"/>
  <c r="H50" i="12"/>
  <c r="N50" i="12" s="1"/>
  <c r="O50" i="12" s="1"/>
  <c r="AC61" i="39" s="1"/>
  <c r="H87" i="7"/>
  <c r="K15" i="3"/>
  <c r="H63" i="7"/>
  <c r="K46" i="3"/>
  <c r="H43" i="42"/>
  <c r="H55" i="12"/>
  <c r="K74" i="3"/>
  <c r="H25" i="42"/>
  <c r="N25" i="42" s="1"/>
  <c r="K27" i="3"/>
  <c r="H22" i="7"/>
  <c r="N22" i="7" s="1"/>
  <c r="K89" i="3"/>
  <c r="H71" i="42"/>
  <c r="H46" i="42"/>
  <c r="H53" i="12"/>
  <c r="H69" i="41"/>
  <c r="H23" i="7"/>
  <c r="N23" i="7" s="1"/>
  <c r="H40" i="42"/>
  <c r="N40" i="42" s="1"/>
  <c r="K55" i="3"/>
  <c r="K12" i="3"/>
  <c r="H69" i="7"/>
  <c r="H26" i="41"/>
  <c r="N26" i="41" s="1"/>
  <c r="H16" i="12"/>
  <c r="N16" i="12" s="1"/>
  <c r="H69" i="12"/>
  <c r="K94" i="3"/>
  <c r="H43" i="41"/>
  <c r="H62" i="42"/>
  <c r="H55" i="41"/>
  <c r="H30" i="5"/>
  <c r="N30" i="5" s="1"/>
  <c r="H80" i="12"/>
  <c r="H17" i="7"/>
  <c r="N17" i="7" s="1"/>
  <c r="H12" i="41"/>
  <c r="N12" i="41" s="1"/>
  <c r="H73" i="7"/>
  <c r="H18" i="41"/>
  <c r="N18" i="41" s="1"/>
  <c r="H45" i="7"/>
  <c r="N45" i="7" s="1"/>
  <c r="K82" i="3"/>
  <c r="K18" i="3"/>
  <c r="H34" i="12"/>
  <c r="N34" i="12" s="1"/>
  <c r="H19" i="7"/>
  <c r="N19" i="7" s="1"/>
  <c r="H64" i="42"/>
  <c r="H39" i="7"/>
  <c r="N39" i="7" s="1"/>
  <c r="H65" i="12"/>
  <c r="K68" i="3"/>
  <c r="H51" i="41"/>
  <c r="H43" i="5"/>
  <c r="K50" i="3"/>
  <c r="H57" i="7"/>
  <c r="H58" i="12"/>
  <c r="H36" i="12"/>
  <c r="N36" i="12" s="1"/>
  <c r="K73" i="3"/>
  <c r="H38" i="41"/>
  <c r="N38" i="41" s="1"/>
  <c r="K93" i="3"/>
  <c r="H41" i="7"/>
  <c r="N41" i="7" s="1"/>
  <c r="H19" i="5"/>
  <c r="N19" i="5" s="1"/>
  <c r="H11" i="41"/>
  <c r="N11" i="41" s="1"/>
  <c r="H55" i="42"/>
  <c r="H56" i="12"/>
  <c r="H63" i="41"/>
  <c r="K79" i="3"/>
  <c r="H15" i="7"/>
  <c r="N15" i="7" s="1"/>
  <c r="H10" i="12"/>
  <c r="N10" i="12" s="1"/>
  <c r="H84" i="5"/>
  <c r="H83" i="7"/>
  <c r="H78" i="12"/>
  <c r="H45" i="42"/>
  <c r="H20" i="7"/>
  <c r="N20" i="7" s="1"/>
  <c r="K42" i="3"/>
  <c r="K30" i="3"/>
  <c r="K16" i="3"/>
  <c r="H71" i="41"/>
  <c r="H39" i="42"/>
  <c r="N39" i="42" s="1"/>
  <c r="H35" i="5"/>
  <c r="H35" i="12"/>
  <c r="N35" i="12" s="1"/>
  <c r="K87" i="3"/>
  <c r="H46" i="7"/>
  <c r="N46" i="7" s="1"/>
  <c r="H52" i="41"/>
  <c r="H39" i="5"/>
  <c r="H44" i="7"/>
  <c r="N44" i="7" s="1"/>
  <c r="H29" i="5"/>
  <c r="N29" i="5" s="1"/>
  <c r="K70" i="3"/>
  <c r="H68" i="5"/>
  <c r="K20" i="3"/>
  <c r="K60" i="3"/>
  <c r="H51" i="7"/>
  <c r="N51" i="7" s="1"/>
  <c r="H16" i="42"/>
  <c r="N16" i="42" s="1"/>
  <c r="H56" i="42"/>
  <c r="K11" i="3"/>
  <c r="H72" i="7"/>
  <c r="K28" i="3"/>
  <c r="H31" i="7"/>
  <c r="N31" i="7" s="1"/>
  <c r="H49" i="5"/>
  <c r="H66" i="12"/>
  <c r="H38" i="7"/>
  <c r="N38" i="7" s="1"/>
  <c r="H60" i="7"/>
  <c r="K92" i="3"/>
  <c r="K7" i="3"/>
  <c r="H73" i="12"/>
  <c r="H28" i="5"/>
  <c r="N28" i="5" s="1"/>
  <c r="H48" i="42"/>
  <c r="H57" i="12"/>
  <c r="H28" i="7"/>
  <c r="N28" i="7" s="1"/>
  <c r="H16" i="41"/>
  <c r="N16" i="41" s="1"/>
  <c r="K24" i="3"/>
  <c r="H59" i="5"/>
  <c r="H10" i="5"/>
  <c r="N10" i="5" s="1"/>
  <c r="H32" i="41"/>
  <c r="N32" i="41" s="1"/>
  <c r="H27" i="12"/>
  <c r="N27" i="12" s="1"/>
  <c r="H82" i="5"/>
  <c r="H67" i="42"/>
  <c r="H65" i="5"/>
  <c r="H53" i="7"/>
  <c r="K69" i="3"/>
  <c r="H26" i="42"/>
  <c r="N26" i="42" s="1"/>
  <c r="H20" i="42"/>
  <c r="N20" i="42" s="1"/>
  <c r="H37" i="7"/>
  <c r="N37" i="7" s="1"/>
  <c r="H35" i="42"/>
  <c r="N35" i="42" s="1"/>
  <c r="H45" i="12"/>
  <c r="N45" i="12" s="1"/>
  <c r="H40" i="5"/>
  <c r="H51" i="12"/>
  <c r="N51" i="12" s="1"/>
  <c r="H31" i="41"/>
  <c r="N31" i="41" s="1"/>
  <c r="H19" i="42"/>
  <c r="N19" i="42" s="1"/>
  <c r="K8" i="3"/>
  <c r="K19" i="3"/>
  <c r="H10" i="7"/>
  <c r="N10" i="7" s="1"/>
  <c r="H77" i="12"/>
  <c r="K45" i="3"/>
  <c r="K65" i="3"/>
  <c r="H23" i="42"/>
  <c r="N23" i="42" s="1"/>
  <c r="H57" i="5"/>
  <c r="H31" i="42"/>
  <c r="N31" i="42" s="1"/>
  <c r="H11" i="42"/>
  <c r="N11" i="42" s="1"/>
  <c r="H38" i="12"/>
  <c r="N38" i="12" s="1"/>
  <c r="H74" i="7"/>
  <c r="K56" i="3"/>
  <c r="K35" i="3"/>
  <c r="K91" i="3"/>
  <c r="H30" i="12"/>
  <c r="N30" i="12" s="1"/>
  <c r="H26" i="12"/>
  <c r="N26" i="12" s="1"/>
  <c r="H49" i="7"/>
  <c r="N49" i="7" s="1"/>
  <c r="H73" i="41"/>
  <c r="H12" i="42"/>
  <c r="N12" i="42" s="1"/>
  <c r="H34" i="41"/>
  <c r="N34" i="41" s="1"/>
  <c r="H28" i="42"/>
  <c r="N28" i="42" s="1"/>
  <c r="K78" i="3"/>
  <c r="H66" i="41"/>
  <c r="H67" i="12"/>
  <c r="H84" i="12"/>
  <c r="H75" i="42"/>
  <c r="H17" i="5"/>
  <c r="N17" i="5" s="1"/>
  <c r="H27" i="41"/>
  <c r="N27" i="41" s="1"/>
  <c r="H76" i="41"/>
  <c r="H57" i="42"/>
  <c r="H17" i="42"/>
  <c r="N17" i="42" s="1"/>
  <c r="H54" i="42"/>
  <c r="H30" i="41"/>
  <c r="N30" i="41" s="1"/>
  <c r="H52" i="42"/>
  <c r="H37" i="42"/>
  <c r="N37" i="42" s="1"/>
  <c r="H55" i="5"/>
  <c r="H64" i="5"/>
  <c r="H36" i="42"/>
  <c r="N36" i="42" s="1"/>
  <c r="H54" i="12"/>
  <c r="H59" i="41"/>
  <c r="H86" i="42"/>
  <c r="H65" i="42"/>
  <c r="H32" i="5"/>
  <c r="H25" i="5"/>
  <c r="N25" i="5" s="1"/>
  <c r="H14" i="12"/>
  <c r="N14" i="12" s="1"/>
  <c r="H34" i="7"/>
  <c r="N34" i="7" s="1"/>
  <c r="H80" i="42"/>
  <c r="H25" i="7"/>
  <c r="N25" i="7" s="1"/>
  <c r="H68" i="7"/>
  <c r="H32" i="42"/>
  <c r="N32" i="42" s="1"/>
  <c r="H85" i="41"/>
  <c r="H77" i="5"/>
  <c r="H70" i="42"/>
  <c r="H35" i="41"/>
  <c r="N35" i="41" s="1"/>
  <c r="H19" i="41"/>
  <c r="N19" i="41" s="1"/>
  <c r="H50" i="7"/>
  <c r="N50" i="7" s="1"/>
  <c r="H23" i="12"/>
  <c r="N23" i="12" s="1"/>
  <c r="H47" i="42"/>
  <c r="H69" i="42"/>
  <c r="H66" i="42"/>
  <c r="H22" i="5"/>
  <c r="N22" i="5" s="1"/>
  <c r="H46" i="5"/>
  <c r="H21" i="42"/>
  <c r="N21" i="42" s="1"/>
  <c r="H36" i="5"/>
  <c r="H42" i="41"/>
  <c r="H18" i="7"/>
  <c r="N18" i="7" s="1"/>
  <c r="H12" i="7"/>
  <c r="N12" i="7" s="1"/>
  <c r="H81" i="42"/>
  <c r="H37" i="5"/>
  <c r="H44" i="42"/>
  <c r="H83" i="12"/>
  <c r="H76" i="42"/>
  <c r="H51" i="42"/>
  <c r="H52" i="5"/>
  <c r="H42" i="42"/>
  <c r="H85" i="42"/>
  <c r="H62" i="5"/>
  <c r="H27" i="5"/>
  <c r="N27" i="5" s="1"/>
  <c r="H49" i="42"/>
  <c r="H74" i="41"/>
  <c r="H79" i="7"/>
  <c r="H46" i="41"/>
  <c r="H47" i="5"/>
  <c r="H67" i="7"/>
  <c r="H67" i="5"/>
  <c r="H60" i="42"/>
  <c r="H27" i="42"/>
  <c r="N27" i="42" s="1"/>
  <c r="H77" i="7"/>
  <c r="H61" i="41"/>
  <c r="H12" i="5"/>
  <c r="N12" i="5" s="1"/>
  <c r="H53" i="42"/>
  <c r="H78" i="42"/>
  <c r="H41" i="42"/>
  <c r="H13" i="42"/>
  <c r="N13" i="42" s="1"/>
  <c r="H85" i="12"/>
  <c r="H45" i="41"/>
  <c r="H54" i="7"/>
  <c r="N54" i="7" s="1"/>
  <c r="H63" i="42"/>
  <c r="H74" i="42"/>
  <c r="H42" i="5"/>
  <c r="H52" i="12"/>
  <c r="H24" i="12"/>
  <c r="N24" i="12" s="1"/>
  <c r="H82" i="42"/>
  <c r="H58" i="42"/>
  <c r="H24" i="7"/>
  <c r="N24" i="7" s="1"/>
  <c r="H70" i="41"/>
  <c r="AB24" i="7"/>
  <c r="AC23" i="7"/>
  <c r="V139" i="39"/>
  <c r="AB25" i="5"/>
  <c r="AC24" i="5"/>
  <c r="AB25" i="41"/>
  <c r="AC24" i="41"/>
  <c r="AB25" i="42"/>
  <c r="AC24" i="42"/>
  <c r="H60" i="25" l="1"/>
  <c r="H95" i="39"/>
  <c r="K95" i="39"/>
  <c r="G95" i="39"/>
  <c r="K10" i="3"/>
  <c r="H60" i="47"/>
  <c r="H15" i="47"/>
  <c r="N15" i="47" s="1"/>
  <c r="H99" i="47"/>
  <c r="H40" i="47"/>
  <c r="N40" i="47" s="1"/>
  <c r="H29" i="47"/>
  <c r="N29" i="47" s="1"/>
  <c r="H73" i="47"/>
  <c r="H90" i="47"/>
  <c r="H85" i="47"/>
  <c r="H68" i="47"/>
  <c r="H95" i="47"/>
  <c r="H46" i="47"/>
  <c r="N46" i="47" s="1"/>
  <c r="H19" i="47"/>
  <c r="N19" i="47" s="1"/>
  <c r="H56" i="47"/>
  <c r="H89" i="47"/>
  <c r="H27" i="47"/>
  <c r="N27" i="47" s="1"/>
  <c r="H25" i="47"/>
  <c r="N25" i="47" s="1"/>
  <c r="H100" i="47"/>
  <c r="H82" i="47"/>
  <c r="H77" i="47"/>
  <c r="H78" i="47"/>
  <c r="H72" i="47"/>
  <c r="H84" i="47"/>
  <c r="H70" i="47"/>
  <c r="H42" i="47"/>
  <c r="N42" i="47" s="1"/>
  <c r="H76" i="47"/>
  <c r="H58" i="47"/>
  <c r="H49" i="45"/>
  <c r="N49" i="45" s="1"/>
  <c r="H35" i="47"/>
  <c r="N35" i="47" s="1"/>
  <c r="H67" i="47"/>
  <c r="H55" i="47"/>
  <c r="H18" i="47"/>
  <c r="N18" i="47" s="1"/>
  <c r="H10" i="47"/>
  <c r="N10" i="47" s="1"/>
  <c r="H53" i="47"/>
  <c r="N53" i="47" s="1"/>
  <c r="H94" i="47"/>
  <c r="H87" i="47"/>
  <c r="H12" i="47"/>
  <c r="N12" i="47" s="1"/>
  <c r="H41" i="47"/>
  <c r="N41" i="47" s="1"/>
  <c r="H31" i="47"/>
  <c r="N31" i="47" s="1"/>
  <c r="H63" i="47"/>
  <c r="H47" i="47"/>
  <c r="N47" i="47" s="1"/>
  <c r="H11" i="47"/>
  <c r="N11" i="47" s="1"/>
  <c r="H33" i="47"/>
  <c r="N33" i="47" s="1"/>
  <c r="H59" i="47"/>
  <c r="H92" i="47"/>
  <c r="H17" i="47"/>
  <c r="N17" i="47" s="1"/>
  <c r="H65" i="47"/>
  <c r="H44" i="47"/>
  <c r="N44" i="47" s="1"/>
  <c r="H20" i="47"/>
  <c r="N20" i="47" s="1"/>
  <c r="H23" i="47"/>
  <c r="N23" i="47" s="1"/>
  <c r="H32" i="47"/>
  <c r="N32" i="47" s="1"/>
  <c r="H80" i="47"/>
  <c r="H49" i="47"/>
  <c r="N49" i="47" s="1"/>
  <c r="H83" i="47"/>
  <c r="H34" i="47"/>
  <c r="N34" i="47" s="1"/>
  <c r="H61" i="47"/>
  <c r="H14" i="47"/>
  <c r="N14" i="47" s="1"/>
  <c r="H16" i="47"/>
  <c r="N16" i="47" s="1"/>
  <c r="H21" i="47"/>
  <c r="N21" i="47" s="1"/>
  <c r="H69" i="47"/>
  <c r="H51" i="47"/>
  <c r="N51" i="47" s="1"/>
  <c r="H45" i="47"/>
  <c r="N45" i="47" s="1"/>
  <c r="H75" i="47"/>
  <c r="H74" i="47"/>
  <c r="H62" i="47"/>
  <c r="H26" i="47"/>
  <c r="N26" i="47" s="1"/>
  <c r="H96" i="47"/>
  <c r="H50" i="47"/>
  <c r="N50" i="47" s="1"/>
  <c r="H97" i="47"/>
  <c r="H30" i="47"/>
  <c r="N30" i="47" s="1"/>
  <c r="H13" i="47"/>
  <c r="N13" i="47" s="1"/>
  <c r="H48" i="47"/>
  <c r="N48" i="47" s="1"/>
  <c r="H91" i="47"/>
  <c r="H79" i="47"/>
  <c r="H93" i="47"/>
  <c r="H66" i="47"/>
  <c r="H81" i="47"/>
  <c r="H36" i="47"/>
  <c r="N36" i="47" s="1"/>
  <c r="H28" i="47"/>
  <c r="N28" i="47" s="1"/>
  <c r="H24" i="47"/>
  <c r="N24" i="47" s="1"/>
  <c r="H57" i="47"/>
  <c r="H39" i="47"/>
  <c r="N39" i="47" s="1"/>
  <c r="H22" i="47"/>
  <c r="N22" i="47" s="1"/>
  <c r="H54" i="47"/>
  <c r="N54" i="47" s="1"/>
  <c r="H88" i="47"/>
  <c r="H64" i="47"/>
  <c r="H86" i="47"/>
  <c r="H43" i="47"/>
  <c r="N43" i="47" s="1"/>
  <c r="H37" i="47"/>
  <c r="N37" i="47" s="1"/>
  <c r="H98" i="47"/>
  <c r="H71" i="47"/>
  <c r="H38" i="47"/>
  <c r="N38" i="47" s="1"/>
  <c r="AB46" i="47"/>
  <c r="AC45" i="47"/>
  <c r="K6" i="3"/>
  <c r="H56" i="45"/>
  <c r="H12" i="45"/>
  <c r="N12" i="45" s="1"/>
  <c r="H28" i="45"/>
  <c r="N28" i="45" s="1"/>
  <c r="H71" i="38"/>
  <c r="H73" i="45"/>
  <c r="H17" i="45"/>
  <c r="N17" i="45" s="1"/>
  <c r="H61" i="45"/>
  <c r="H60" i="45"/>
  <c r="H20" i="45"/>
  <c r="N20" i="45" s="1"/>
  <c r="H58" i="45"/>
  <c r="H50" i="45"/>
  <c r="N50" i="45" s="1"/>
  <c r="H78" i="45"/>
  <c r="H98" i="45"/>
  <c r="H95" i="38"/>
  <c r="H41" i="38"/>
  <c r="N41" i="38" s="1"/>
  <c r="H30" i="38"/>
  <c r="N30" i="38" s="1"/>
  <c r="H85" i="38"/>
  <c r="H57" i="38"/>
  <c r="H68" i="38"/>
  <c r="H98" i="38"/>
  <c r="H48" i="38"/>
  <c r="N48" i="38" s="1"/>
  <c r="O48" i="38" s="1"/>
  <c r="CT62" i="39" s="1"/>
  <c r="H73" i="38"/>
  <c r="H29" i="45"/>
  <c r="N29" i="45" s="1"/>
  <c r="H44" i="38"/>
  <c r="N44" i="38" s="1"/>
  <c r="H63" i="45"/>
  <c r="H42" i="38"/>
  <c r="N42" i="38" s="1"/>
  <c r="H39" i="38"/>
  <c r="N39" i="38" s="1"/>
  <c r="H90" i="38"/>
  <c r="H81" i="38"/>
  <c r="H67" i="38"/>
  <c r="H38" i="45"/>
  <c r="N38" i="45" s="1"/>
  <c r="H74" i="45"/>
  <c r="H43" i="45"/>
  <c r="N43" i="45" s="1"/>
  <c r="H26" i="45"/>
  <c r="N26" i="45" s="1"/>
  <c r="H56" i="38"/>
  <c r="H80" i="38"/>
  <c r="H33" i="38"/>
  <c r="N33" i="38" s="1"/>
  <c r="H89" i="45"/>
  <c r="H41" i="45"/>
  <c r="N41" i="45" s="1"/>
  <c r="H18" i="45"/>
  <c r="N18" i="45" s="1"/>
  <c r="H32" i="45"/>
  <c r="N32" i="45" s="1"/>
  <c r="H48" i="45"/>
  <c r="N48" i="45" s="1"/>
  <c r="H67" i="45"/>
  <c r="H28" i="38"/>
  <c r="N28" i="38" s="1"/>
  <c r="H43" i="38"/>
  <c r="N43" i="38" s="1"/>
  <c r="H77" i="38"/>
  <c r="H62" i="45"/>
  <c r="H44" i="45"/>
  <c r="N44" i="45" s="1"/>
  <c r="H87" i="45"/>
  <c r="H22" i="45"/>
  <c r="N22" i="45" s="1"/>
  <c r="H97" i="45"/>
  <c r="H16" i="38"/>
  <c r="N16" i="38" s="1"/>
  <c r="H51" i="38"/>
  <c r="H52" i="45"/>
  <c r="N52" i="45" s="1"/>
  <c r="H55" i="38"/>
  <c r="H34" i="45"/>
  <c r="N34" i="45" s="1"/>
  <c r="H19" i="45"/>
  <c r="N19" i="45" s="1"/>
  <c r="H13" i="38"/>
  <c r="N13" i="38" s="1"/>
  <c r="H92" i="45"/>
  <c r="H62" i="38"/>
  <c r="H96" i="45"/>
  <c r="H60" i="38"/>
  <c r="H31" i="38"/>
  <c r="N31" i="38" s="1"/>
  <c r="H88" i="45"/>
  <c r="H97" i="38"/>
  <c r="H69" i="45"/>
  <c r="H59" i="38"/>
  <c r="H11" i="45"/>
  <c r="N11" i="45" s="1"/>
  <c r="H35" i="45"/>
  <c r="N35" i="45" s="1"/>
  <c r="H83" i="38"/>
  <c r="H78" i="38"/>
  <c r="H89" i="38"/>
  <c r="H91" i="45"/>
  <c r="H81" i="45"/>
  <c r="H14" i="38"/>
  <c r="N14" i="38" s="1"/>
  <c r="H17" i="38"/>
  <c r="N17" i="38" s="1"/>
  <c r="H31" i="37"/>
  <c r="N31" i="37" s="1"/>
  <c r="H16" i="45"/>
  <c r="N16" i="45" s="1"/>
  <c r="H91" i="38"/>
  <c r="H54" i="38"/>
  <c r="H93" i="45"/>
  <c r="H77" i="45"/>
  <c r="H96" i="38"/>
  <c r="H25" i="45"/>
  <c r="N25" i="45" s="1"/>
  <c r="H36" i="45"/>
  <c r="N36" i="45" s="1"/>
  <c r="H82" i="38"/>
  <c r="H39" i="45"/>
  <c r="N39" i="45" s="1"/>
  <c r="H76" i="45"/>
  <c r="H95" i="45"/>
  <c r="H47" i="38"/>
  <c r="N47" i="38" s="1"/>
  <c r="H88" i="38"/>
  <c r="H40" i="38"/>
  <c r="N40" i="38" s="1"/>
  <c r="H93" i="38"/>
  <c r="H68" i="45"/>
  <c r="H36" i="38"/>
  <c r="N36" i="38" s="1"/>
  <c r="H75" i="45"/>
  <c r="H24" i="45"/>
  <c r="N24" i="45" s="1"/>
  <c r="H84" i="45"/>
  <c r="H23" i="45"/>
  <c r="N23" i="45" s="1"/>
  <c r="H34" i="38"/>
  <c r="N34" i="38" s="1"/>
  <c r="H71" i="45"/>
  <c r="H52" i="38"/>
  <c r="H10" i="45"/>
  <c r="N10" i="45" s="1"/>
  <c r="H19" i="38"/>
  <c r="N19" i="38" s="1"/>
  <c r="H46" i="38"/>
  <c r="N46" i="38" s="1"/>
  <c r="H54" i="45"/>
  <c r="N54" i="45" s="1"/>
  <c r="H21" i="45"/>
  <c r="N21" i="45" s="1"/>
  <c r="H85" i="45"/>
  <c r="H18" i="38"/>
  <c r="N18" i="38" s="1"/>
  <c r="H94" i="38"/>
  <c r="H72" i="45"/>
  <c r="H33" i="45"/>
  <c r="N33" i="45" s="1"/>
  <c r="H32" i="38"/>
  <c r="N32" i="38" s="1"/>
  <c r="H90" i="45"/>
  <c r="H27" i="45"/>
  <c r="N27" i="45" s="1"/>
  <c r="H53" i="45"/>
  <c r="N53" i="45" s="1"/>
  <c r="H66" i="45"/>
  <c r="H65" i="45"/>
  <c r="H47" i="45"/>
  <c r="N47" i="45" s="1"/>
  <c r="H23" i="38"/>
  <c r="N23" i="38" s="1"/>
  <c r="H31" i="45"/>
  <c r="N31" i="45" s="1"/>
  <c r="H66" i="38"/>
  <c r="H51" i="45"/>
  <c r="N51" i="45" s="1"/>
  <c r="H64" i="38"/>
  <c r="H79" i="45"/>
  <c r="H65" i="38"/>
  <c r="H86" i="38"/>
  <c r="H14" i="45"/>
  <c r="N14" i="45" s="1"/>
  <c r="H46" i="45"/>
  <c r="N46" i="45" s="1"/>
  <c r="H99" i="45"/>
  <c r="H37" i="45"/>
  <c r="N37" i="45" s="1"/>
  <c r="H21" i="38"/>
  <c r="N21" i="38" s="1"/>
  <c r="H24" i="38"/>
  <c r="N24" i="38" s="1"/>
  <c r="H83" i="45"/>
  <c r="H87" i="38"/>
  <c r="H80" i="45"/>
  <c r="H35" i="38"/>
  <c r="N35" i="38" s="1"/>
  <c r="H13" i="45"/>
  <c r="N13" i="45" s="1"/>
  <c r="H61" i="38"/>
  <c r="H22" i="38"/>
  <c r="N22" i="38" s="1"/>
  <c r="H29" i="38"/>
  <c r="N29" i="38" s="1"/>
  <c r="H86" i="45"/>
  <c r="H74" i="38"/>
  <c r="H79" i="38"/>
  <c r="H94" i="45"/>
  <c r="H27" i="38"/>
  <c r="N27" i="38" s="1"/>
  <c r="H50" i="38"/>
  <c r="H76" i="38"/>
  <c r="H57" i="45"/>
  <c r="CW38" i="39" s="1"/>
  <c r="H45" i="38"/>
  <c r="N45" i="38" s="1"/>
  <c r="H58" i="38"/>
  <c r="H53" i="38"/>
  <c r="H37" i="38"/>
  <c r="N37" i="38" s="1"/>
  <c r="H92" i="38"/>
  <c r="H49" i="38"/>
  <c r="H42" i="45"/>
  <c r="N42" i="45" s="1"/>
  <c r="H84" i="38"/>
  <c r="H38" i="38"/>
  <c r="N38" i="38" s="1"/>
  <c r="H63" i="38"/>
  <c r="H64" i="45"/>
  <c r="H25" i="38"/>
  <c r="N25" i="38" s="1"/>
  <c r="H15" i="38"/>
  <c r="N15" i="38" s="1"/>
  <c r="H40" i="45"/>
  <c r="N40" i="45" s="1"/>
  <c r="H82" i="45"/>
  <c r="H26" i="38"/>
  <c r="N26" i="38" s="1"/>
  <c r="H69" i="38"/>
  <c r="H10" i="38"/>
  <c r="N10" i="38" s="1"/>
  <c r="H59" i="45"/>
  <c r="H11" i="38"/>
  <c r="N11" i="38" s="1"/>
  <c r="H30" i="45"/>
  <c r="N30" i="45" s="1"/>
  <c r="H70" i="38"/>
  <c r="H55" i="45"/>
  <c r="N55" i="45" s="1"/>
  <c r="H15" i="45"/>
  <c r="N15" i="45" s="1"/>
  <c r="H70" i="45"/>
  <c r="H75" i="38"/>
  <c r="H45" i="45"/>
  <c r="N45" i="45" s="1"/>
  <c r="H20" i="38"/>
  <c r="N20" i="38" s="1"/>
  <c r="H72" i="38"/>
  <c r="H12" i="38"/>
  <c r="N12" i="38" s="1"/>
  <c r="AB45" i="45"/>
  <c r="AC44" i="45"/>
  <c r="AC39" i="38"/>
  <c r="AB40" i="38"/>
  <c r="H39" i="37"/>
  <c r="N39" i="37" s="1"/>
  <c r="H45" i="37"/>
  <c r="H62" i="37"/>
  <c r="H41" i="37"/>
  <c r="H75" i="37"/>
  <c r="H32" i="37"/>
  <c r="N32" i="37" s="1"/>
  <c r="H93" i="37"/>
  <c r="H51" i="37"/>
  <c r="H55" i="37"/>
  <c r="H74" i="37"/>
  <c r="H65" i="37"/>
  <c r="H60" i="37"/>
  <c r="H56" i="37"/>
  <c r="H72" i="37"/>
  <c r="H30" i="37"/>
  <c r="N30" i="37" s="1"/>
  <c r="H46" i="37"/>
  <c r="H87" i="37"/>
  <c r="H97" i="37"/>
  <c r="H17" i="37"/>
  <c r="N17" i="37" s="1"/>
  <c r="H14" i="37"/>
  <c r="N14" i="37" s="1"/>
  <c r="H12" i="37"/>
  <c r="N12" i="37" s="1"/>
  <c r="H76" i="37"/>
  <c r="H40" i="37"/>
  <c r="H53" i="37"/>
  <c r="H77" i="37"/>
  <c r="H78" i="37"/>
  <c r="H15" i="37"/>
  <c r="N15" i="37" s="1"/>
  <c r="H89" i="37"/>
  <c r="H13" i="37"/>
  <c r="N13" i="37" s="1"/>
  <c r="H26" i="37"/>
  <c r="N26" i="37" s="1"/>
  <c r="H57" i="37"/>
  <c r="H86" i="37"/>
  <c r="H88" i="37"/>
  <c r="H79" i="37"/>
  <c r="H67" i="37"/>
  <c r="H71" i="37"/>
  <c r="H48" i="37"/>
  <c r="H59" i="37"/>
  <c r="H35" i="37"/>
  <c r="N35" i="37" s="1"/>
  <c r="H50" i="37"/>
  <c r="H84" i="37"/>
  <c r="H25" i="37"/>
  <c r="N25" i="37" s="1"/>
  <c r="H38" i="37"/>
  <c r="N38" i="37" s="1"/>
  <c r="H22" i="37"/>
  <c r="N22" i="37" s="1"/>
  <c r="H81" i="37"/>
  <c r="H18" i="37"/>
  <c r="N18" i="37" s="1"/>
  <c r="H28" i="37"/>
  <c r="N28" i="37" s="1"/>
  <c r="H94" i="37"/>
  <c r="H10" i="37"/>
  <c r="N10" i="37" s="1"/>
  <c r="H42" i="37"/>
  <c r="H23" i="37"/>
  <c r="N23" i="37" s="1"/>
  <c r="H43" i="37"/>
  <c r="H66" i="37"/>
  <c r="H16" i="37"/>
  <c r="N16" i="37" s="1"/>
  <c r="H69" i="37"/>
  <c r="H27" i="37"/>
  <c r="N27" i="37" s="1"/>
  <c r="H98" i="37"/>
  <c r="H83" i="37"/>
  <c r="H95" i="37"/>
  <c r="H96" i="37"/>
  <c r="H20" i="37"/>
  <c r="N20" i="37" s="1"/>
  <c r="H34" i="37"/>
  <c r="N34" i="37" s="1"/>
  <c r="H11" i="37"/>
  <c r="N11" i="37" s="1"/>
  <c r="H47" i="37"/>
  <c r="H49" i="37"/>
  <c r="H82" i="37"/>
  <c r="H58" i="37"/>
  <c r="H92" i="37"/>
  <c r="H85" i="37"/>
  <c r="H54" i="37"/>
  <c r="H61" i="37"/>
  <c r="H36" i="37"/>
  <c r="N36" i="37" s="1"/>
  <c r="H73" i="37"/>
  <c r="H68" i="37"/>
  <c r="H33" i="37"/>
  <c r="N33" i="37" s="1"/>
  <c r="H52" i="37"/>
  <c r="H29" i="37"/>
  <c r="N29" i="37" s="1"/>
  <c r="H37" i="37"/>
  <c r="N37" i="37" s="1"/>
  <c r="H63" i="37"/>
  <c r="H90" i="37"/>
  <c r="H64" i="37"/>
  <c r="H19" i="37"/>
  <c r="N19" i="37" s="1"/>
  <c r="H80" i="37"/>
  <c r="H24" i="37"/>
  <c r="N24" i="37" s="1"/>
  <c r="H70" i="37"/>
  <c r="H21" i="37"/>
  <c r="N21" i="37" s="1"/>
  <c r="H44" i="37"/>
  <c r="H91" i="37"/>
  <c r="B20" i="40"/>
  <c r="AB42" i="37"/>
  <c r="AC41" i="37"/>
  <c r="K84" i="3"/>
  <c r="H50" i="36"/>
  <c r="N50" i="36" s="1"/>
  <c r="H79" i="34"/>
  <c r="H10" i="32"/>
  <c r="N10" i="32" s="1"/>
  <c r="H73" i="34"/>
  <c r="H15" i="34"/>
  <c r="N15" i="34" s="1"/>
  <c r="H62" i="34"/>
  <c r="H83" i="34"/>
  <c r="H67" i="34"/>
  <c r="H91" i="34"/>
  <c r="H33" i="34"/>
  <c r="N33" i="34" s="1"/>
  <c r="H63" i="35"/>
  <c r="H96" i="35"/>
  <c r="H49" i="35"/>
  <c r="N49" i="35" s="1"/>
  <c r="H20" i="32"/>
  <c r="N20" i="32" s="1"/>
  <c r="H74" i="32"/>
  <c r="H43" i="34"/>
  <c r="N43" i="34" s="1"/>
  <c r="H62" i="36"/>
  <c r="H76" i="35"/>
  <c r="H74" i="35"/>
  <c r="H56" i="32"/>
  <c r="H58" i="32"/>
  <c r="H63" i="32"/>
  <c r="H67" i="32"/>
  <c r="H41" i="32"/>
  <c r="N41" i="32" s="1"/>
  <c r="H27" i="32"/>
  <c r="N27" i="32" s="1"/>
  <c r="H31" i="32"/>
  <c r="N31" i="32" s="1"/>
  <c r="H42" i="32"/>
  <c r="N42" i="32" s="1"/>
  <c r="H60" i="32"/>
  <c r="H64" i="32"/>
  <c r="H71" i="32"/>
  <c r="H37" i="32"/>
  <c r="N37" i="32" s="1"/>
  <c r="H48" i="32"/>
  <c r="N48" i="32" s="1"/>
  <c r="H78" i="32"/>
  <c r="H33" i="32"/>
  <c r="N33" i="32" s="1"/>
  <c r="H84" i="32"/>
  <c r="H90" i="32"/>
  <c r="H96" i="32"/>
  <c r="H82" i="32"/>
  <c r="H53" i="32"/>
  <c r="H66" i="36"/>
  <c r="H11" i="32"/>
  <c r="N11" i="32" s="1"/>
  <c r="H15" i="32"/>
  <c r="N15" i="32" s="1"/>
  <c r="H35" i="32"/>
  <c r="N35" i="32" s="1"/>
  <c r="H43" i="32"/>
  <c r="N43" i="32" s="1"/>
  <c r="H95" i="34"/>
  <c r="H22" i="34"/>
  <c r="N22" i="34" s="1"/>
  <c r="H31" i="36"/>
  <c r="H69" i="35"/>
  <c r="H35" i="35"/>
  <c r="N35" i="35" s="1"/>
  <c r="H32" i="35"/>
  <c r="N32" i="35" s="1"/>
  <c r="H16" i="35"/>
  <c r="N16" i="35" s="1"/>
  <c r="H47" i="35"/>
  <c r="N47" i="35" s="1"/>
  <c r="H86" i="35"/>
  <c r="H87" i="35"/>
  <c r="H89" i="35"/>
  <c r="H29" i="35"/>
  <c r="N29" i="35" s="1"/>
  <c r="H55" i="35"/>
  <c r="H87" i="32"/>
  <c r="H22" i="32"/>
  <c r="N22" i="32" s="1"/>
  <c r="H62" i="35"/>
  <c r="H39" i="32"/>
  <c r="N39" i="32" s="1"/>
  <c r="H44" i="32"/>
  <c r="N44" i="32" s="1"/>
  <c r="H86" i="32"/>
  <c r="H77" i="32"/>
  <c r="H24" i="32"/>
  <c r="N24" i="32" s="1"/>
  <c r="H83" i="32"/>
  <c r="H93" i="36"/>
  <c r="H74" i="36"/>
  <c r="H32" i="32"/>
  <c r="N32" i="32" s="1"/>
  <c r="H34" i="32"/>
  <c r="N34" i="32" s="1"/>
  <c r="H36" i="35"/>
  <c r="N36" i="35" s="1"/>
  <c r="H90" i="35"/>
  <c r="H60" i="35"/>
  <c r="H15" i="35"/>
  <c r="N15" i="35" s="1"/>
  <c r="H31" i="35"/>
  <c r="N31" i="35" s="1"/>
  <c r="H91" i="32"/>
  <c r="H81" i="32"/>
  <c r="H24" i="35"/>
  <c r="N24" i="35" s="1"/>
  <c r="H65" i="32"/>
  <c r="H73" i="32"/>
  <c r="H75" i="32"/>
  <c r="H30" i="34"/>
  <c r="N30" i="34" s="1"/>
  <c r="H40" i="35"/>
  <c r="N40" i="35" s="1"/>
  <c r="H38" i="34"/>
  <c r="N38" i="34" s="1"/>
  <c r="H65" i="34"/>
  <c r="H90" i="34"/>
  <c r="H11" i="35"/>
  <c r="N11" i="35" s="1"/>
  <c r="H71" i="34"/>
  <c r="H26" i="32"/>
  <c r="N26" i="32" s="1"/>
  <c r="H89" i="32"/>
  <c r="H68" i="32"/>
  <c r="H40" i="32"/>
  <c r="N40" i="32" s="1"/>
  <c r="H13" i="35"/>
  <c r="N13" i="35" s="1"/>
  <c r="H63" i="36"/>
  <c r="H79" i="35"/>
  <c r="H72" i="32"/>
  <c r="H45" i="32"/>
  <c r="N45" i="32" s="1"/>
  <c r="H62" i="32"/>
  <c r="H79" i="32"/>
  <c r="H94" i="32"/>
  <c r="H38" i="32"/>
  <c r="N38" i="32" s="1"/>
  <c r="H24" i="34"/>
  <c r="N24" i="34" s="1"/>
  <c r="H34" i="34"/>
  <c r="N34" i="34" s="1"/>
  <c r="H52" i="34"/>
  <c r="H16" i="34"/>
  <c r="N16" i="34" s="1"/>
  <c r="H33" i="35"/>
  <c r="N33" i="35" s="1"/>
  <c r="H53" i="34"/>
  <c r="H42" i="34"/>
  <c r="N42" i="34" s="1"/>
  <c r="H64" i="36"/>
  <c r="H72" i="34"/>
  <c r="H57" i="34"/>
  <c r="H80" i="34"/>
  <c r="H96" i="34"/>
  <c r="H76" i="34"/>
  <c r="H28" i="34"/>
  <c r="N28" i="34" s="1"/>
  <c r="H37" i="34"/>
  <c r="N37" i="34" s="1"/>
  <c r="H45" i="34"/>
  <c r="N45" i="34" s="1"/>
  <c r="H82" i="34"/>
  <c r="H25" i="34"/>
  <c r="N25" i="34" s="1"/>
  <c r="H55" i="34"/>
  <c r="H35" i="34"/>
  <c r="N35" i="34" s="1"/>
  <c r="H40" i="34"/>
  <c r="N40" i="34" s="1"/>
  <c r="H56" i="34"/>
  <c r="H46" i="34"/>
  <c r="H63" i="34"/>
  <c r="H66" i="34"/>
  <c r="H68" i="34"/>
  <c r="H32" i="34"/>
  <c r="N32" i="34" s="1"/>
  <c r="H75" i="34"/>
  <c r="H81" i="34"/>
  <c r="H89" i="34"/>
  <c r="H17" i="32"/>
  <c r="N17" i="32" s="1"/>
  <c r="H25" i="32"/>
  <c r="N25" i="32" s="1"/>
  <c r="H45" i="35"/>
  <c r="N45" i="35" s="1"/>
  <c r="H25" i="35"/>
  <c r="N25" i="35" s="1"/>
  <c r="H28" i="35"/>
  <c r="N28" i="35" s="1"/>
  <c r="H18" i="35"/>
  <c r="N18" i="35" s="1"/>
  <c r="H61" i="35"/>
  <c r="H38" i="35"/>
  <c r="N38" i="35" s="1"/>
  <c r="H92" i="34"/>
  <c r="H39" i="34"/>
  <c r="N39" i="34" s="1"/>
  <c r="H19" i="34"/>
  <c r="N19" i="34" s="1"/>
  <c r="H94" i="34"/>
  <c r="H48" i="35"/>
  <c r="N48" i="35" s="1"/>
  <c r="H42" i="35"/>
  <c r="N42" i="35" s="1"/>
  <c r="H67" i="35"/>
  <c r="H93" i="35"/>
  <c r="H17" i="35"/>
  <c r="N17" i="35" s="1"/>
  <c r="H71" i="35"/>
  <c r="H22" i="35"/>
  <c r="N22" i="35" s="1"/>
  <c r="H60" i="34"/>
  <c r="H49" i="34"/>
  <c r="N49" i="34" s="1"/>
  <c r="O49" i="34" s="1"/>
  <c r="CH46" i="39" s="1"/>
  <c r="H87" i="34"/>
  <c r="H58" i="34"/>
  <c r="H50" i="34"/>
  <c r="H70" i="34"/>
  <c r="H36" i="34"/>
  <c r="N36" i="34" s="1"/>
  <c r="H86" i="34"/>
  <c r="H84" i="34"/>
  <c r="H12" i="34"/>
  <c r="N12" i="34" s="1"/>
  <c r="H26" i="34"/>
  <c r="N26" i="34" s="1"/>
  <c r="H81" i="35"/>
  <c r="H66" i="35"/>
  <c r="H21" i="32"/>
  <c r="N21" i="32" s="1"/>
  <c r="H95" i="32"/>
  <c r="H70" i="32"/>
  <c r="H61" i="32"/>
  <c r="H76" i="32"/>
  <c r="H37" i="35"/>
  <c r="N37" i="35" s="1"/>
  <c r="H23" i="34"/>
  <c r="N23" i="34" s="1"/>
  <c r="H58" i="35"/>
  <c r="H54" i="34"/>
  <c r="H78" i="35"/>
  <c r="H23" i="36"/>
  <c r="N23" i="36" s="1"/>
  <c r="H77" i="35"/>
  <c r="K76" i="3"/>
  <c r="H47" i="34"/>
  <c r="H57" i="35"/>
  <c r="H51" i="32"/>
  <c r="H46" i="36"/>
  <c r="N46" i="36" s="1"/>
  <c r="H93" i="32"/>
  <c r="H18" i="32"/>
  <c r="N18" i="32" s="1"/>
  <c r="H82" i="36"/>
  <c r="H82" i="35"/>
  <c r="H56" i="35"/>
  <c r="H57" i="32"/>
  <c r="H13" i="32"/>
  <c r="N13" i="32" s="1"/>
  <c r="H52" i="32"/>
  <c r="H66" i="32"/>
  <c r="H47" i="32"/>
  <c r="N47" i="32" s="1"/>
  <c r="H88" i="32"/>
  <c r="H41" i="35"/>
  <c r="N41" i="35" s="1"/>
  <c r="H20" i="35"/>
  <c r="N20" i="35" s="1"/>
  <c r="H18" i="34"/>
  <c r="N18" i="34" s="1"/>
  <c r="H17" i="34"/>
  <c r="N17" i="34" s="1"/>
  <c r="H21" i="35"/>
  <c r="N21" i="35" s="1"/>
  <c r="H50" i="35"/>
  <c r="N50" i="35" s="1"/>
  <c r="H14" i="35"/>
  <c r="N14" i="35" s="1"/>
  <c r="H80" i="35"/>
  <c r="H27" i="35"/>
  <c r="N27" i="35" s="1"/>
  <c r="H97" i="36"/>
  <c r="H10" i="35"/>
  <c r="N10" i="35" s="1"/>
  <c r="H88" i="34"/>
  <c r="H27" i="34"/>
  <c r="N27" i="34" s="1"/>
  <c r="H20" i="34"/>
  <c r="N20" i="34" s="1"/>
  <c r="H46" i="35"/>
  <c r="N46" i="35" s="1"/>
  <c r="H12" i="35"/>
  <c r="N12" i="35" s="1"/>
  <c r="H41" i="34"/>
  <c r="N41" i="34" s="1"/>
  <c r="H43" i="35"/>
  <c r="N43" i="35" s="1"/>
  <c r="H93" i="34"/>
  <c r="H29" i="34"/>
  <c r="N29" i="34" s="1"/>
  <c r="H44" i="35"/>
  <c r="N44" i="35" s="1"/>
  <c r="H95" i="35"/>
  <c r="H52" i="35"/>
  <c r="N52" i="35" s="1"/>
  <c r="H39" i="35"/>
  <c r="N39" i="35" s="1"/>
  <c r="H23" i="35"/>
  <c r="N23" i="35" s="1"/>
  <c r="H64" i="35"/>
  <c r="H52" i="36"/>
  <c r="N52" i="36" s="1"/>
  <c r="H80" i="36"/>
  <c r="H88" i="36"/>
  <c r="H85" i="36"/>
  <c r="H77" i="34"/>
  <c r="H11" i="34"/>
  <c r="N11" i="34" s="1"/>
  <c r="H31" i="34"/>
  <c r="N31" i="34" s="1"/>
  <c r="H74" i="34"/>
  <c r="H69" i="34"/>
  <c r="H13" i="34"/>
  <c r="N13" i="34" s="1"/>
  <c r="H78" i="34"/>
  <c r="H48" i="34"/>
  <c r="N48" i="34" s="1"/>
  <c r="O48" i="34" s="1"/>
  <c r="CH32" i="39" s="1"/>
  <c r="H14" i="34"/>
  <c r="N14" i="34" s="1"/>
  <c r="H59" i="34"/>
  <c r="H51" i="34"/>
  <c r="H70" i="35"/>
  <c r="H34" i="35"/>
  <c r="N34" i="35" s="1"/>
  <c r="H83" i="35"/>
  <c r="H91" i="35"/>
  <c r="H84" i="35"/>
  <c r="H73" i="35"/>
  <c r="H65" i="35"/>
  <c r="H19" i="35"/>
  <c r="N19" i="35" s="1"/>
  <c r="H26" i="35"/>
  <c r="N26" i="35" s="1"/>
  <c r="H94" i="35"/>
  <c r="H51" i="35"/>
  <c r="N51" i="35" s="1"/>
  <c r="H64" i="34"/>
  <c r="H44" i="34"/>
  <c r="N44" i="34" s="1"/>
  <c r="H72" i="35"/>
  <c r="H30" i="35"/>
  <c r="N30" i="35" s="1"/>
  <c r="H92" i="35"/>
  <c r="H68" i="35"/>
  <c r="H88" i="35"/>
  <c r="H61" i="34"/>
  <c r="H24" i="36"/>
  <c r="N24" i="36" s="1"/>
  <c r="H83" i="36"/>
  <c r="H89" i="36"/>
  <c r="H94" i="36"/>
  <c r="H36" i="31"/>
  <c r="N36" i="31" s="1"/>
  <c r="O31" i="31" s="1"/>
  <c r="CB40" i="39" s="1"/>
  <c r="H21" i="34"/>
  <c r="N21" i="34" s="1"/>
  <c r="H43" i="36"/>
  <c r="N43" i="36" s="1"/>
  <c r="H75" i="35"/>
  <c r="H70" i="36"/>
  <c r="H10" i="36"/>
  <c r="N10" i="36" s="1"/>
  <c r="H59" i="32"/>
  <c r="H36" i="32"/>
  <c r="N36" i="32" s="1"/>
  <c r="H80" i="32"/>
  <c r="H42" i="36"/>
  <c r="N42" i="36" s="1"/>
  <c r="H59" i="35"/>
  <c r="H54" i="35"/>
  <c r="H25" i="36"/>
  <c r="H30" i="36"/>
  <c r="N30" i="36" s="1"/>
  <c r="H37" i="36"/>
  <c r="N37" i="36" s="1"/>
  <c r="H14" i="32"/>
  <c r="N14" i="32" s="1"/>
  <c r="H23" i="32"/>
  <c r="N23" i="32" s="1"/>
  <c r="H16" i="32"/>
  <c r="N16" i="32" s="1"/>
  <c r="H55" i="32"/>
  <c r="H49" i="32"/>
  <c r="H92" i="32"/>
  <c r="H29" i="32"/>
  <c r="N29" i="32" s="1"/>
  <c r="H69" i="32"/>
  <c r="H46" i="32"/>
  <c r="N46" i="32" s="1"/>
  <c r="H28" i="32"/>
  <c r="N28" i="32" s="1"/>
  <c r="H54" i="32"/>
  <c r="H30" i="32"/>
  <c r="N30" i="32" s="1"/>
  <c r="H50" i="32"/>
  <c r="H19" i="32"/>
  <c r="N19" i="32" s="1"/>
  <c r="H12" i="32"/>
  <c r="N12" i="32" s="1"/>
  <c r="H96" i="36"/>
  <c r="H76" i="36"/>
  <c r="H69" i="36"/>
  <c r="H91" i="36"/>
  <c r="H84" i="36"/>
  <c r="H47" i="36"/>
  <c r="N47" i="36" s="1"/>
  <c r="H75" i="36"/>
  <c r="H81" i="36"/>
  <c r="H53" i="36"/>
  <c r="N53" i="36" s="1"/>
  <c r="H95" i="36"/>
  <c r="H32" i="36"/>
  <c r="N32" i="36" s="1"/>
  <c r="H65" i="36"/>
  <c r="H51" i="36"/>
  <c r="H58" i="36"/>
  <c r="H61" i="36"/>
  <c r="H56" i="36"/>
  <c r="N56" i="36" s="1"/>
  <c r="H90" i="36"/>
  <c r="H54" i="36"/>
  <c r="N54" i="36" s="1"/>
  <c r="H45" i="36"/>
  <c r="N45" i="36" s="1"/>
  <c r="H78" i="36"/>
  <c r="H72" i="36"/>
  <c r="H68" i="36"/>
  <c r="H60" i="36"/>
  <c r="H28" i="36"/>
  <c r="N28" i="36" s="1"/>
  <c r="H67" i="36"/>
  <c r="H16" i="36"/>
  <c r="N16" i="36" s="1"/>
  <c r="H86" i="36"/>
  <c r="H79" i="36"/>
  <c r="H73" i="36"/>
  <c r="H57" i="36"/>
  <c r="H18" i="36"/>
  <c r="N18" i="36" s="1"/>
  <c r="H55" i="36"/>
  <c r="N55" i="36" s="1"/>
  <c r="H48" i="36"/>
  <c r="H27" i="36"/>
  <c r="N27" i="36" s="1"/>
  <c r="H44" i="36"/>
  <c r="H59" i="36"/>
  <c r="H77" i="36"/>
  <c r="H71" i="36"/>
  <c r="H39" i="36"/>
  <c r="N39" i="36" s="1"/>
  <c r="H19" i="36"/>
  <c r="N19" i="36" s="1"/>
  <c r="H35" i="36"/>
  <c r="N35" i="36" s="1"/>
  <c r="H17" i="36"/>
  <c r="N17" i="36" s="1"/>
  <c r="H14" i="36"/>
  <c r="H38" i="36"/>
  <c r="N38" i="36" s="1"/>
  <c r="H21" i="36"/>
  <c r="N21" i="36" s="1"/>
  <c r="H34" i="36"/>
  <c r="N34" i="36" s="1"/>
  <c r="H41" i="36"/>
  <c r="N41" i="36" s="1"/>
  <c r="H22" i="36"/>
  <c r="N22" i="36" s="1"/>
  <c r="H15" i="36"/>
  <c r="N15" i="36" s="1"/>
  <c r="H33" i="36"/>
  <c r="N33" i="36" s="1"/>
  <c r="H26" i="36"/>
  <c r="N26" i="36" s="1"/>
  <c r="H92" i="36"/>
  <c r="H49" i="36"/>
  <c r="N49" i="36" s="1"/>
  <c r="H20" i="36"/>
  <c r="N20" i="36" s="1"/>
  <c r="H13" i="36"/>
  <c r="N13" i="36" s="1"/>
  <c r="H36" i="36"/>
  <c r="N36" i="36" s="1"/>
  <c r="H12" i="36"/>
  <c r="N12" i="36" s="1"/>
  <c r="H40" i="36"/>
  <c r="N40" i="36" s="1"/>
  <c r="H11" i="36"/>
  <c r="N11" i="36" s="1"/>
  <c r="H29" i="36"/>
  <c r="N29" i="36" s="1"/>
  <c r="H10" i="34"/>
  <c r="N10" i="34" s="1"/>
  <c r="H53" i="35"/>
  <c r="N53" i="35" s="1"/>
  <c r="AB40" i="36"/>
  <c r="AC39" i="36"/>
  <c r="AB39" i="35"/>
  <c r="AC38" i="35"/>
  <c r="AB38" i="34"/>
  <c r="AC37" i="34"/>
  <c r="AB36" i="32"/>
  <c r="AC35" i="32"/>
  <c r="O46" i="31"/>
  <c r="CB44" i="39" s="1"/>
  <c r="O29" i="27"/>
  <c r="BS34" i="39" s="1"/>
  <c r="CB90" i="39"/>
  <c r="CB60" i="39"/>
  <c r="CB52" i="39"/>
  <c r="CB23" i="39"/>
  <c r="CB89" i="39"/>
  <c r="CB35" i="39"/>
  <c r="CB47" i="39"/>
  <c r="CB45" i="39"/>
  <c r="CB68" i="39"/>
  <c r="CB61" i="39"/>
  <c r="CB22" i="39"/>
  <c r="CB63" i="39"/>
  <c r="CB56" i="39"/>
  <c r="CB54" i="39"/>
  <c r="CB62" i="39"/>
  <c r="CB65" i="39"/>
  <c r="AC35" i="31"/>
  <c r="AB36" i="31"/>
  <c r="O40" i="30"/>
  <c r="BY89" i="39" s="1"/>
  <c r="O40" i="29"/>
  <c r="BV66" i="39" s="1"/>
  <c r="O34" i="24"/>
  <c r="BJ45" i="39" s="1"/>
  <c r="O45" i="30"/>
  <c r="BY90" i="39" s="1"/>
  <c r="O28" i="23"/>
  <c r="BG45" i="39" s="1"/>
  <c r="O21" i="26"/>
  <c r="BP33" i="39" s="1"/>
  <c r="O32" i="24"/>
  <c r="BJ54" i="39" s="1"/>
  <c r="O34" i="26"/>
  <c r="BP42" i="39" s="1"/>
  <c r="O41" i="24"/>
  <c r="BJ62" i="39" s="1"/>
  <c r="O31" i="24"/>
  <c r="BJ53" i="39" s="1"/>
  <c r="O41" i="29"/>
  <c r="BV44" i="39" s="1"/>
  <c r="O22" i="27"/>
  <c r="BS16" i="39" s="1"/>
  <c r="O13" i="26"/>
  <c r="BP16" i="39" s="1"/>
  <c r="O30" i="30"/>
  <c r="BY24" i="39" s="1"/>
  <c r="O22" i="29"/>
  <c r="BV23" i="39" s="1"/>
  <c r="O27" i="30"/>
  <c r="BY38" i="39" s="1"/>
  <c r="O13" i="24"/>
  <c r="BJ17" i="39" s="1"/>
  <c r="O18" i="23"/>
  <c r="BG19" i="39" s="1"/>
  <c r="O38" i="24"/>
  <c r="BJ63" i="39" s="1"/>
  <c r="O50" i="30"/>
  <c r="BY55" i="39" s="1"/>
  <c r="O23" i="30"/>
  <c r="BY48" i="39" s="1"/>
  <c r="O18" i="29"/>
  <c r="BV19" i="39" s="1"/>
  <c r="O13" i="29"/>
  <c r="BV18" i="39" s="1"/>
  <c r="O24" i="23"/>
  <c r="BG11" i="39" s="1"/>
  <c r="O31" i="26"/>
  <c r="BP32" i="39" s="1"/>
  <c r="O22" i="26"/>
  <c r="BP36" i="39" s="1"/>
  <c r="O15" i="26"/>
  <c r="BP21" i="39" s="1"/>
  <c r="O39" i="27"/>
  <c r="BS67" i="39" s="1"/>
  <c r="O23" i="26"/>
  <c r="BP53" i="39" s="1"/>
  <c r="O19" i="24"/>
  <c r="BJ33" i="39" s="1"/>
  <c r="O34" i="29"/>
  <c r="BV60" i="39" s="1"/>
  <c r="O15" i="23"/>
  <c r="BG23" i="39" s="1"/>
  <c r="O33" i="23"/>
  <c r="BG65" i="39" s="1"/>
  <c r="O16" i="30"/>
  <c r="BY19" i="39" s="1"/>
  <c r="O51" i="30"/>
  <c r="BY32" i="39" s="1"/>
  <c r="O38" i="26"/>
  <c r="BP65" i="39" s="1"/>
  <c r="O12" i="24"/>
  <c r="BJ12" i="39" s="1"/>
  <c r="O17" i="23"/>
  <c r="BG26" i="39" s="1"/>
  <c r="O20" i="26"/>
  <c r="BP13" i="39" s="1"/>
  <c r="O16" i="29"/>
  <c r="BV10" i="39" s="1"/>
  <c r="O19" i="26"/>
  <c r="BP25" i="39" s="1"/>
  <c r="O11" i="24"/>
  <c r="BJ10" i="39" s="1"/>
  <c r="O20" i="27"/>
  <c r="BS21" i="39" s="1"/>
  <c r="O10" i="26"/>
  <c r="BP11" i="39" s="1"/>
  <c r="O36" i="24"/>
  <c r="BJ38" i="39" s="1"/>
  <c r="O10" i="29"/>
  <c r="BV29" i="39" s="1"/>
  <c r="O10" i="27"/>
  <c r="BS13" i="39" s="1"/>
  <c r="O22" i="23"/>
  <c r="BG40" i="39" s="1"/>
  <c r="O43" i="30"/>
  <c r="BY65" i="39" s="1"/>
  <c r="O25" i="23"/>
  <c r="BG35" i="39" s="1"/>
  <c r="O13" i="23"/>
  <c r="BG22" i="39" s="1"/>
  <c r="O18" i="26"/>
  <c r="BP30" i="39" s="1"/>
  <c r="O35" i="26"/>
  <c r="BP66" i="39" s="1"/>
  <c r="O11" i="23"/>
  <c r="BG17" i="39" s="1"/>
  <c r="O24" i="27"/>
  <c r="BS47" i="39" s="1"/>
  <c r="O28" i="29"/>
  <c r="BV35" i="39" s="1"/>
  <c r="O25" i="26"/>
  <c r="BP43" i="39" s="1"/>
  <c r="O31" i="29"/>
  <c r="BV45" i="39" s="1"/>
  <c r="O18" i="24"/>
  <c r="BJ21" i="39" s="1"/>
  <c r="O19" i="30"/>
  <c r="BY22" i="39" s="1"/>
  <c r="O21" i="24"/>
  <c r="BJ16" i="39" s="1"/>
  <c r="O30" i="23"/>
  <c r="BG18" i="39" s="1"/>
  <c r="O37" i="26"/>
  <c r="BP67" i="39" s="1"/>
  <c r="O11" i="27"/>
  <c r="BS11" i="39" s="1"/>
  <c r="O13" i="30"/>
  <c r="BY15" i="39" s="1"/>
  <c r="O16" i="24"/>
  <c r="BJ14" i="39" s="1"/>
  <c r="O14" i="23"/>
  <c r="BG25" i="39" s="1"/>
  <c r="O53" i="30"/>
  <c r="BY29" i="39" s="1"/>
  <c r="O10" i="23"/>
  <c r="BG13" i="39" s="1"/>
  <c r="O20" i="29"/>
  <c r="BV21" i="39" s="1"/>
  <c r="O14" i="24"/>
  <c r="BJ15" i="39" s="1"/>
  <c r="O23" i="27"/>
  <c r="BS19" i="39" s="1"/>
  <c r="O36" i="27"/>
  <c r="BS37" i="39" s="1"/>
  <c r="O31" i="30"/>
  <c r="BY50" i="39" s="1"/>
  <c r="O12" i="30"/>
  <c r="BY17" i="39" s="1"/>
  <c r="O41" i="30"/>
  <c r="BY67" i="39" s="1"/>
  <c r="O39" i="29"/>
  <c r="BV55" i="39" s="1"/>
  <c r="O14" i="27"/>
  <c r="BS30" i="39" s="1"/>
  <c r="O37" i="27"/>
  <c r="BS66" i="39" s="1"/>
  <c r="O32" i="30"/>
  <c r="BY43" i="39" s="1"/>
  <c r="O27" i="29"/>
  <c r="BV42" i="39" s="1"/>
  <c r="O27" i="27"/>
  <c r="BS42" i="39" s="1"/>
  <c r="O32" i="26"/>
  <c r="BP38" i="39" s="1"/>
  <c r="O28" i="27"/>
  <c r="BS41" i="39" s="1"/>
  <c r="O30" i="26"/>
  <c r="BP47" i="39" s="1"/>
  <c r="O35" i="30"/>
  <c r="BY52" i="39" s="1"/>
  <c r="O12" i="29"/>
  <c r="BV16" i="39" s="1"/>
  <c r="O32" i="23"/>
  <c r="BG50" i="39" s="1"/>
  <c r="O22" i="24"/>
  <c r="BJ43" i="39" s="1"/>
  <c r="O17" i="24"/>
  <c r="BJ23" i="39" s="1"/>
  <c r="O21" i="23"/>
  <c r="BG42" i="39" s="1"/>
  <c r="O35" i="23"/>
  <c r="BG43" i="39" s="1"/>
  <c r="O25" i="30"/>
  <c r="BY30" i="39" s="1"/>
  <c r="O46" i="30"/>
  <c r="BY66" i="39" s="1"/>
  <c r="O32" i="27"/>
  <c r="BS36" i="39" s="1"/>
  <c r="O34" i="27"/>
  <c r="BS50" i="39" s="1"/>
  <c r="O33" i="24"/>
  <c r="BJ47" i="39" s="1"/>
  <c r="O14" i="30"/>
  <c r="BY14" i="39" s="1"/>
  <c r="O26" i="24"/>
  <c r="BJ34" i="39" s="1"/>
  <c r="O40" i="27"/>
  <c r="BS57" i="39" s="1"/>
  <c r="O32" i="29"/>
  <c r="BV26" i="39" s="1"/>
  <c r="O11" i="26"/>
  <c r="BP14" i="39" s="1"/>
  <c r="O22" i="30"/>
  <c r="BY23" i="39" s="1"/>
  <c r="O25" i="24"/>
  <c r="BJ35" i="39" s="1"/>
  <c r="O31" i="23"/>
  <c r="BG53" i="39" s="1"/>
  <c r="O11" i="30"/>
  <c r="BY10" i="39" s="1"/>
  <c r="O27" i="24"/>
  <c r="BJ36" i="39" s="1"/>
  <c r="O20" i="30"/>
  <c r="BY26" i="39" s="1"/>
  <c r="O44" i="30"/>
  <c r="BY27" i="39" s="1"/>
  <c r="O18" i="27"/>
  <c r="BS32" i="39" s="1"/>
  <c r="O29" i="29"/>
  <c r="BV50" i="39" s="1"/>
  <c r="O39" i="24"/>
  <c r="BJ68" i="39" s="1"/>
  <c r="O28" i="26"/>
  <c r="BP22" i="39" s="1"/>
  <c r="O42" i="30"/>
  <c r="BY63" i="39" s="1"/>
  <c r="O24" i="30"/>
  <c r="BY47" i="39" s="1"/>
  <c r="O16" i="26"/>
  <c r="BP23" i="39" s="1"/>
  <c r="O37" i="24"/>
  <c r="BJ57" i="39" s="1"/>
  <c r="O21" i="30"/>
  <c r="BY21" i="39" s="1"/>
  <c r="O28" i="30"/>
  <c r="BY40" i="39" s="1"/>
  <c r="O24" i="29"/>
  <c r="BV32" i="39" s="1"/>
  <c r="O26" i="26"/>
  <c r="BP41" i="39" s="1"/>
  <c r="O15" i="27"/>
  <c r="BS26" i="39" s="1"/>
  <c r="O29" i="26"/>
  <c r="BP50" i="39" s="1"/>
  <c r="O52" i="30"/>
  <c r="BY46" i="39" s="1"/>
  <c r="O30" i="29"/>
  <c r="BV53" i="39" s="1"/>
  <c r="O33" i="27"/>
  <c r="BS60" i="39" s="1"/>
  <c r="O21" i="29"/>
  <c r="BV38" i="39" s="1"/>
  <c r="O14" i="26"/>
  <c r="BP26" i="39" s="1"/>
  <c r="O12" i="27"/>
  <c r="BS18" i="39" s="1"/>
  <c r="O23" i="29"/>
  <c r="BV15" i="39" s="1"/>
  <c r="O30" i="27"/>
  <c r="BS33" i="39" s="1"/>
  <c r="O30" i="24"/>
  <c r="BJ55" i="39" s="1"/>
  <c r="O19" i="29"/>
  <c r="BV17" i="39" s="1"/>
  <c r="O38" i="27"/>
  <c r="BS59" i="39" s="1"/>
  <c r="O29" i="30"/>
  <c r="BY33" i="39" s="1"/>
  <c r="O29" i="23"/>
  <c r="BG41" i="39" s="1"/>
  <c r="O27" i="23"/>
  <c r="BG33" i="39" s="1"/>
  <c r="O28" i="24"/>
  <c r="BJ40" i="39" s="1"/>
  <c r="O16" i="27"/>
  <c r="BS24" i="39" s="1"/>
  <c r="O20" i="23"/>
  <c r="BG14" i="39" s="1"/>
  <c r="O26" i="29"/>
  <c r="BV41" i="39" s="1"/>
  <c r="O17" i="27"/>
  <c r="BS25" i="39" s="1"/>
  <c r="O19" i="23"/>
  <c r="BG21" i="39" s="1"/>
  <c r="O26" i="23"/>
  <c r="BG29" i="39" s="1"/>
  <c r="O15" i="30"/>
  <c r="BY13" i="39" s="1"/>
  <c r="O37" i="30"/>
  <c r="BY45" i="39" s="1"/>
  <c r="O23" i="23"/>
  <c r="BG36" i="39" s="1"/>
  <c r="O35" i="27"/>
  <c r="BS65" i="39" s="1"/>
  <c r="O33" i="30"/>
  <c r="BY36" i="39" s="1"/>
  <c r="O35" i="24"/>
  <c r="BJ30" i="39" s="1"/>
  <c r="O16" i="23"/>
  <c r="BG32" i="39" s="1"/>
  <c r="O24" i="24"/>
  <c r="BJ28" i="39" s="1"/>
  <c r="O26" i="30"/>
  <c r="BY37" i="39" s="1"/>
  <c r="O17" i="29"/>
  <c r="BV14" i="39" s="1"/>
  <c r="O20" i="24"/>
  <c r="BJ26" i="39" s="1"/>
  <c r="O29" i="24"/>
  <c r="BJ32" i="39" s="1"/>
  <c r="O40" i="24"/>
  <c r="BJ67" i="39" s="1"/>
  <c r="O36" i="29"/>
  <c r="BV46" i="39" s="1"/>
  <c r="O12" i="23"/>
  <c r="BG10" i="39" s="1"/>
  <c r="O15" i="24"/>
  <c r="BJ25" i="39" s="1"/>
  <c r="O24" i="26"/>
  <c r="BP18" i="39" s="1"/>
  <c r="O15" i="29"/>
  <c r="BV12" i="39" s="1"/>
  <c r="O17" i="30"/>
  <c r="BY16" i="39" s="1"/>
  <c r="O34" i="23"/>
  <c r="BG57" i="39" s="1"/>
  <c r="O36" i="23"/>
  <c r="BG61" i="39" s="1"/>
  <c r="O37" i="29"/>
  <c r="BV57" i="39" s="1"/>
  <c r="O41" i="27"/>
  <c r="BS62" i="39" s="1"/>
  <c r="O31" i="27"/>
  <c r="BS43" i="39" s="1"/>
  <c r="O26" i="27"/>
  <c r="BS22" i="39" s="1"/>
  <c r="O10" i="24"/>
  <c r="BJ11" i="39" s="1"/>
  <c r="O19" i="27"/>
  <c r="BS15" i="39" s="1"/>
  <c r="O33" i="29"/>
  <c r="BV27" i="39" s="1"/>
  <c r="O27" i="26"/>
  <c r="BP59" i="39" s="1"/>
  <c r="O17" i="26"/>
  <c r="BP34" i="39" s="1"/>
  <c r="O34" i="30"/>
  <c r="BY60" i="39" s="1"/>
  <c r="O38" i="30"/>
  <c r="BY54" i="39" s="1"/>
  <c r="O42" i="24"/>
  <c r="BJ65" i="39" s="1"/>
  <c r="O39" i="30"/>
  <c r="BY68" i="39" s="1"/>
  <c r="O35" i="29"/>
  <c r="BV62" i="39" s="1"/>
  <c r="O11" i="29"/>
  <c r="BV11" i="39" s="1"/>
  <c r="O13" i="27"/>
  <c r="BS10" i="39" s="1"/>
  <c r="O25" i="29"/>
  <c r="BV34" i="39" s="1"/>
  <c r="O36" i="30"/>
  <c r="BY56" i="39" s="1"/>
  <c r="O33" i="26"/>
  <c r="BP45" i="39" s="1"/>
  <c r="O14" i="29"/>
  <c r="BV28" i="39" s="1"/>
  <c r="O23" i="24"/>
  <c r="BJ18" i="39" s="1"/>
  <c r="O38" i="29"/>
  <c r="BV47" i="39" s="1"/>
  <c r="O10" i="30"/>
  <c r="BY11" i="39" s="1"/>
  <c r="O18" i="30"/>
  <c r="BY18" i="39" s="1"/>
  <c r="O12" i="26"/>
  <c r="BP12" i="39" s="1"/>
  <c r="O21" i="27"/>
  <c r="BS29" i="39" s="1"/>
  <c r="O36" i="26"/>
  <c r="BP55" i="39" s="1"/>
  <c r="O25" i="27"/>
  <c r="BS38" i="39" s="1"/>
  <c r="AC35" i="30"/>
  <c r="AB36" i="30"/>
  <c r="AB37" i="29"/>
  <c r="AC36" i="29"/>
  <c r="AC34" i="27"/>
  <c r="AB35" i="27"/>
  <c r="AC32" i="26"/>
  <c r="AB33" i="26"/>
  <c r="AB32" i="25"/>
  <c r="AC30" i="24"/>
  <c r="AB31" i="24"/>
  <c r="AB31" i="23"/>
  <c r="AC30" i="23"/>
  <c r="O11" i="22"/>
  <c r="BD78" i="39" s="1"/>
  <c r="O33" i="22"/>
  <c r="BD57" i="39" s="1"/>
  <c r="O16" i="22"/>
  <c r="BD20" i="39" s="1"/>
  <c r="O22" i="22"/>
  <c r="BD17" i="39" s="1"/>
  <c r="O27" i="22"/>
  <c r="BD25" i="39" s="1"/>
  <c r="O17" i="22"/>
  <c r="BD50" i="39" s="1"/>
  <c r="O20" i="22"/>
  <c r="BD29" i="39" s="1"/>
  <c r="O10" i="22"/>
  <c r="BD77" i="39" s="1"/>
  <c r="O24" i="22"/>
  <c r="BD36" i="39" s="1"/>
  <c r="O25" i="22"/>
  <c r="BD53" i="39" s="1"/>
  <c r="O18" i="22"/>
  <c r="BD52" i="39" s="1"/>
  <c r="O19" i="22"/>
  <c r="BD14" i="39" s="1"/>
  <c r="O31" i="22"/>
  <c r="BD44" i="39" s="1"/>
  <c r="O30" i="22"/>
  <c r="BD32" i="39" s="1"/>
  <c r="O23" i="22"/>
  <c r="BD43" i="39" s="1"/>
  <c r="O29" i="22"/>
  <c r="BD82" i="39" s="1"/>
  <c r="O32" i="22"/>
  <c r="BD46" i="39" s="1"/>
  <c r="O28" i="22"/>
  <c r="BD45" i="39" s="1"/>
  <c r="O34" i="22"/>
  <c r="BD65" i="39" s="1"/>
  <c r="O12" i="22"/>
  <c r="BD40" i="39" s="1"/>
  <c r="O35" i="22"/>
  <c r="BD42" i="39" s="1"/>
  <c r="O26" i="22"/>
  <c r="BD55" i="39" s="1"/>
  <c r="O14" i="22"/>
  <c r="BD10" i="39" s="1"/>
  <c r="O21" i="22"/>
  <c r="BD11" i="39" s="1"/>
  <c r="O13" i="22"/>
  <c r="BD22" i="39" s="1"/>
  <c r="O15" i="22"/>
  <c r="BD23" i="39" s="1"/>
  <c r="AB29" i="22"/>
  <c r="AC28" i="22"/>
  <c r="O13" i="21"/>
  <c r="BA17" i="39" s="1"/>
  <c r="O39" i="21"/>
  <c r="BA52" i="39" s="1"/>
  <c r="O22" i="21"/>
  <c r="BA26" i="39" s="1"/>
  <c r="O35" i="21"/>
  <c r="BA57" i="39" s="1"/>
  <c r="O32" i="21"/>
  <c r="BA33" i="39" s="1"/>
  <c r="O25" i="21"/>
  <c r="BA22" i="39" s="1"/>
  <c r="O41" i="21"/>
  <c r="BA67" i="39" s="1"/>
  <c r="O27" i="21"/>
  <c r="BA31" i="39" s="1"/>
  <c r="O16" i="21"/>
  <c r="BA20" i="39" s="1"/>
  <c r="O33" i="21"/>
  <c r="BA36" i="39" s="1"/>
  <c r="O34" i="21"/>
  <c r="BA43" i="39" s="1"/>
  <c r="O42" i="21"/>
  <c r="BA61" i="39" s="1"/>
  <c r="O26" i="21"/>
  <c r="BA38" i="39" s="1"/>
  <c r="O10" i="21"/>
  <c r="BA13" i="39" s="1"/>
  <c r="O28" i="21"/>
  <c r="BA40" i="39" s="1"/>
  <c r="O37" i="21"/>
  <c r="BA45" i="39" s="1"/>
  <c r="O36" i="21"/>
  <c r="BA64" i="39" s="1"/>
  <c r="O21" i="21"/>
  <c r="BA29" i="39" s="1"/>
  <c r="O12" i="21"/>
  <c r="BA14" i="39" s="1"/>
  <c r="O38" i="21"/>
  <c r="BA65" i="39" s="1"/>
  <c r="O18" i="21"/>
  <c r="BA19" i="39" s="1"/>
  <c r="O30" i="21"/>
  <c r="BA32" i="39" s="1"/>
  <c r="O40" i="21"/>
  <c r="BA56" i="39" s="1"/>
  <c r="O23" i="21"/>
  <c r="BA47" i="39" s="1"/>
  <c r="O11" i="21"/>
  <c r="BA11" i="39" s="1"/>
  <c r="O29" i="21"/>
  <c r="BA60" i="39" s="1"/>
  <c r="O31" i="21"/>
  <c r="BA53" i="39" s="1"/>
  <c r="O14" i="21"/>
  <c r="BA77" i="39" s="1"/>
  <c r="O24" i="21"/>
  <c r="BA34" i="39" s="1"/>
  <c r="O21" i="17"/>
  <c r="AR44" i="39" s="1"/>
  <c r="O31" i="18"/>
  <c r="AU49" i="39" s="1"/>
  <c r="O25" i="19"/>
  <c r="AX21" i="39" s="1"/>
  <c r="O45" i="19"/>
  <c r="AX50" i="39" s="1"/>
  <c r="O15" i="17"/>
  <c r="AR15" i="39" s="1"/>
  <c r="O16" i="17"/>
  <c r="AR55" i="39" s="1"/>
  <c r="O19" i="18"/>
  <c r="AU21" i="39" s="1"/>
  <c r="O14" i="17"/>
  <c r="AR33" i="39" s="1"/>
  <c r="O18" i="19"/>
  <c r="AX46" i="39" s="1"/>
  <c r="O24" i="18"/>
  <c r="AU38" i="39" s="1"/>
  <c r="O16" i="18"/>
  <c r="AU23" i="39" s="1"/>
  <c r="O39" i="19"/>
  <c r="AX65" i="39" s="1"/>
  <c r="O15" i="21"/>
  <c r="BA10" i="39" s="1"/>
  <c r="O23" i="17"/>
  <c r="AR24" i="39" s="1"/>
  <c r="O41" i="19"/>
  <c r="AX41" i="39" s="1"/>
  <c r="O26" i="18"/>
  <c r="AU36" i="39" s="1"/>
  <c r="O18" i="17"/>
  <c r="AR13" i="39" s="1"/>
  <c r="O11" i="17"/>
  <c r="AR21" i="39" s="1"/>
  <c r="O15" i="18"/>
  <c r="AU19" i="39" s="1"/>
  <c r="O17" i="18"/>
  <c r="AU30" i="39" s="1"/>
  <c r="O36" i="17"/>
  <c r="AR61" i="39" s="1"/>
  <c r="O15" i="19"/>
  <c r="AX18" i="39" s="1"/>
  <c r="O32" i="17"/>
  <c r="AR16" i="39" s="1"/>
  <c r="O47" i="19"/>
  <c r="AX67" i="39" s="1"/>
  <c r="O29" i="17"/>
  <c r="AR18" i="39" s="1"/>
  <c r="O13" i="19"/>
  <c r="AX29" i="39" s="1"/>
  <c r="O31" i="19"/>
  <c r="AX37" i="39" s="1"/>
  <c r="O19" i="17"/>
  <c r="AR53" i="39" s="1"/>
  <c r="O21" i="18"/>
  <c r="AU22" i="39" s="1"/>
  <c r="O26" i="17"/>
  <c r="AR45" i="39" s="1"/>
  <c r="O35" i="19"/>
  <c r="AX63" i="39" s="1"/>
  <c r="O23" i="18"/>
  <c r="AU26" i="39" s="1"/>
  <c r="O36" i="19"/>
  <c r="AX56" i="39" s="1"/>
  <c r="O20" i="17"/>
  <c r="AR37" i="39" s="1"/>
  <c r="O32" i="18"/>
  <c r="AU50" i="39" s="1"/>
  <c r="O28" i="19"/>
  <c r="AX23" i="39" s="1"/>
  <c r="O36" i="18"/>
  <c r="AU63" i="39" s="1"/>
  <c r="O33" i="19"/>
  <c r="AX40" i="39" s="1"/>
  <c r="O30" i="19"/>
  <c r="AX44" i="39" s="1"/>
  <c r="O27" i="19"/>
  <c r="AX55" i="39" s="1"/>
  <c r="O34" i="18"/>
  <c r="AU55" i="39" s="1"/>
  <c r="O33" i="18"/>
  <c r="AU16" i="39" s="1"/>
  <c r="O19" i="19"/>
  <c r="AX22" i="39" s="1"/>
  <c r="O20" i="21"/>
  <c r="BA21" i="39" s="1"/>
  <c r="O11" i="19"/>
  <c r="AX12" i="39" s="1"/>
  <c r="O29" i="19"/>
  <c r="AX43" i="39" s="1"/>
  <c r="O27" i="18"/>
  <c r="AU29" i="39" s="1"/>
  <c r="O35" i="18"/>
  <c r="AU45" i="39" s="1"/>
  <c r="O21" i="19"/>
  <c r="AX26" i="39" s="1"/>
  <c r="O10" i="18"/>
  <c r="AU13" i="39" s="1"/>
  <c r="O20" i="19"/>
  <c r="AX15" i="39" s="1"/>
  <c r="O24" i="19"/>
  <c r="AX32" i="39" s="1"/>
  <c r="O17" i="17"/>
  <c r="AR36" i="39" s="1"/>
  <c r="O35" i="17"/>
  <c r="AR25" i="39" s="1"/>
  <c r="O12" i="19"/>
  <c r="AX10" i="39" s="1"/>
  <c r="O25" i="18"/>
  <c r="AU44" i="39" s="1"/>
  <c r="O30" i="17"/>
  <c r="AR42" i="39" s="1"/>
  <c r="O38" i="18"/>
  <c r="AU53" i="39" s="1"/>
  <c r="O18" i="18"/>
  <c r="AU25" i="39" s="1"/>
  <c r="O28" i="17"/>
  <c r="AR46" i="39" s="1"/>
  <c r="O11" i="18"/>
  <c r="AU11" i="39" s="1"/>
  <c r="O10" i="19"/>
  <c r="AX13" i="39" s="1"/>
  <c r="O14" i="19"/>
  <c r="AX30" i="39" s="1"/>
  <c r="O14" i="18"/>
  <c r="AU18" i="39" s="1"/>
  <c r="O34" i="17"/>
  <c r="AR38" i="39" s="1"/>
  <c r="O23" i="19"/>
  <c r="AX19" i="39" s="1"/>
  <c r="O44" i="19"/>
  <c r="AX57" i="39" s="1"/>
  <c r="O37" i="19"/>
  <c r="AX25" i="39" s="1"/>
  <c r="O25" i="17"/>
  <c r="AR50" i="39" s="1"/>
  <c r="O19" i="21"/>
  <c r="BA12" i="39" s="1"/>
  <c r="O28" i="18"/>
  <c r="AU33" i="39" s="1"/>
  <c r="O13" i="17"/>
  <c r="AR29" i="39" s="1"/>
  <c r="O12" i="18"/>
  <c r="AU12" i="39" s="1"/>
  <c r="O43" i="19"/>
  <c r="AX68" i="39" s="1"/>
  <c r="O31" i="17"/>
  <c r="AR11" i="39" s="1"/>
  <c r="O12" i="17"/>
  <c r="AR22" i="39" s="1"/>
  <c r="O34" i="19"/>
  <c r="AX36" i="39" s="1"/>
  <c r="O38" i="19"/>
  <c r="AX45" i="39" s="1"/>
  <c r="O10" i="17"/>
  <c r="AR10" i="39" s="1"/>
  <c r="O16" i="19"/>
  <c r="AX11" i="39" s="1"/>
  <c r="O37" i="18"/>
  <c r="AU65" i="39" s="1"/>
  <c r="O27" i="17"/>
  <c r="AR32" i="39" s="1"/>
  <c r="O22" i="18"/>
  <c r="AU32" i="39" s="1"/>
  <c r="O33" i="17"/>
  <c r="AR30" i="39" s="1"/>
  <c r="O26" i="19"/>
  <c r="AX38" i="39" s="1"/>
  <c r="O24" i="17"/>
  <c r="AR65" i="39" s="1"/>
  <c r="O30" i="18"/>
  <c r="AU42" i="39" s="1"/>
  <c r="O29" i="18"/>
  <c r="AU60" i="39" s="1"/>
  <c r="O13" i="18"/>
  <c r="AU10" i="39" s="1"/>
  <c r="O22" i="19"/>
  <c r="AX14" i="39" s="1"/>
  <c r="O32" i="19"/>
  <c r="AX54" i="39" s="1"/>
  <c r="O20" i="18"/>
  <c r="AU24" i="39" s="1"/>
  <c r="O17" i="19"/>
  <c r="AX17" i="39" s="1"/>
  <c r="O42" i="19"/>
  <c r="AX47" i="39" s="1"/>
  <c r="O22" i="17"/>
  <c r="AR19" i="39" s="1"/>
  <c r="O46" i="19"/>
  <c r="AX62" i="39" s="1"/>
  <c r="O40" i="19"/>
  <c r="AX48" i="39" s="1"/>
  <c r="O17" i="21"/>
  <c r="BA23" i="39" s="1"/>
  <c r="AB30" i="21"/>
  <c r="AC29" i="21"/>
  <c r="AC27" i="19"/>
  <c r="AB28" i="19"/>
  <c r="AC26" i="18"/>
  <c r="AB27" i="18"/>
  <c r="AB28" i="17"/>
  <c r="AC27" i="17"/>
  <c r="O22" i="15"/>
  <c r="AO22" i="39" s="1"/>
  <c r="O12" i="15"/>
  <c r="AO13" i="39" s="1"/>
  <c r="O20" i="15"/>
  <c r="AO20" i="39" s="1"/>
  <c r="O18" i="15"/>
  <c r="AO37" i="39" s="1"/>
  <c r="O11" i="15"/>
  <c r="AO11" i="39" s="1"/>
  <c r="O10" i="15"/>
  <c r="AO70" i="39" s="1"/>
  <c r="O31" i="15"/>
  <c r="AO29" i="39" s="1"/>
  <c r="O38" i="15"/>
  <c r="AO58" i="39" s="1"/>
  <c r="O37" i="15"/>
  <c r="AO47" i="39" s="1"/>
  <c r="O34" i="15"/>
  <c r="AO60" i="39" s="1"/>
  <c r="O35" i="15"/>
  <c r="AO41" i="39" s="1"/>
  <c r="O32" i="15"/>
  <c r="AO50" i="39" s="1"/>
  <c r="O24" i="15"/>
  <c r="AO16" i="39" s="1"/>
  <c r="O15" i="15"/>
  <c r="AO24" i="39" s="1"/>
  <c r="O25" i="15"/>
  <c r="AO53" i="39" s="1"/>
  <c r="O27" i="15"/>
  <c r="AO55" i="39" s="1"/>
  <c r="O29" i="15"/>
  <c r="AO40" i="39" s="1"/>
  <c r="O17" i="15"/>
  <c r="AO25" i="39" s="1"/>
  <c r="O14" i="15"/>
  <c r="AO19" i="39" s="1"/>
  <c r="O16" i="15"/>
  <c r="AO17" i="39" s="1"/>
  <c r="O19" i="15"/>
  <c r="AO30" i="39" s="1"/>
  <c r="O28" i="15"/>
  <c r="AO56" i="39" s="1"/>
  <c r="O33" i="15"/>
  <c r="AO42" i="39" s="1"/>
  <c r="O26" i="15"/>
  <c r="AO21" i="39" s="1"/>
  <c r="O30" i="15"/>
  <c r="AO51" i="39" s="1"/>
  <c r="O39" i="15"/>
  <c r="AO38" i="39" s="1"/>
  <c r="AO71" i="39"/>
  <c r="O36" i="15"/>
  <c r="AO65" i="39" s="1"/>
  <c r="O23" i="15"/>
  <c r="AO28" i="39" s="1"/>
  <c r="O21" i="15"/>
  <c r="AO15" i="39" s="1"/>
  <c r="O10" i="16"/>
  <c r="AL12" i="39" s="1"/>
  <c r="O13" i="15"/>
  <c r="AO12" i="39" s="1"/>
  <c r="AO75" i="39"/>
  <c r="AO66" i="39"/>
  <c r="AO54" i="39"/>
  <c r="O28" i="16"/>
  <c r="AL44" i="39" s="1"/>
  <c r="O12" i="16"/>
  <c r="AL37" i="39" s="1"/>
  <c r="AO48" i="39"/>
  <c r="O14" i="16"/>
  <c r="AL29" i="39" s="1"/>
  <c r="O17" i="16"/>
  <c r="AL55" i="39" s="1"/>
  <c r="O23" i="16"/>
  <c r="AL25" i="39" s="1"/>
  <c r="AO43" i="39"/>
  <c r="O29" i="16"/>
  <c r="AL62" i="39" s="1"/>
  <c r="AO26" i="39"/>
  <c r="O32" i="16"/>
  <c r="AL16" i="39" s="1"/>
  <c r="O11" i="16"/>
  <c r="AL22" i="39" s="1"/>
  <c r="O33" i="16"/>
  <c r="AL51" i="39" s="1"/>
  <c r="O26" i="16"/>
  <c r="AL43" i="39" s="1"/>
  <c r="O34" i="16"/>
  <c r="AL42" i="39" s="1"/>
  <c r="O27" i="16"/>
  <c r="AL60" i="39" s="1"/>
  <c r="O19" i="16"/>
  <c r="AL41" i="39" s="1"/>
  <c r="AO74" i="39"/>
  <c r="O25" i="16"/>
  <c r="AL26" i="39" s="1"/>
  <c r="O15" i="16"/>
  <c r="AL40" i="39" s="1"/>
  <c r="AO10" i="39"/>
  <c r="O13" i="16"/>
  <c r="AL11" i="39" s="1"/>
  <c r="AO36" i="39"/>
  <c r="O24" i="16"/>
  <c r="AL30" i="39" s="1"/>
  <c r="AO49" i="39"/>
  <c r="AO14" i="39"/>
  <c r="O20" i="16"/>
  <c r="AL10" i="39" s="1"/>
  <c r="AO32" i="39"/>
  <c r="AO63" i="39"/>
  <c r="AO57" i="39"/>
  <c r="O16" i="16"/>
  <c r="AL33" i="39" s="1"/>
  <c r="O30" i="16"/>
  <c r="AL38" i="39" s="1"/>
  <c r="O22" i="16"/>
  <c r="AL36" i="39" s="1"/>
  <c r="AO46" i="39"/>
  <c r="O18" i="16"/>
  <c r="AL24" i="39" s="1"/>
  <c r="O31" i="16"/>
  <c r="AL46" i="39" s="1"/>
  <c r="AO27" i="39"/>
  <c r="O21" i="16"/>
  <c r="AL50" i="39" s="1"/>
  <c r="AC26" i="15"/>
  <c r="AB27" i="15"/>
  <c r="AC27" i="16"/>
  <c r="AB28" i="16"/>
  <c r="O36" i="13"/>
  <c r="AI54" i="39" s="1"/>
  <c r="O23" i="13"/>
  <c r="AI49" i="39" s="1"/>
  <c r="O29" i="13"/>
  <c r="AI46" i="39" s="1"/>
  <c r="O45" i="13"/>
  <c r="AI67" i="39" s="1"/>
  <c r="O35" i="13"/>
  <c r="AI58" i="39" s="1"/>
  <c r="O33" i="13"/>
  <c r="AI51" i="39" s="1"/>
  <c r="O37" i="13"/>
  <c r="AI41" i="39" s="1"/>
  <c r="O16" i="13"/>
  <c r="AI21" i="39" s="1"/>
  <c r="O32" i="13"/>
  <c r="AI55" i="39" s="1"/>
  <c r="O42" i="13"/>
  <c r="AI60" i="39" s="1"/>
  <c r="O20" i="13"/>
  <c r="AI16" i="39" s="1"/>
  <c r="O31" i="13"/>
  <c r="AI33" i="39" s="1"/>
  <c r="O27" i="13"/>
  <c r="AI36" i="39" s="1"/>
  <c r="O11" i="13"/>
  <c r="AI10" i="39" s="1"/>
  <c r="O10" i="13"/>
  <c r="AI75" i="39" s="1"/>
  <c r="O26" i="13"/>
  <c r="AI11" i="39" s="1"/>
  <c r="O21" i="13"/>
  <c r="AI30" i="39" s="1"/>
  <c r="O18" i="13"/>
  <c r="AI28" i="39" s="1"/>
  <c r="O14" i="13"/>
  <c r="AI14" i="39" s="1"/>
  <c r="O12" i="13"/>
  <c r="AI18" i="39" s="1"/>
  <c r="O39" i="13"/>
  <c r="AI57" i="39" s="1"/>
  <c r="O22" i="13"/>
  <c r="AI48" i="39" s="1"/>
  <c r="O41" i="13"/>
  <c r="AI53" i="39" s="1"/>
  <c r="O28" i="13"/>
  <c r="AI42" i="39" s="1"/>
  <c r="O25" i="13"/>
  <c r="AI38" i="39" s="1"/>
  <c r="O30" i="13"/>
  <c r="AI26" i="39" s="1"/>
  <c r="O40" i="13"/>
  <c r="AI63" i="39" s="1"/>
  <c r="O15" i="13"/>
  <c r="AI24" i="39" s="1"/>
  <c r="O44" i="13"/>
  <c r="AI66" i="39" s="1"/>
  <c r="O38" i="13"/>
  <c r="AI50" i="39" s="1"/>
  <c r="O19" i="13"/>
  <c r="AI25" i="39" s="1"/>
  <c r="O43" i="13"/>
  <c r="AI62" i="39" s="1"/>
  <c r="O17" i="13"/>
  <c r="AI19" i="39" s="1"/>
  <c r="O24" i="13"/>
  <c r="AI32" i="39" s="1"/>
  <c r="O13" i="13"/>
  <c r="AI12" i="39" s="1"/>
  <c r="O34" i="13"/>
  <c r="AI37" i="39" s="1"/>
  <c r="O46" i="13"/>
  <c r="AI65" i="39" s="1"/>
  <c r="AB26" i="13"/>
  <c r="AC25" i="13"/>
  <c r="O24" i="7"/>
  <c r="AF49" i="39" s="1"/>
  <c r="O50" i="7"/>
  <c r="AF62" i="39" s="1"/>
  <c r="O44" i="7"/>
  <c r="AF66" i="39" s="1"/>
  <c r="O30" i="7"/>
  <c r="AF36" i="39" s="1"/>
  <c r="O23" i="7"/>
  <c r="AF11" i="39" s="1"/>
  <c r="O42" i="7"/>
  <c r="AF60" i="39" s="1"/>
  <c r="O47" i="7"/>
  <c r="AF32" i="39" s="1"/>
  <c r="O21" i="7"/>
  <c r="AF23" i="39" s="1"/>
  <c r="O45" i="7"/>
  <c r="O33" i="7"/>
  <c r="O26" i="7"/>
  <c r="AF24" i="39" s="1"/>
  <c r="O48" i="7"/>
  <c r="AF61" i="39" s="1"/>
  <c r="O10" i="7"/>
  <c r="AF70" i="39" s="1"/>
  <c r="O51" i="7"/>
  <c r="AF64" i="39" s="1"/>
  <c r="O38" i="7"/>
  <c r="O55" i="7"/>
  <c r="AF22" i="39" s="1"/>
  <c r="O29" i="7"/>
  <c r="O39" i="7"/>
  <c r="AF87" i="39" s="1"/>
  <c r="O11" i="7"/>
  <c r="AF75" i="39" s="1"/>
  <c r="O54" i="7"/>
  <c r="AF53" i="39" s="1"/>
  <c r="O19" i="7"/>
  <c r="AF19" i="39" s="1"/>
  <c r="O19" i="41"/>
  <c r="W16" i="39" s="1"/>
  <c r="O37" i="42"/>
  <c r="Z46" i="39" s="1"/>
  <c r="O27" i="12"/>
  <c r="AC48" i="39" s="1"/>
  <c r="O12" i="5"/>
  <c r="T15" i="39" s="1"/>
  <c r="O18" i="7"/>
  <c r="AF25" i="39" s="1"/>
  <c r="O38" i="12"/>
  <c r="AC49" i="39" s="1"/>
  <c r="O16" i="41"/>
  <c r="W21" i="39" s="1"/>
  <c r="O26" i="41"/>
  <c r="W64" i="39" s="1"/>
  <c r="O28" i="12"/>
  <c r="AC30" i="39" s="1"/>
  <c r="O35" i="7"/>
  <c r="O14" i="42"/>
  <c r="Z36" i="39" s="1"/>
  <c r="O33" i="12"/>
  <c r="AC60" i="39" s="1"/>
  <c r="O39" i="12"/>
  <c r="AC46" i="39" s="1"/>
  <c r="O43" i="7"/>
  <c r="O21" i="5"/>
  <c r="T57" i="39" s="1"/>
  <c r="O15" i="5"/>
  <c r="T33" i="39" s="1"/>
  <c r="O40" i="41"/>
  <c r="W65" i="39" s="1"/>
  <c r="O32" i="42"/>
  <c r="Z58" i="39" s="1"/>
  <c r="O12" i="41"/>
  <c r="W11" i="39" s="1"/>
  <c r="O25" i="7"/>
  <c r="O12" i="42"/>
  <c r="Z16" i="39" s="1"/>
  <c r="O19" i="42"/>
  <c r="Z41" i="39" s="1"/>
  <c r="O28" i="7"/>
  <c r="AF16" i="39" s="1"/>
  <c r="O39" i="42"/>
  <c r="Z65" i="39" s="1"/>
  <c r="O10" i="12"/>
  <c r="AC12" i="39" s="1"/>
  <c r="O38" i="41"/>
  <c r="W35" i="39" s="1"/>
  <c r="O17" i="7"/>
  <c r="AF18" i="39" s="1"/>
  <c r="O22" i="7"/>
  <c r="AF30" i="39" s="1"/>
  <c r="O31" i="12"/>
  <c r="AC56" i="39" s="1"/>
  <c r="O18" i="12"/>
  <c r="AC16" i="39" s="1"/>
  <c r="O22" i="12"/>
  <c r="AC21" i="39" s="1"/>
  <c r="O43" i="12"/>
  <c r="AC66" i="39" s="1"/>
  <c r="O22" i="42"/>
  <c r="Z50" i="39" s="1"/>
  <c r="O16" i="7"/>
  <c r="AF21" i="39" s="1"/>
  <c r="O15" i="42"/>
  <c r="Z52" i="39" s="1"/>
  <c r="O24" i="41"/>
  <c r="W36" i="39" s="1"/>
  <c r="O10" i="41"/>
  <c r="W71" i="39" s="1"/>
  <c r="O11" i="5"/>
  <c r="T21" i="39" s="1"/>
  <c r="O16" i="5"/>
  <c r="T13" i="39" s="1"/>
  <c r="O22" i="41"/>
  <c r="W17" i="39" s="1"/>
  <c r="O30" i="12"/>
  <c r="AC38" i="39" s="1"/>
  <c r="O11" i="42"/>
  <c r="Z22" i="39" s="1"/>
  <c r="O31" i="42"/>
  <c r="Z43" i="39" s="1"/>
  <c r="O31" i="7"/>
  <c r="O15" i="7"/>
  <c r="AF14" i="39" s="1"/>
  <c r="O20" i="12"/>
  <c r="AC11" i="39" s="1"/>
  <c r="O13" i="7"/>
  <c r="AF28" i="39" s="1"/>
  <c r="O19" i="12"/>
  <c r="AC19" i="39" s="1"/>
  <c r="O23" i="41"/>
  <c r="W42" i="39" s="1"/>
  <c r="O18" i="5"/>
  <c r="T58" i="39" s="1"/>
  <c r="O17" i="41"/>
  <c r="W25" i="39" s="1"/>
  <c r="O34" i="41"/>
  <c r="W33" i="39" s="1"/>
  <c r="O27" i="5"/>
  <c r="T11" i="39" s="1"/>
  <c r="O36" i="42"/>
  <c r="Z38" i="39" s="1"/>
  <c r="O27" i="41"/>
  <c r="W38" i="39" s="1"/>
  <c r="O31" i="41"/>
  <c r="W43" i="39" s="1"/>
  <c r="O27" i="42"/>
  <c r="Z51" i="39" s="1"/>
  <c r="O12" i="7"/>
  <c r="AF12" i="39" s="1"/>
  <c r="O23" i="12"/>
  <c r="AC33" i="39" s="1"/>
  <c r="O17" i="5"/>
  <c r="T68" i="39" s="1"/>
  <c r="O49" i="7"/>
  <c r="O29" i="5"/>
  <c r="T51" i="39" s="1"/>
  <c r="O36" i="12"/>
  <c r="AC41" i="39" s="1"/>
  <c r="O30" i="5"/>
  <c r="T41" i="39" s="1"/>
  <c r="O25" i="42"/>
  <c r="Z13" i="39" s="1"/>
  <c r="O32" i="7"/>
  <c r="O29" i="41"/>
  <c r="W32" i="39" s="1"/>
  <c r="O14" i="41"/>
  <c r="W28" i="39" s="1"/>
  <c r="O44" i="12"/>
  <c r="AC65" i="39" s="1"/>
  <c r="O23" i="5"/>
  <c r="T26" i="39" s="1"/>
  <c r="O41" i="41"/>
  <c r="W60" i="39" s="1"/>
  <c r="O37" i="41"/>
  <c r="W37" i="39" s="1"/>
  <c r="O51" i="12"/>
  <c r="AC85" i="39" s="1"/>
  <c r="O14" i="12"/>
  <c r="AC76" i="39" s="1"/>
  <c r="O34" i="7"/>
  <c r="AF42" i="39" s="1"/>
  <c r="O26" i="12"/>
  <c r="AC18" i="39" s="1"/>
  <c r="O23" i="42"/>
  <c r="Z32" i="39" s="1"/>
  <c r="O28" i="5"/>
  <c r="T17" i="39" s="1"/>
  <c r="O34" i="12"/>
  <c r="AC51" i="39" s="1"/>
  <c r="O40" i="42"/>
  <c r="Z60" i="39" s="1"/>
  <c r="O15" i="41"/>
  <c r="W19" i="39" s="1"/>
  <c r="O14" i="7"/>
  <c r="O46" i="12"/>
  <c r="AC62" i="39" s="1"/>
  <c r="O12" i="12"/>
  <c r="AC15" i="39" s="1"/>
  <c r="O10" i="42"/>
  <c r="Z15" i="39" s="1"/>
  <c r="O24" i="5"/>
  <c r="T45" i="39" s="1"/>
  <c r="O13" i="41"/>
  <c r="W12" i="39" s="1"/>
  <c r="O37" i="12"/>
  <c r="AC84" i="39" s="1"/>
  <c r="O20" i="41"/>
  <c r="W46" i="39" s="1"/>
  <c r="O33" i="41"/>
  <c r="W26" i="39" s="1"/>
  <c r="O36" i="41"/>
  <c r="W51" i="39" s="1"/>
  <c r="O21" i="41"/>
  <c r="W14" i="39" s="1"/>
  <c r="O28" i="41"/>
  <c r="W58" i="39" s="1"/>
  <c r="O14" i="5"/>
  <c r="T16" i="39" s="1"/>
  <c r="O41" i="12"/>
  <c r="AC57" i="39" s="1"/>
  <c r="O20" i="7"/>
  <c r="AF37" i="39" s="1"/>
  <c r="O40" i="12"/>
  <c r="AC45" i="39" s="1"/>
  <c r="O47" i="12"/>
  <c r="AC68" i="39" s="1"/>
  <c r="O30" i="42"/>
  <c r="Z17" i="39" s="1"/>
  <c r="O24" i="42"/>
  <c r="Z12" i="39" s="1"/>
  <c r="O11" i="12"/>
  <c r="AC28" i="39" s="1"/>
  <c r="O25" i="5"/>
  <c r="T48" i="39" s="1"/>
  <c r="O21" i="42"/>
  <c r="Z45" i="39" s="1"/>
  <c r="O37" i="7"/>
  <c r="AF58" i="39" s="1"/>
  <c r="O10" i="5"/>
  <c r="T12" i="39" s="1"/>
  <c r="O16" i="42"/>
  <c r="Z21" i="39" s="1"/>
  <c r="O46" i="7"/>
  <c r="AF48" i="39" s="1"/>
  <c r="O11" i="41"/>
  <c r="W10" i="39" s="1"/>
  <c r="O27" i="7"/>
  <c r="AF52" i="39" s="1"/>
  <c r="O13" i="12"/>
  <c r="AC10" i="39" s="1"/>
  <c r="O29" i="12"/>
  <c r="AC52" i="39" s="1"/>
  <c r="O42" i="12"/>
  <c r="AC58" i="39" s="1"/>
  <c r="O18" i="42"/>
  <c r="Z19" i="39" s="1"/>
  <c r="O45" i="12"/>
  <c r="AC55" i="39" s="1"/>
  <c r="O35" i="42"/>
  <c r="Z30" i="39" s="1"/>
  <c r="O32" i="41"/>
  <c r="W57" i="39" s="1"/>
  <c r="O30" i="41"/>
  <c r="W50" i="39" s="1"/>
  <c r="O24" i="12"/>
  <c r="AC43" i="39" s="1"/>
  <c r="O20" i="42"/>
  <c r="Z42" i="39" s="1"/>
  <c r="O19" i="5"/>
  <c r="T36" i="39" s="1"/>
  <c r="O18" i="41"/>
  <c r="W18" i="39" s="1"/>
  <c r="O21" i="12"/>
  <c r="AC17" i="39" s="1"/>
  <c r="O25" i="12"/>
  <c r="AC32" i="39" s="1"/>
  <c r="O15" i="12"/>
  <c r="AC14" i="39" s="1"/>
  <c r="O33" i="42"/>
  <c r="Z56" i="39" s="1"/>
  <c r="O32" i="12"/>
  <c r="AC42" i="39" s="1"/>
  <c r="O36" i="7"/>
  <c r="O31" i="5"/>
  <c r="T62" i="39" s="1"/>
  <c r="O26" i="5"/>
  <c r="T30" i="39" s="1"/>
  <c r="O39" i="41"/>
  <c r="W54" i="39" s="1"/>
  <c r="O29" i="42"/>
  <c r="Z37" i="39" s="1"/>
  <c r="O13" i="42"/>
  <c r="Z28" i="39" s="1"/>
  <c r="O35" i="41"/>
  <c r="W45" i="39" s="1"/>
  <c r="O22" i="5"/>
  <c r="T42" i="39" s="1"/>
  <c r="O17" i="42"/>
  <c r="Z11" i="39" s="1"/>
  <c r="O28" i="42"/>
  <c r="Z63" i="39" s="1"/>
  <c r="O26" i="42"/>
  <c r="Z18" i="39" s="1"/>
  <c r="O35" i="12"/>
  <c r="AC50" i="39" s="1"/>
  <c r="O41" i="7"/>
  <c r="AF55" i="39" s="1"/>
  <c r="O16" i="12"/>
  <c r="AC13" i="39" s="1"/>
  <c r="O34" i="42"/>
  <c r="Z48" i="39" s="1"/>
  <c r="O17" i="12"/>
  <c r="AC25" i="39" s="1"/>
  <c r="O40" i="7"/>
  <c r="AF68" i="39" s="1"/>
  <c r="O25" i="41"/>
  <c r="W55" i="39" s="1"/>
  <c r="O20" i="5"/>
  <c r="T25" i="39" s="1"/>
  <c r="O13" i="5"/>
  <c r="T28" i="39" s="1"/>
  <c r="O38" i="42"/>
  <c r="Z62" i="39" s="1"/>
  <c r="AB25" i="7"/>
  <c r="AC24" i="7"/>
  <c r="W138" i="39" s="1"/>
  <c r="V140" i="39"/>
  <c r="AC25" i="5"/>
  <c r="AB26" i="5"/>
  <c r="AC25" i="41"/>
  <c r="AB26" i="41"/>
  <c r="AC25" i="42"/>
  <c r="AB26" i="42"/>
  <c r="O31" i="47" l="1"/>
  <c r="O26" i="47"/>
  <c r="O17" i="47"/>
  <c r="O27" i="47"/>
  <c r="O29" i="47"/>
  <c r="O34" i="47"/>
  <c r="O42" i="47"/>
  <c r="O40" i="47"/>
  <c r="O53" i="47"/>
  <c r="O49" i="47"/>
  <c r="O33" i="47"/>
  <c r="O10" i="47"/>
  <c r="O52" i="47"/>
  <c r="O13" i="47"/>
  <c r="O19" i="47"/>
  <c r="O15" i="47"/>
  <c r="O48" i="47"/>
  <c r="O18" i="47"/>
  <c r="O38" i="47"/>
  <c r="O45" i="47"/>
  <c r="O46" i="47"/>
  <c r="O51" i="47"/>
  <c r="O32" i="47"/>
  <c r="O47" i="47"/>
  <c r="O54" i="47"/>
  <c r="O22" i="47"/>
  <c r="O39" i="47"/>
  <c r="O11" i="47"/>
  <c r="O24" i="47"/>
  <c r="O23" i="47"/>
  <c r="O28" i="47"/>
  <c r="O35" i="47"/>
  <c r="O43" i="47"/>
  <c r="O36" i="47"/>
  <c r="O50" i="47"/>
  <c r="O16" i="47"/>
  <c r="O44" i="47"/>
  <c r="O41" i="47"/>
  <c r="O37" i="47"/>
  <c r="O21" i="47"/>
  <c r="O20" i="47"/>
  <c r="O14" i="47"/>
  <c r="O12" i="47"/>
  <c r="O25" i="47"/>
  <c r="G87" i="39"/>
  <c r="H87" i="39"/>
  <c r="K87" i="39"/>
  <c r="G74" i="39"/>
  <c r="H74" i="39"/>
  <c r="K74" i="39"/>
  <c r="G89" i="39"/>
  <c r="H89" i="39"/>
  <c r="K89" i="39"/>
  <c r="K70" i="39"/>
  <c r="G70" i="39"/>
  <c r="H70" i="39"/>
  <c r="G78" i="39"/>
  <c r="H78" i="39"/>
  <c r="K78" i="39"/>
  <c r="O30" i="47"/>
  <c r="AB47" i="47"/>
  <c r="AC46" i="47"/>
  <c r="O15" i="45"/>
  <c r="O13" i="45"/>
  <c r="O21" i="45"/>
  <c r="O46" i="45"/>
  <c r="CW29" i="39" s="1"/>
  <c r="O47" i="45"/>
  <c r="O23" i="45"/>
  <c r="CW50" i="39" s="1"/>
  <c r="O35" i="45"/>
  <c r="CW72" i="39" s="1"/>
  <c r="O41" i="45"/>
  <c r="CW57" i="39" s="1"/>
  <c r="O39" i="45"/>
  <c r="CW13" i="39" s="1"/>
  <c r="O45" i="45"/>
  <c r="CW64" i="39" s="1"/>
  <c r="G64" i="39" s="1"/>
  <c r="O42" i="45"/>
  <c r="O53" i="45"/>
  <c r="O54" i="45"/>
  <c r="CW67" i="39" s="1"/>
  <c r="O34" i="45"/>
  <c r="CW24" i="39" s="1"/>
  <c r="O44" i="45"/>
  <c r="CW85" i="39" s="1"/>
  <c r="G85" i="39" s="1"/>
  <c r="O19" i="45"/>
  <c r="CW23" i="39" s="1"/>
  <c r="O27" i="45"/>
  <c r="CW82" i="39" s="1"/>
  <c r="H82" i="39" s="1"/>
  <c r="O36" i="45"/>
  <c r="CW56" i="39" s="1"/>
  <c r="O25" i="45"/>
  <c r="CW71" i="39" s="1"/>
  <c r="O52" i="45"/>
  <c r="CW27" i="39" s="1"/>
  <c r="O26" i="45"/>
  <c r="O40" i="45"/>
  <c r="O51" i="45"/>
  <c r="O10" i="45"/>
  <c r="CW76" i="39" s="1"/>
  <c r="O49" i="45"/>
  <c r="CW86" i="39" s="1"/>
  <c r="O43" i="45"/>
  <c r="CW66" i="39" s="1"/>
  <c r="O29" i="45"/>
  <c r="CW34" i="39" s="1"/>
  <c r="O28" i="45"/>
  <c r="CW55" i="39" s="1"/>
  <c r="O24" i="45"/>
  <c r="CW14" i="39" s="1"/>
  <c r="O55" i="45"/>
  <c r="CW60" i="39" s="1"/>
  <c r="O33" i="45"/>
  <c r="O48" i="45"/>
  <c r="O37" i="45"/>
  <c r="CW32" i="39" s="1"/>
  <c r="O31" i="45"/>
  <c r="CW41" i="39" s="1"/>
  <c r="O32" i="45"/>
  <c r="CW42" i="39" s="1"/>
  <c r="O38" i="45"/>
  <c r="CW26" i="39" s="1"/>
  <c r="O50" i="45"/>
  <c r="CW49" i="39" s="1"/>
  <c r="O30" i="45"/>
  <c r="CW53" i="39" s="1"/>
  <c r="O18" i="45"/>
  <c r="CW33" i="39" s="1"/>
  <c r="CW18" i="39"/>
  <c r="O15" i="38"/>
  <c r="CT21" i="39" s="1"/>
  <c r="O12" i="38"/>
  <c r="CT12" i="39" s="1"/>
  <c r="O11" i="38"/>
  <c r="CT10" i="39" s="1"/>
  <c r="CW48" i="39"/>
  <c r="O18" i="38"/>
  <c r="CT19" i="39" s="1"/>
  <c r="CW39" i="39"/>
  <c r="O20" i="45"/>
  <c r="CW11" i="39" s="1"/>
  <c r="O38" i="38"/>
  <c r="CT45" i="39" s="1"/>
  <c r="CW15" i="39"/>
  <c r="O14" i="45"/>
  <c r="CW21" i="39" s="1"/>
  <c r="O16" i="45"/>
  <c r="CW12" i="39" s="1"/>
  <c r="O11" i="45"/>
  <c r="CW40" i="39" s="1"/>
  <c r="O13" i="38"/>
  <c r="CT29" i="39" s="1"/>
  <c r="O20" i="38"/>
  <c r="CT26" i="39" s="1"/>
  <c r="O10" i="38"/>
  <c r="CT11" i="39" s="1"/>
  <c r="O35" i="38"/>
  <c r="CT52" i="39" s="1"/>
  <c r="CW36" i="39"/>
  <c r="O33" i="38"/>
  <c r="CT28" i="39" s="1"/>
  <c r="O39" i="38"/>
  <c r="CT38" i="39" s="1"/>
  <c r="CW10" i="39"/>
  <c r="O27" i="38"/>
  <c r="CT30" i="39" s="1"/>
  <c r="CW19" i="39"/>
  <c r="CW69" i="39"/>
  <c r="O17" i="38"/>
  <c r="CT15" i="39" s="1"/>
  <c r="O42" i="38"/>
  <c r="CT69" i="39" s="1"/>
  <c r="O30" i="38"/>
  <c r="CT48" i="39" s="1"/>
  <c r="O17" i="45"/>
  <c r="CW43" i="39" s="1"/>
  <c r="O26" i="38"/>
  <c r="CT36" i="39" s="1"/>
  <c r="CW68" i="39"/>
  <c r="O46" i="38"/>
  <c r="CT65" i="39" s="1"/>
  <c r="O36" i="38"/>
  <c r="CT47" i="39" s="1"/>
  <c r="O14" i="38"/>
  <c r="CT13" i="39" s="1"/>
  <c r="O43" i="38"/>
  <c r="CT46" i="39" s="1"/>
  <c r="O41" i="38"/>
  <c r="CT90" i="39" s="1"/>
  <c r="CW90" i="39"/>
  <c r="O19" i="38"/>
  <c r="CT25" i="39" s="1"/>
  <c r="CW52" i="39"/>
  <c r="O28" i="38"/>
  <c r="CT80" i="39" s="1"/>
  <c r="CW45" i="39"/>
  <c r="O44" i="38"/>
  <c r="CT43" i="39" s="1"/>
  <c r="CW37" i="39"/>
  <c r="CW30" i="39"/>
  <c r="O37" i="38"/>
  <c r="CT66" i="39" s="1"/>
  <c r="O24" i="38"/>
  <c r="CT39" i="39" s="1"/>
  <c r="CW46" i="39"/>
  <c r="O32" i="38"/>
  <c r="CT53" i="39" s="1"/>
  <c r="O31" i="38"/>
  <c r="CT55" i="39" s="1"/>
  <c r="O21" i="38"/>
  <c r="CT22" i="39" s="1"/>
  <c r="CW25" i="39"/>
  <c r="O40" i="38"/>
  <c r="CT17" i="39" s="1"/>
  <c r="CW65" i="39"/>
  <c r="O16" i="38"/>
  <c r="CT18" i="39" s="1"/>
  <c r="CW62" i="39"/>
  <c r="CW47" i="39"/>
  <c r="O12" i="45"/>
  <c r="CW22" i="39" s="1"/>
  <c r="O25" i="38"/>
  <c r="CT40" i="39" s="1"/>
  <c r="O29" i="38"/>
  <c r="CT50" i="39" s="1"/>
  <c r="CW17" i="39"/>
  <c r="CW80" i="39"/>
  <c r="O45" i="38"/>
  <c r="CT41" i="39" s="1"/>
  <c r="O22" i="38"/>
  <c r="CT14" i="39" s="1"/>
  <c r="O23" i="38"/>
  <c r="CT42" i="39" s="1"/>
  <c r="O34" i="38"/>
  <c r="CT37" i="39" s="1"/>
  <c r="O47" i="38"/>
  <c r="CT67" i="39" s="1"/>
  <c r="O22" i="45"/>
  <c r="CW28" i="39" s="1"/>
  <c r="AB46" i="45"/>
  <c r="AC45" i="45"/>
  <c r="O15" i="37"/>
  <c r="CQ14" i="39" s="1"/>
  <c r="O29" i="37"/>
  <c r="CQ56" i="39" s="1"/>
  <c r="O37" i="37"/>
  <c r="CQ39" i="39" s="1"/>
  <c r="O27" i="37"/>
  <c r="CQ52" i="39" s="1"/>
  <c r="O18" i="37"/>
  <c r="CQ30" i="39" s="1"/>
  <c r="O32" i="37"/>
  <c r="CQ46" i="39" s="1"/>
  <c r="O33" i="37"/>
  <c r="CQ45" i="39" s="1"/>
  <c r="O30" i="37"/>
  <c r="CQ24" i="39" s="1"/>
  <c r="O28" i="37"/>
  <c r="CQ36" i="39" s="1"/>
  <c r="O21" i="37"/>
  <c r="CQ38" i="39" s="1"/>
  <c r="O24" i="37"/>
  <c r="CQ53" i="39" s="1"/>
  <c r="O16" i="37"/>
  <c r="CQ19" i="39" s="1"/>
  <c r="O22" i="37"/>
  <c r="CQ33" i="39" s="1"/>
  <c r="O38" i="37"/>
  <c r="CQ65" i="39" s="1"/>
  <c r="O19" i="37"/>
  <c r="CQ34" i="39" s="1"/>
  <c r="O31" i="37"/>
  <c r="CQ81" i="39" s="1"/>
  <c r="O36" i="37"/>
  <c r="CQ62" i="39" s="1"/>
  <c r="O34" i="37"/>
  <c r="CQ69" i="39" s="1"/>
  <c r="O25" i="37"/>
  <c r="CQ47" i="39" s="1"/>
  <c r="O20" i="37"/>
  <c r="CQ35" i="39" s="1"/>
  <c r="O23" i="37"/>
  <c r="CQ41" i="39" s="1"/>
  <c r="O12" i="37"/>
  <c r="CQ17" i="39" s="1"/>
  <c r="O39" i="37"/>
  <c r="CQ48" i="39" s="1"/>
  <c r="O26" i="37"/>
  <c r="CQ42" i="39" s="1"/>
  <c r="O14" i="37"/>
  <c r="CQ29" i="39" s="1"/>
  <c r="O10" i="37"/>
  <c r="CQ13" i="39" s="1"/>
  <c r="O35" i="37"/>
  <c r="CQ66" i="39" s="1"/>
  <c r="O13" i="37"/>
  <c r="CQ25" i="39" s="1"/>
  <c r="O17" i="37"/>
  <c r="CQ18" i="39" s="1"/>
  <c r="AC40" i="38"/>
  <c r="AB41" i="38"/>
  <c r="O11" i="37"/>
  <c r="CQ16" i="39" s="1"/>
  <c r="B21" i="40"/>
  <c r="AC42" i="37"/>
  <c r="AB43" i="37"/>
  <c r="O11" i="31"/>
  <c r="CB29" i="39" s="1"/>
  <c r="O36" i="31"/>
  <c r="CB83" i="39" s="1"/>
  <c r="O28" i="31"/>
  <c r="CB34" i="39" s="1"/>
  <c r="O12" i="31"/>
  <c r="CB11" i="39" s="1"/>
  <c r="O20" i="31"/>
  <c r="CB16" i="39" s="1"/>
  <c r="O39" i="31"/>
  <c r="CB41" i="39" s="1"/>
  <c r="O18" i="31"/>
  <c r="CB17" i="39" s="1"/>
  <c r="O35" i="31"/>
  <c r="CB50" i="39" s="1"/>
  <c r="O40" i="31"/>
  <c r="CB57" i="39" s="1"/>
  <c r="O44" i="31"/>
  <c r="CB48" i="39" s="1"/>
  <c r="O47" i="32"/>
  <c r="CE62" i="39" s="1"/>
  <c r="O23" i="35"/>
  <c r="CK22" i="39" s="1"/>
  <c r="O22" i="31"/>
  <c r="CB28" i="39" s="1"/>
  <c r="O23" i="31"/>
  <c r="CB43" i="39" s="1"/>
  <c r="O26" i="31"/>
  <c r="CB38" i="39" s="1"/>
  <c r="O16" i="31"/>
  <c r="CB12" i="39" s="1"/>
  <c r="O17" i="31"/>
  <c r="CB15" i="39" s="1"/>
  <c r="O34" i="31"/>
  <c r="CB36" i="39" s="1"/>
  <c r="O24" i="31"/>
  <c r="CB24" i="39" s="1"/>
  <c r="O15" i="31"/>
  <c r="CB14" i="39" s="1"/>
  <c r="O29" i="31"/>
  <c r="CB53" i="39" s="1"/>
  <c r="O38" i="31"/>
  <c r="CB55" i="39" s="1"/>
  <c r="O13" i="31"/>
  <c r="CB10" i="39" s="1"/>
  <c r="O25" i="31"/>
  <c r="CB46" i="39" s="1"/>
  <c r="O32" i="31"/>
  <c r="CB42" i="39" s="1"/>
  <c r="O30" i="31"/>
  <c r="CB32" i="39" s="1"/>
  <c r="O42" i="31"/>
  <c r="CB27" i="39" s="1"/>
  <c r="O14" i="31"/>
  <c r="CB13" i="39" s="1"/>
  <c r="O19" i="31"/>
  <c r="CB30" i="39" s="1"/>
  <c r="O33" i="31"/>
  <c r="CB66" i="39" s="1"/>
  <c r="O27" i="31"/>
  <c r="CB33" i="39" s="1"/>
  <c r="O41" i="31"/>
  <c r="CB67" i="39" s="1"/>
  <c r="O43" i="31"/>
  <c r="CB37" i="39" s="1"/>
  <c r="O10" i="31"/>
  <c r="CB18" i="39" s="1"/>
  <c r="O37" i="31"/>
  <c r="CB59" i="39" s="1"/>
  <c r="O21" i="31"/>
  <c r="CB26" i="39" s="1"/>
  <c r="O21" i="34"/>
  <c r="CH18" i="39" s="1"/>
  <c r="O30" i="34"/>
  <c r="CH45" i="39" s="1"/>
  <c r="N25" i="36"/>
  <c r="N14" i="36"/>
  <c r="O10" i="32"/>
  <c r="CE18" i="39" s="1"/>
  <c r="O15" i="34"/>
  <c r="CH75" i="39" s="1"/>
  <c r="H75" i="39" s="1"/>
  <c r="O33" i="34"/>
  <c r="CH41" i="39" s="1"/>
  <c r="O49" i="35"/>
  <c r="CK65" i="39" s="1"/>
  <c r="O20" i="32"/>
  <c r="CE25" i="39" s="1"/>
  <c r="O43" i="34"/>
  <c r="CH55" i="39" s="1"/>
  <c r="O41" i="32"/>
  <c r="CE60" i="39" s="1"/>
  <c r="O27" i="32"/>
  <c r="CE46" i="39" s="1"/>
  <c r="O31" i="32"/>
  <c r="CE19" i="39" s="1"/>
  <c r="O42" i="32"/>
  <c r="CE45" i="39" s="1"/>
  <c r="O37" i="32"/>
  <c r="CE65" i="39" s="1"/>
  <c r="O48" i="32"/>
  <c r="CE68" i="39" s="1"/>
  <c r="O33" i="32"/>
  <c r="CE23" i="39" s="1"/>
  <c r="O11" i="32"/>
  <c r="CE11" i="39" s="1"/>
  <c r="O15" i="32"/>
  <c r="CE12" i="39" s="1"/>
  <c r="O35" i="32"/>
  <c r="CE33" i="39" s="1"/>
  <c r="O43" i="32"/>
  <c r="CE40" i="39" s="1"/>
  <c r="O22" i="34"/>
  <c r="CH19" i="39" s="1"/>
  <c r="O35" i="35"/>
  <c r="CK31" i="39" s="1"/>
  <c r="O32" i="35"/>
  <c r="CK46" i="39" s="1"/>
  <c r="O16" i="35"/>
  <c r="CK17" i="39" s="1"/>
  <c r="O47" i="35"/>
  <c r="CK38" i="39" s="1"/>
  <c r="O29" i="35"/>
  <c r="CK39" i="39" s="1"/>
  <c r="O22" i="32"/>
  <c r="CE42" i="39" s="1"/>
  <c r="O39" i="32"/>
  <c r="CE57" i="39" s="1"/>
  <c r="O44" i="32"/>
  <c r="CE56" i="39" s="1"/>
  <c r="O24" i="32"/>
  <c r="CE22" i="39" s="1"/>
  <c r="N48" i="36"/>
  <c r="O32" i="32"/>
  <c r="CE28" i="39" s="1"/>
  <c r="O34" i="32"/>
  <c r="CE38" i="39" s="1"/>
  <c r="O36" i="35"/>
  <c r="CK47" i="39" s="1"/>
  <c r="O15" i="35"/>
  <c r="CK13" i="39" s="1"/>
  <c r="O31" i="35"/>
  <c r="CK44" i="39" s="1"/>
  <c r="O24" i="35"/>
  <c r="CK28" i="39" s="1"/>
  <c r="O40" i="35"/>
  <c r="CK35" i="39" s="1"/>
  <c r="O38" i="34"/>
  <c r="CH44" i="39" s="1"/>
  <c r="O11" i="35"/>
  <c r="CK71" i="39" s="1"/>
  <c r="G71" i="39" s="1"/>
  <c r="O26" i="32"/>
  <c r="CE47" i="39" s="1"/>
  <c r="O40" i="32"/>
  <c r="CE43" i="39" s="1"/>
  <c r="O13" i="35"/>
  <c r="CK29" i="39" s="1"/>
  <c r="O45" i="32"/>
  <c r="CE50" i="39" s="1"/>
  <c r="O38" i="32"/>
  <c r="CE35" i="39" s="1"/>
  <c r="O24" i="34"/>
  <c r="CH34" i="39" s="1"/>
  <c r="O34" i="34"/>
  <c r="CH42" i="39" s="1"/>
  <c r="O16" i="34"/>
  <c r="CH17" i="39" s="1"/>
  <c r="O33" i="35"/>
  <c r="CK32" i="39" s="1"/>
  <c r="O42" i="34"/>
  <c r="CH65" i="39" s="1"/>
  <c r="O28" i="34"/>
  <c r="CH37" i="39" s="1"/>
  <c r="O37" i="34"/>
  <c r="CH47" i="39" s="1"/>
  <c r="O45" i="34"/>
  <c r="CH67" i="39" s="1"/>
  <c r="O25" i="34"/>
  <c r="CH43" i="39" s="1"/>
  <c r="O36" i="34"/>
  <c r="CH66" i="39" s="1"/>
  <c r="O12" i="34"/>
  <c r="CH10" i="39" s="1"/>
  <c r="O26" i="34"/>
  <c r="CH25" i="39" s="1"/>
  <c r="O21" i="32"/>
  <c r="CE44" i="39" s="1"/>
  <c r="O37" i="35"/>
  <c r="CK40" i="39" s="1"/>
  <c r="O23" i="34"/>
  <c r="CH33" i="39" s="1"/>
  <c r="O18" i="32"/>
  <c r="CE10" i="39" s="1"/>
  <c r="O13" i="32"/>
  <c r="CE14" i="39" s="1"/>
  <c r="O41" i="35"/>
  <c r="CK37" i="39" s="1"/>
  <c r="O20" i="35"/>
  <c r="CK20" i="39" s="1"/>
  <c r="O18" i="34"/>
  <c r="CH20" i="39" s="1"/>
  <c r="O17" i="34"/>
  <c r="CH22" i="39" s="1"/>
  <c r="O21" i="35"/>
  <c r="CK23" i="39" s="1"/>
  <c r="O50" i="35"/>
  <c r="CK57" i="39" s="1"/>
  <c r="O14" i="35"/>
  <c r="CK12" i="39" s="1"/>
  <c r="O27" i="35"/>
  <c r="CK24" i="39" s="1"/>
  <c r="O10" i="35"/>
  <c r="CK72" i="39" s="1"/>
  <c r="O20" i="34"/>
  <c r="CH14" i="39" s="1"/>
  <c r="O12" i="35"/>
  <c r="CK11" i="39" s="1"/>
  <c r="O41" i="34"/>
  <c r="CH49" i="39" s="1"/>
  <c r="G49" i="39" s="1"/>
  <c r="O44" i="35"/>
  <c r="CK80" i="39" s="1"/>
  <c r="O52" i="35"/>
  <c r="CK67" i="39" s="1"/>
  <c r="O31" i="34"/>
  <c r="CH50" i="39" s="1"/>
  <c r="O13" i="34"/>
  <c r="CH16" i="39" s="1"/>
  <c r="O14" i="34"/>
  <c r="CH29" i="39" s="1"/>
  <c r="O35" i="34"/>
  <c r="CH35" i="39" s="1"/>
  <c r="O40" i="34"/>
  <c r="CH57" i="39" s="1"/>
  <c r="O32" i="34"/>
  <c r="CH59" i="39" s="1"/>
  <c r="O17" i="32"/>
  <c r="CE17" i="39" s="1"/>
  <c r="O25" i="32"/>
  <c r="CE26" i="39" s="1"/>
  <c r="O45" i="35"/>
  <c r="CK50" i="39" s="1"/>
  <c r="O25" i="35"/>
  <c r="CK26" i="39" s="1"/>
  <c r="O28" i="35"/>
  <c r="CK21" i="39" s="1"/>
  <c r="O18" i="35"/>
  <c r="CK25" i="39" s="1"/>
  <c r="O38" i="35"/>
  <c r="CK54" i="39" s="1"/>
  <c r="O39" i="34"/>
  <c r="CH38" i="39" s="1"/>
  <c r="O19" i="34"/>
  <c r="CH26" i="39" s="1"/>
  <c r="O48" i="35"/>
  <c r="CK56" i="39" s="1"/>
  <c r="O42" i="35"/>
  <c r="CK60" i="39" s="1"/>
  <c r="O17" i="35"/>
  <c r="CK16" i="39" s="1"/>
  <c r="O22" i="35"/>
  <c r="CK15" i="39" s="1"/>
  <c r="O27" i="34"/>
  <c r="CH40" i="39" s="1"/>
  <c r="O46" i="35"/>
  <c r="CK42" i="39" s="1"/>
  <c r="O43" i="35"/>
  <c r="CK36" i="39" s="1"/>
  <c r="O29" i="34"/>
  <c r="CH36" i="39" s="1"/>
  <c r="O39" i="35"/>
  <c r="CK55" i="39" s="1"/>
  <c r="O11" i="34"/>
  <c r="CH12" i="39" s="1"/>
  <c r="O34" i="35"/>
  <c r="CK53" i="39" s="1"/>
  <c r="O19" i="35"/>
  <c r="CK14" i="39" s="1"/>
  <c r="O26" i="35"/>
  <c r="CK19" i="39" s="1"/>
  <c r="O51" i="35"/>
  <c r="CK30" i="39" s="1"/>
  <c r="O44" i="34"/>
  <c r="CH68" i="39" s="1"/>
  <c r="O30" i="35"/>
  <c r="CK43" i="39" s="1"/>
  <c r="N31" i="36"/>
  <c r="O36" i="32"/>
  <c r="CE36" i="39" s="1"/>
  <c r="O14" i="32"/>
  <c r="CE29" i="39" s="1"/>
  <c r="O23" i="32"/>
  <c r="CE15" i="39" s="1"/>
  <c r="O16" i="32"/>
  <c r="CE13" i="39" s="1"/>
  <c r="O29" i="32"/>
  <c r="CE21" i="39" s="1"/>
  <c r="O46" i="32"/>
  <c r="CE53" i="39" s="1"/>
  <c r="O28" i="32"/>
  <c r="CE41" i="39" s="1"/>
  <c r="O30" i="32"/>
  <c r="CE34" i="39" s="1"/>
  <c r="O19" i="32"/>
  <c r="CE16" i="39" s="1"/>
  <c r="O12" i="32"/>
  <c r="CE32" i="39" s="1"/>
  <c r="N44" i="36"/>
  <c r="O10" i="34"/>
  <c r="CH11" i="39" s="1"/>
  <c r="O53" i="35"/>
  <c r="CK62" i="39" s="1"/>
  <c r="AC40" i="36"/>
  <c r="AB41" i="36"/>
  <c r="AB40" i="35"/>
  <c r="AC39" i="35"/>
  <c r="AC38" i="34"/>
  <c r="AB39" i="34"/>
  <c r="AC36" i="32"/>
  <c r="AB37" i="32"/>
  <c r="AB37" i="31"/>
  <c r="AC36" i="31"/>
  <c r="Q95" i="39"/>
  <c r="P95" i="39"/>
  <c r="M95" i="39"/>
  <c r="N95" i="39"/>
  <c r="AC36" i="30"/>
  <c r="AB37" i="30"/>
  <c r="AB38" i="29"/>
  <c r="AC37" i="29"/>
  <c r="AC35" i="27"/>
  <c r="AB36" i="27"/>
  <c r="AC33" i="26"/>
  <c r="AB34" i="26"/>
  <c r="AB33" i="25"/>
  <c r="AB32" i="24"/>
  <c r="AC31" i="24"/>
  <c r="AC31" i="23"/>
  <c r="AB32" i="23"/>
  <c r="AC29" i="22"/>
  <c r="AB30" i="22"/>
  <c r="AB31" i="21"/>
  <c r="AC30" i="21"/>
  <c r="AB29" i="19"/>
  <c r="AC28" i="19"/>
  <c r="AB28" i="18"/>
  <c r="AC27" i="18"/>
  <c r="AB29" i="17"/>
  <c r="AC28" i="17"/>
  <c r="AF43" i="39"/>
  <c r="AF40" i="39"/>
  <c r="AF26" i="39"/>
  <c r="AB28" i="15"/>
  <c r="AC27" i="15"/>
  <c r="AB29" i="16"/>
  <c r="AC28" i="16"/>
  <c r="AF38" i="39"/>
  <c r="AF84" i="39"/>
  <c r="G84" i="39" s="1"/>
  <c r="AF51" i="39"/>
  <c r="AF63" i="39"/>
  <c r="AF41" i="39"/>
  <c r="AF33" i="39"/>
  <c r="AF44" i="39"/>
  <c r="AF57" i="39"/>
  <c r="AF46" i="39"/>
  <c r="AF56" i="39"/>
  <c r="AF45" i="39"/>
  <c r="AF50" i="39"/>
  <c r="AF29" i="39"/>
  <c r="AB27" i="13"/>
  <c r="AC26" i="13"/>
  <c r="AC25" i="7"/>
  <c r="AB26" i="7"/>
  <c r="V141" i="39"/>
  <c r="AB27" i="5"/>
  <c r="AC26" i="5"/>
  <c r="AB27" i="41"/>
  <c r="AC26" i="41"/>
  <c r="AB27" i="42"/>
  <c r="AC26" i="42"/>
  <c r="K52" i="39" l="1"/>
  <c r="K64" i="39"/>
  <c r="N64" i="39" s="1"/>
  <c r="K85" i="39"/>
  <c r="G20" i="39"/>
  <c r="G75" i="39"/>
  <c r="K84" i="39"/>
  <c r="H84" i="39"/>
  <c r="H64" i="39"/>
  <c r="K20" i="39"/>
  <c r="K86" i="39"/>
  <c r="G86" i="39"/>
  <c r="H86" i="39"/>
  <c r="H52" i="39"/>
  <c r="K82" i="39"/>
  <c r="H20" i="39"/>
  <c r="K80" i="39"/>
  <c r="G80" i="39"/>
  <c r="H80" i="39"/>
  <c r="K83" i="39"/>
  <c r="G83" i="39"/>
  <c r="H83" i="39"/>
  <c r="G52" i="39"/>
  <c r="G82" i="39"/>
  <c r="K71" i="39"/>
  <c r="I96" i="43" s="1"/>
  <c r="G81" i="39"/>
  <c r="K81" i="39"/>
  <c r="H81" i="39"/>
  <c r="H85" i="39"/>
  <c r="K49" i="39"/>
  <c r="H71" i="39"/>
  <c r="K75" i="39"/>
  <c r="H49" i="39"/>
  <c r="AC47" i="47"/>
  <c r="AB48" i="47"/>
  <c r="AB47" i="45"/>
  <c r="AC46" i="45"/>
  <c r="AB42" i="38"/>
  <c r="AC41" i="38"/>
  <c r="B22" i="40"/>
  <c r="AB44" i="37"/>
  <c r="AC43" i="37"/>
  <c r="O50" i="36"/>
  <c r="CN69" i="39" s="1"/>
  <c r="O41" i="36"/>
  <c r="CN38" i="39" s="1"/>
  <c r="O42" i="36"/>
  <c r="CN57" i="39" s="1"/>
  <c r="O30" i="36"/>
  <c r="CN32" i="39" s="1"/>
  <c r="H32" i="39" s="1"/>
  <c r="O37" i="36"/>
  <c r="CN42" i="39" s="1"/>
  <c r="E96" i="43"/>
  <c r="O17" i="36"/>
  <c r="CN11" i="39" s="1"/>
  <c r="O38" i="36"/>
  <c r="CN56" i="39" s="1"/>
  <c r="O21" i="36"/>
  <c r="CN33" i="39" s="1"/>
  <c r="O34" i="36"/>
  <c r="CN26" i="39" s="1"/>
  <c r="O22" i="36"/>
  <c r="CN24" i="39" s="1"/>
  <c r="K24" i="39" s="1"/>
  <c r="O15" i="36"/>
  <c r="CN16" i="39" s="1"/>
  <c r="O33" i="36"/>
  <c r="CN47" i="39" s="1"/>
  <c r="O26" i="36"/>
  <c r="CN19" i="39" s="1"/>
  <c r="H19" i="39" s="1"/>
  <c r="O49" i="36"/>
  <c r="CN67" i="39" s="1"/>
  <c r="K67" i="39" s="1"/>
  <c r="O20" i="36"/>
  <c r="CN28" i="39" s="1"/>
  <c r="G28" i="39" s="1"/>
  <c r="O13" i="36"/>
  <c r="CN22" i="39" s="1"/>
  <c r="G22" i="39" s="1"/>
  <c r="O36" i="36"/>
  <c r="CN13" i="39" s="1"/>
  <c r="O12" i="36"/>
  <c r="CN12" i="39" s="1"/>
  <c r="O40" i="36"/>
  <c r="CN29" i="39" s="1"/>
  <c r="O29" i="36"/>
  <c r="CN25" i="39" s="1"/>
  <c r="O11" i="36"/>
  <c r="CN39" i="39" s="1"/>
  <c r="G39" i="39" s="1"/>
  <c r="O52" i="36"/>
  <c r="CN61" i="39" s="1"/>
  <c r="O46" i="36"/>
  <c r="CN60" i="39" s="1"/>
  <c r="K60" i="39" s="1"/>
  <c r="O23" i="36"/>
  <c r="O14" i="36"/>
  <c r="CN15" i="39" s="1"/>
  <c r="CN77" i="39"/>
  <c r="CN90" i="39"/>
  <c r="CN93" i="39"/>
  <c r="CN34" i="39"/>
  <c r="G34" i="39" s="1"/>
  <c r="O25" i="36"/>
  <c r="CN53" i="39" s="1"/>
  <c r="O48" i="36"/>
  <c r="O44" i="36"/>
  <c r="CN27" i="39" s="1"/>
  <c r="G27" i="39" s="1"/>
  <c r="O31" i="36"/>
  <c r="O18" i="36"/>
  <c r="CN35" i="39" s="1"/>
  <c r="H35" i="39" s="1"/>
  <c r="O19" i="36"/>
  <c r="CN50" i="39" s="1"/>
  <c r="O16" i="36"/>
  <c r="CN21" i="39" s="1"/>
  <c r="O28" i="36"/>
  <c r="CN37" i="39" s="1"/>
  <c r="O45" i="36"/>
  <c r="CN48" i="39" s="1"/>
  <c r="G48" i="39" s="1"/>
  <c r="O54" i="36"/>
  <c r="CN54" i="39" s="1"/>
  <c r="O56" i="36"/>
  <c r="O32" i="36"/>
  <c r="CN76" i="39" s="1"/>
  <c r="O39" i="36"/>
  <c r="CN18" i="39" s="1"/>
  <c r="O27" i="36"/>
  <c r="O55" i="36"/>
  <c r="O53" i="36"/>
  <c r="CN40" i="39" s="1"/>
  <c r="G40" i="39" s="1"/>
  <c r="O47" i="36"/>
  <c r="O43" i="36"/>
  <c r="O24" i="36"/>
  <c r="CN43" i="39" s="1"/>
  <c r="O35" i="36"/>
  <c r="O10" i="36"/>
  <c r="CN23" i="39" s="1"/>
  <c r="H23" i="39" s="1"/>
  <c r="AC41" i="36"/>
  <c r="AB42" i="36"/>
  <c r="AB41" i="35"/>
  <c r="AC40" i="35"/>
  <c r="AB40" i="34"/>
  <c r="AC39" i="34"/>
  <c r="AB38" i="32"/>
  <c r="AC37" i="32"/>
  <c r="AB38" i="31"/>
  <c r="AC37" i="31"/>
  <c r="P89" i="39"/>
  <c r="N89" i="39"/>
  <c r="Q89" i="39"/>
  <c r="M89" i="39"/>
  <c r="AB38" i="30"/>
  <c r="AC37" i="30"/>
  <c r="AB39" i="29"/>
  <c r="AC38" i="29"/>
  <c r="Q74" i="39"/>
  <c r="P87" i="39"/>
  <c r="Q87" i="39"/>
  <c r="P78" i="39"/>
  <c r="Q78" i="39"/>
  <c r="Q70" i="39"/>
  <c r="P70" i="39"/>
  <c r="P74" i="39"/>
  <c r="N78" i="39"/>
  <c r="M78" i="39"/>
  <c r="AB37" i="27"/>
  <c r="AC36" i="27"/>
  <c r="AC34" i="26"/>
  <c r="AB35" i="26"/>
  <c r="AB34" i="25"/>
  <c r="AB33" i="24"/>
  <c r="AC32" i="24"/>
  <c r="AC32" i="23"/>
  <c r="AB33" i="23"/>
  <c r="AC30" i="22"/>
  <c r="AB31" i="22"/>
  <c r="AC31" i="21"/>
  <c r="AB32" i="21"/>
  <c r="AC29" i="19"/>
  <c r="AB30" i="19"/>
  <c r="AB29" i="18"/>
  <c r="AC28" i="18"/>
  <c r="AB30" i="17"/>
  <c r="AC29" i="17"/>
  <c r="N74" i="39"/>
  <c r="M74" i="39"/>
  <c r="AB29" i="15"/>
  <c r="AC28" i="15"/>
  <c r="AB30" i="16"/>
  <c r="AC29" i="16"/>
  <c r="AB28" i="13"/>
  <c r="AC27" i="13"/>
  <c r="M87" i="39"/>
  <c r="N87" i="39"/>
  <c r="N70" i="39"/>
  <c r="M70" i="39"/>
  <c r="M85" i="39"/>
  <c r="N85" i="39"/>
  <c r="M64" i="39"/>
  <c r="AB27" i="7"/>
  <c r="AC26" i="7"/>
  <c r="V142" i="39"/>
  <c r="AB28" i="5"/>
  <c r="AC27" i="5"/>
  <c r="AB28" i="41"/>
  <c r="AC27" i="41"/>
  <c r="AC27" i="42"/>
  <c r="AB28" i="42"/>
  <c r="Q85" i="39" l="1"/>
  <c r="P85" i="39"/>
  <c r="Q82" i="39"/>
  <c r="Q64" i="39"/>
  <c r="F96" i="43"/>
  <c r="N82" i="39"/>
  <c r="P82" i="39"/>
  <c r="M82" i="39"/>
  <c r="K28" i="39"/>
  <c r="K39" i="39"/>
  <c r="H22" i="39"/>
  <c r="G67" i="39"/>
  <c r="G61" i="39"/>
  <c r="H61" i="39"/>
  <c r="K61" i="39"/>
  <c r="G76" i="39"/>
  <c r="H76" i="39"/>
  <c r="K76" i="39"/>
  <c r="K48" i="39"/>
  <c r="K22" i="39"/>
  <c r="H67" i="39"/>
  <c r="H48" i="39"/>
  <c r="H60" i="39"/>
  <c r="H27" i="39"/>
  <c r="G24" i="39"/>
  <c r="K27" i="39"/>
  <c r="G69" i="39"/>
  <c r="H69" i="39"/>
  <c r="K69" i="39"/>
  <c r="K35" i="39"/>
  <c r="K19" i="39"/>
  <c r="G93" i="39"/>
  <c r="H93" i="39"/>
  <c r="K93" i="39"/>
  <c r="G23" i="39"/>
  <c r="H34" i="39"/>
  <c r="K40" i="39"/>
  <c r="I93" i="43" s="1"/>
  <c r="H24" i="39"/>
  <c r="K32" i="39"/>
  <c r="G60" i="39"/>
  <c r="K34" i="39"/>
  <c r="G90" i="39"/>
  <c r="H90" i="39"/>
  <c r="K90" i="39"/>
  <c r="H28" i="39"/>
  <c r="H40" i="39"/>
  <c r="G19" i="39"/>
  <c r="K77" i="39"/>
  <c r="G77" i="39"/>
  <c r="H77" i="39"/>
  <c r="K23" i="39"/>
  <c r="G32" i="39"/>
  <c r="H39" i="39"/>
  <c r="G35" i="39"/>
  <c r="AC48" i="47"/>
  <c r="AB49" i="47"/>
  <c r="P64" i="39"/>
  <c r="N52" i="39"/>
  <c r="Q52" i="39" s="1"/>
  <c r="M52" i="39"/>
  <c r="P52" i="39" s="1"/>
  <c r="P86" i="39"/>
  <c r="M86" i="39"/>
  <c r="N86" i="39"/>
  <c r="Q86" i="39"/>
  <c r="AB48" i="45"/>
  <c r="AC47" i="45"/>
  <c r="I87" i="43"/>
  <c r="M83" i="39"/>
  <c r="P81" i="39"/>
  <c r="N81" i="39"/>
  <c r="M81" i="39"/>
  <c r="Q81" i="39"/>
  <c r="N83" i="39"/>
  <c r="Q83" i="39"/>
  <c r="AC42" i="38"/>
  <c r="AB43" i="38"/>
  <c r="P83" i="39"/>
  <c r="B23" i="40"/>
  <c r="AB45" i="37"/>
  <c r="AC44" i="37"/>
  <c r="N75" i="39"/>
  <c r="M75" i="39"/>
  <c r="Q71" i="39"/>
  <c r="N71" i="39"/>
  <c r="L96" i="43" s="1"/>
  <c r="M71" i="39"/>
  <c r="K96" i="43" s="1"/>
  <c r="M20" i="39"/>
  <c r="N20" i="39"/>
  <c r="E93" i="43"/>
  <c r="CN41" i="39"/>
  <c r="CN14" i="39"/>
  <c r="Q80" i="39"/>
  <c r="P80" i="39"/>
  <c r="N80" i="39"/>
  <c r="M80" i="39"/>
  <c r="CN58" i="39"/>
  <c r="CN62" i="39"/>
  <c r="CN45" i="39"/>
  <c r="CN31" i="39"/>
  <c r="CN72" i="39"/>
  <c r="CN55" i="39"/>
  <c r="CN88" i="39"/>
  <c r="CN36" i="39"/>
  <c r="CN65" i="39"/>
  <c r="CN46" i="39"/>
  <c r="CN59" i="39"/>
  <c r="CN66" i="39"/>
  <c r="CN68" i="39"/>
  <c r="CN30" i="39"/>
  <c r="CN51" i="39"/>
  <c r="CN44" i="39"/>
  <c r="M49" i="39"/>
  <c r="N49" i="39"/>
  <c r="AC42" i="36"/>
  <c r="AB43" i="36"/>
  <c r="AB42" i="35"/>
  <c r="AC41" i="35"/>
  <c r="AB41" i="34"/>
  <c r="AC40" i="34"/>
  <c r="AB39" i="32"/>
  <c r="AC38" i="32"/>
  <c r="AB39" i="31"/>
  <c r="AC38" i="31"/>
  <c r="AC38" i="30"/>
  <c r="AB39" i="30"/>
  <c r="AB40" i="29"/>
  <c r="AC39" i="29"/>
  <c r="P84" i="39"/>
  <c r="Q84" i="39"/>
  <c r="M84" i="39"/>
  <c r="AB38" i="27"/>
  <c r="AC37" i="27"/>
  <c r="AC35" i="26"/>
  <c r="AB36" i="26"/>
  <c r="AB35" i="25"/>
  <c r="AB34" i="24"/>
  <c r="AC33" i="24"/>
  <c r="AC33" i="23"/>
  <c r="AB34" i="23"/>
  <c r="AB32" i="22"/>
  <c r="AC31" i="22"/>
  <c r="AB33" i="21"/>
  <c r="AC32" i="21"/>
  <c r="AC30" i="19"/>
  <c r="AB31" i="19"/>
  <c r="AC29" i="18"/>
  <c r="AB30" i="18"/>
  <c r="AC30" i="17"/>
  <c r="AB31" i="17"/>
  <c r="AB30" i="15"/>
  <c r="AC29" i="15"/>
  <c r="AB31" i="16"/>
  <c r="AC30" i="16"/>
  <c r="N84" i="39"/>
  <c r="AB29" i="13"/>
  <c r="AC28" i="13"/>
  <c r="AB28" i="7"/>
  <c r="AC27" i="7"/>
  <c r="V143" i="39"/>
  <c r="AB29" i="5"/>
  <c r="AC28" i="5"/>
  <c r="AC28" i="41"/>
  <c r="AB29" i="41"/>
  <c r="AB29" i="42"/>
  <c r="AC28" i="42"/>
  <c r="P71" i="39" l="1"/>
  <c r="F93" i="43"/>
  <c r="G88" i="39"/>
  <c r="H88" i="39"/>
  <c r="K88" i="39"/>
  <c r="H44" i="39"/>
  <c r="K44" i="39"/>
  <c r="G44" i="39"/>
  <c r="H51" i="39"/>
  <c r="G51" i="39"/>
  <c r="K51" i="39"/>
  <c r="K72" i="39"/>
  <c r="G72" i="39"/>
  <c r="H72" i="39"/>
  <c r="K30" i="39"/>
  <c r="G30" i="39"/>
  <c r="H30" i="39"/>
  <c r="G58" i="39"/>
  <c r="H58" i="39"/>
  <c r="K58" i="39"/>
  <c r="H46" i="39"/>
  <c r="G46" i="39"/>
  <c r="K46" i="39"/>
  <c r="I80" i="43" s="1"/>
  <c r="H65" i="39"/>
  <c r="K65" i="39"/>
  <c r="G65" i="39"/>
  <c r="AB50" i="47"/>
  <c r="AC50" i="47" s="1"/>
  <c r="AC49" i="47"/>
  <c r="O96" i="43"/>
  <c r="AB49" i="45"/>
  <c r="AC48" i="45"/>
  <c r="F87" i="43"/>
  <c r="E87" i="43"/>
  <c r="F88" i="43"/>
  <c r="F94" i="43"/>
  <c r="E94" i="43"/>
  <c r="E88" i="43"/>
  <c r="I94" i="43"/>
  <c r="I88" i="43"/>
  <c r="Q20" i="39"/>
  <c r="P20" i="39"/>
  <c r="P49" i="39"/>
  <c r="Q49" i="39"/>
  <c r="N96" i="43"/>
  <c r="AB44" i="38"/>
  <c r="AC43" i="38"/>
  <c r="B24" i="40"/>
  <c r="AC45" i="37"/>
  <c r="AB46" i="37"/>
  <c r="M69" i="39"/>
  <c r="P69" i="39" s="1"/>
  <c r="N69" i="39"/>
  <c r="Q69" i="39" s="1"/>
  <c r="M39" i="39"/>
  <c r="P39" i="39" s="1"/>
  <c r="N39" i="39"/>
  <c r="Q39" i="39" s="1"/>
  <c r="P75" i="39"/>
  <c r="Q75" i="39"/>
  <c r="M32" i="39"/>
  <c r="N32" i="39"/>
  <c r="M22" i="39"/>
  <c r="N22" i="39"/>
  <c r="M19" i="39"/>
  <c r="N19" i="39"/>
  <c r="N28" i="39"/>
  <c r="M28" i="39"/>
  <c r="N60" i="39"/>
  <c r="M60" i="39"/>
  <c r="M40" i="39"/>
  <c r="K93" i="43" s="1"/>
  <c r="N40" i="39"/>
  <c r="L93" i="43" s="1"/>
  <c r="N67" i="39"/>
  <c r="M67" i="39"/>
  <c r="N61" i="39"/>
  <c r="M61" i="39"/>
  <c r="N77" i="39"/>
  <c r="M77" i="39"/>
  <c r="Q77" i="39"/>
  <c r="P77" i="39"/>
  <c r="M90" i="39"/>
  <c r="N90" i="39"/>
  <c r="Q90" i="39"/>
  <c r="P90" i="39"/>
  <c r="P93" i="39"/>
  <c r="Q93" i="39"/>
  <c r="N93" i="39"/>
  <c r="M93" i="39"/>
  <c r="M34" i="39"/>
  <c r="N34" i="39"/>
  <c r="M27" i="39"/>
  <c r="N27" i="39"/>
  <c r="N48" i="39"/>
  <c r="M48" i="39"/>
  <c r="N76" i="39"/>
  <c r="M76" i="39"/>
  <c r="Q76" i="39"/>
  <c r="P76" i="39"/>
  <c r="N23" i="39"/>
  <c r="M23" i="39"/>
  <c r="M35" i="39"/>
  <c r="N35" i="39"/>
  <c r="AC43" i="36"/>
  <c r="AB44" i="36"/>
  <c r="AC42" i="35"/>
  <c r="AB43" i="35"/>
  <c r="AB42" i="34"/>
  <c r="AC41" i="34"/>
  <c r="AB40" i="32"/>
  <c r="AC39" i="32"/>
  <c r="AC39" i="31"/>
  <c r="AB40" i="31"/>
  <c r="AB40" i="30"/>
  <c r="AC39" i="30"/>
  <c r="AB41" i="29"/>
  <c r="AC40" i="29"/>
  <c r="AB39" i="27"/>
  <c r="AC38" i="27"/>
  <c r="AB37" i="26"/>
  <c r="AC36" i="26"/>
  <c r="AB36" i="25"/>
  <c r="AB35" i="24"/>
  <c r="AC34" i="24"/>
  <c r="AB35" i="23"/>
  <c r="AC34" i="23"/>
  <c r="AB33" i="22"/>
  <c r="AC32" i="22"/>
  <c r="AB34" i="21"/>
  <c r="AC33" i="21"/>
  <c r="AB32" i="19"/>
  <c r="AC31" i="19"/>
  <c r="AB31" i="18"/>
  <c r="AC30" i="18"/>
  <c r="AB32" i="17"/>
  <c r="AC31" i="17"/>
  <c r="AB31" i="15"/>
  <c r="AC30" i="15"/>
  <c r="AB32" i="16"/>
  <c r="AC31" i="16"/>
  <c r="AB30" i="13"/>
  <c r="AC29" i="13"/>
  <c r="AB29" i="7"/>
  <c r="AC28" i="7"/>
  <c r="V144" i="39"/>
  <c r="AB30" i="5"/>
  <c r="AC29" i="5"/>
  <c r="AB30" i="41"/>
  <c r="AC29" i="41"/>
  <c r="AB30" i="42"/>
  <c r="AC29" i="42"/>
  <c r="AC52" i="47" l="1"/>
  <c r="AB50" i="45"/>
  <c r="AC50" i="45" s="1"/>
  <c r="AC49" i="45"/>
  <c r="L87" i="43"/>
  <c r="K87" i="43"/>
  <c r="N87" i="43"/>
  <c r="F80" i="43"/>
  <c r="K88" i="43"/>
  <c r="K94" i="43"/>
  <c r="L94" i="43"/>
  <c r="N88" i="43"/>
  <c r="O88" i="43"/>
  <c r="E80" i="43"/>
  <c r="L88" i="43"/>
  <c r="Q23" i="39"/>
  <c r="Q32" i="39"/>
  <c r="P22" i="39"/>
  <c r="P32" i="39"/>
  <c r="Q34" i="39"/>
  <c r="P60" i="39"/>
  <c r="P34" i="39"/>
  <c r="Q60" i="39"/>
  <c r="Q35" i="39"/>
  <c r="Q48" i="39"/>
  <c r="Q19" i="39"/>
  <c r="P35" i="39"/>
  <c r="Q27" i="39"/>
  <c r="P19" i="39"/>
  <c r="P48" i="39"/>
  <c r="P23" i="39"/>
  <c r="P27" i="39"/>
  <c r="Q22" i="39"/>
  <c r="O87" i="43"/>
  <c r="AB45" i="38"/>
  <c r="AC44" i="38"/>
  <c r="P28" i="39"/>
  <c r="Q28" i="39"/>
  <c r="B25" i="40"/>
  <c r="AC46" i="37"/>
  <c r="AB47" i="37"/>
  <c r="P67" i="39"/>
  <c r="Q67" i="39"/>
  <c r="P61" i="39"/>
  <c r="Q61" i="39"/>
  <c r="P40" i="39"/>
  <c r="N93" i="43" s="1"/>
  <c r="Q40" i="39"/>
  <c r="O93" i="43" s="1"/>
  <c r="M58" i="39"/>
  <c r="N58" i="39"/>
  <c r="Q72" i="39"/>
  <c r="P72" i="39"/>
  <c r="N72" i="39"/>
  <c r="M72" i="39"/>
  <c r="N88" i="39"/>
  <c r="M88" i="39"/>
  <c r="P88" i="39"/>
  <c r="Q88" i="39"/>
  <c r="N65" i="39"/>
  <c r="M65" i="39"/>
  <c r="M46" i="39"/>
  <c r="N46" i="39"/>
  <c r="M30" i="39"/>
  <c r="N30" i="39"/>
  <c r="M51" i="39"/>
  <c r="N51" i="39"/>
  <c r="N44" i="39"/>
  <c r="M44" i="39"/>
  <c r="AC44" i="36"/>
  <c r="AB45" i="36"/>
  <c r="AC43" i="35"/>
  <c r="AB44" i="35"/>
  <c r="AC42" i="34"/>
  <c r="AB43" i="34"/>
  <c r="AB41" i="32"/>
  <c r="AC40" i="32"/>
  <c r="AC40" i="31"/>
  <c r="AB41" i="31"/>
  <c r="AB41" i="30"/>
  <c r="AC40" i="30"/>
  <c r="AC41" i="29"/>
  <c r="AB42" i="29"/>
  <c r="AB40" i="27"/>
  <c r="AC39" i="27"/>
  <c r="AB38" i="26"/>
  <c r="AC37" i="26"/>
  <c r="AB37" i="25"/>
  <c r="AC35" i="24"/>
  <c r="AB36" i="24"/>
  <c r="AB36" i="23"/>
  <c r="AC35" i="23"/>
  <c r="AC33" i="22"/>
  <c r="AB34" i="22"/>
  <c r="AB35" i="21"/>
  <c r="AC34" i="21"/>
  <c r="AC32" i="19"/>
  <c r="AB33" i="19"/>
  <c r="AB32" i="18"/>
  <c r="AC31" i="18"/>
  <c r="AB33" i="17"/>
  <c r="AC32" i="17"/>
  <c r="AC31" i="15"/>
  <c r="AB32" i="15"/>
  <c r="AB33" i="16"/>
  <c r="AC32" i="16"/>
  <c r="AB31" i="13"/>
  <c r="AC30" i="13"/>
  <c r="AB30" i="7"/>
  <c r="AC29" i="7"/>
  <c r="V145" i="39"/>
  <c r="AC30" i="5"/>
  <c r="AB31" i="5"/>
  <c r="AC30" i="41"/>
  <c r="AB31" i="41"/>
  <c r="AC30" i="42"/>
  <c r="AB31" i="42"/>
  <c r="AC52" i="45" l="1"/>
  <c r="N94" i="43"/>
  <c r="O94" i="43"/>
  <c r="P46" i="39"/>
  <c r="K80" i="43"/>
  <c r="Q65" i="39"/>
  <c r="P58" i="39"/>
  <c r="Q30" i="39"/>
  <c r="P30" i="39"/>
  <c r="P65" i="39"/>
  <c r="Q58" i="39"/>
  <c r="P44" i="39"/>
  <c r="Q46" i="39"/>
  <c r="L80" i="43"/>
  <c r="Q44" i="39"/>
  <c r="Q51" i="39"/>
  <c r="P51" i="39"/>
  <c r="AC45" i="38"/>
  <c r="AB46" i="38"/>
  <c r="B26" i="40"/>
  <c r="AC47" i="37"/>
  <c r="AB48" i="37"/>
  <c r="AC45" i="36"/>
  <c r="AB46" i="36"/>
  <c r="AB45" i="35"/>
  <c r="AC44" i="35"/>
  <c r="AB44" i="34"/>
  <c r="AC43" i="34"/>
  <c r="AB42" i="32"/>
  <c r="AC41" i="32"/>
  <c r="AB42" i="31"/>
  <c r="AC41" i="31"/>
  <c r="AB42" i="30"/>
  <c r="AC41" i="30"/>
  <c r="AB43" i="29"/>
  <c r="AC42" i="29"/>
  <c r="AB41" i="27"/>
  <c r="AC40" i="27"/>
  <c r="AB39" i="26"/>
  <c r="AC38" i="26"/>
  <c r="AB38" i="25"/>
  <c r="AC37" i="25"/>
  <c r="AC36" i="24"/>
  <c r="AB37" i="24"/>
  <c r="AC36" i="23"/>
  <c r="AB37" i="23"/>
  <c r="AC34" i="22"/>
  <c r="AB35" i="22"/>
  <c r="AB36" i="21"/>
  <c r="AC35" i="21"/>
  <c r="AC33" i="19"/>
  <c r="AB34" i="19"/>
  <c r="AB33" i="18"/>
  <c r="AC32" i="18"/>
  <c r="AC33" i="17"/>
  <c r="AB34" i="17"/>
  <c r="AB33" i="15"/>
  <c r="AC32" i="15"/>
  <c r="AB34" i="16"/>
  <c r="AC33" i="16"/>
  <c r="AC31" i="13"/>
  <c r="AB32" i="13"/>
  <c r="AC30" i="7"/>
  <c r="AB31" i="7"/>
  <c r="V146" i="39"/>
  <c r="AB32" i="5"/>
  <c r="AC31" i="5"/>
  <c r="AB32" i="41"/>
  <c r="AC31" i="41"/>
  <c r="AB32" i="42"/>
  <c r="AC31" i="42"/>
  <c r="O80" i="43" l="1"/>
  <c r="N80" i="43"/>
  <c r="AB47" i="38"/>
  <c r="AC46" i="38"/>
  <c r="B27" i="40"/>
  <c r="AB49" i="37"/>
  <c r="AC48" i="37"/>
  <c r="AC46" i="36"/>
  <c r="AB47" i="36"/>
  <c r="AB46" i="35"/>
  <c r="AC45" i="35"/>
  <c r="AB45" i="34"/>
  <c r="AC44" i="34"/>
  <c r="AB43" i="32"/>
  <c r="AC42" i="32"/>
  <c r="AC42" i="31"/>
  <c r="AB43" i="31"/>
  <c r="AB43" i="30"/>
  <c r="AC42" i="30"/>
  <c r="AB44" i="29"/>
  <c r="AC43" i="29"/>
  <c r="AC41" i="27"/>
  <c r="AB42" i="27"/>
  <c r="AB40" i="26"/>
  <c r="AC39" i="26"/>
  <c r="AB39" i="25"/>
  <c r="AB38" i="24"/>
  <c r="AC37" i="24"/>
  <c r="AC37" i="23"/>
  <c r="AB38" i="23"/>
  <c r="AC35" i="22"/>
  <c r="AB36" i="22"/>
  <c r="AB37" i="21"/>
  <c r="AC36" i="21"/>
  <c r="AB35" i="19"/>
  <c r="AC34" i="19"/>
  <c r="AC33" i="18"/>
  <c r="AB34" i="18"/>
  <c r="AB35" i="17"/>
  <c r="AC34" i="17"/>
  <c r="AB34" i="15"/>
  <c r="AC33" i="15"/>
  <c r="AB35" i="16"/>
  <c r="AC34" i="16"/>
  <c r="AB33" i="13"/>
  <c r="AC32" i="13"/>
  <c r="AC31" i="7"/>
  <c r="AB32" i="7"/>
  <c r="V147" i="39"/>
  <c r="AB33" i="5"/>
  <c r="AC32" i="5"/>
  <c r="AB33" i="41"/>
  <c r="AC32" i="41"/>
  <c r="AC32" i="42"/>
  <c r="AB33" i="42"/>
  <c r="AB48" i="38" l="1"/>
  <c r="AC47" i="38"/>
  <c r="B28" i="40"/>
  <c r="AB50" i="37"/>
  <c r="AC50" i="37" s="1"/>
  <c r="AC49" i="37"/>
  <c r="AB48" i="36"/>
  <c r="AC47" i="36"/>
  <c r="AC46" i="35"/>
  <c r="AB47" i="35"/>
  <c r="AB46" i="34"/>
  <c r="AC45" i="34"/>
  <c r="AB44" i="32"/>
  <c r="AC43" i="32"/>
  <c r="AB44" i="31"/>
  <c r="AC43" i="31"/>
  <c r="AB44" i="30"/>
  <c r="AC43" i="30"/>
  <c r="AB45" i="29"/>
  <c r="AC44" i="29"/>
  <c r="AB43" i="27"/>
  <c r="AC42" i="27"/>
  <c r="AB41" i="26"/>
  <c r="AC40" i="26"/>
  <c r="AB40" i="25"/>
  <c r="AC39" i="25"/>
  <c r="AC38" i="24"/>
  <c r="AB39" i="24"/>
  <c r="AC38" i="23"/>
  <c r="AB39" i="23"/>
  <c r="AB37" i="22"/>
  <c r="AC36" i="22"/>
  <c r="AB38" i="21"/>
  <c r="AC37" i="21"/>
  <c r="AC35" i="19"/>
  <c r="AB36" i="19"/>
  <c r="AC34" i="18"/>
  <c r="AB35" i="18"/>
  <c r="AB36" i="17"/>
  <c r="AC35" i="17"/>
  <c r="AC34" i="15"/>
  <c r="AB35" i="15"/>
  <c r="AB36" i="16"/>
  <c r="AC35" i="16"/>
  <c r="AB34" i="13"/>
  <c r="AC33" i="13"/>
  <c r="AB33" i="7"/>
  <c r="AC32" i="7"/>
  <c r="V148" i="39"/>
  <c r="AB34" i="5"/>
  <c r="AC33" i="5"/>
  <c r="AB34" i="41"/>
  <c r="AC33" i="41"/>
  <c r="AB34" i="42"/>
  <c r="AC33" i="42"/>
  <c r="AC48" i="38" l="1"/>
  <c r="AB49" i="38"/>
  <c r="B29" i="40"/>
  <c r="AC52" i="37"/>
  <c r="AB49" i="36"/>
  <c r="AC48" i="36"/>
  <c r="AC47" i="35"/>
  <c r="AB48" i="35"/>
  <c r="AB47" i="34"/>
  <c r="AC46" i="34"/>
  <c r="AB45" i="32"/>
  <c r="AC44" i="32"/>
  <c r="AC44" i="31"/>
  <c r="AB45" i="31"/>
  <c r="AC44" i="30"/>
  <c r="AB45" i="30"/>
  <c r="AC45" i="29"/>
  <c r="AB46" i="29"/>
  <c r="AB44" i="27"/>
  <c r="AC43" i="27"/>
  <c r="AB42" i="26"/>
  <c r="AC41" i="26"/>
  <c r="AB41" i="25"/>
  <c r="AB40" i="24"/>
  <c r="AC39" i="24"/>
  <c r="AC39" i="23"/>
  <c r="AB40" i="23"/>
  <c r="AB38" i="22"/>
  <c r="AC37" i="22"/>
  <c r="AB39" i="21"/>
  <c r="AC38" i="21"/>
  <c r="AB37" i="19"/>
  <c r="AC36" i="19"/>
  <c r="AB36" i="18"/>
  <c r="AC35" i="18"/>
  <c r="AC36" i="17"/>
  <c r="AB37" i="17"/>
  <c r="AB36" i="15"/>
  <c r="AC35" i="15"/>
  <c r="AB37" i="16"/>
  <c r="AC36" i="16"/>
  <c r="AB35" i="13"/>
  <c r="AC34" i="13"/>
  <c r="AB34" i="7"/>
  <c r="AC33" i="7"/>
  <c r="V149" i="39"/>
  <c r="AB35" i="5"/>
  <c r="AC34" i="5"/>
  <c r="AB35" i="41"/>
  <c r="AC34" i="41"/>
  <c r="AB35" i="42"/>
  <c r="AC34" i="42"/>
  <c r="AC49" i="38" l="1"/>
  <c r="AB50" i="38"/>
  <c r="AC50" i="38" s="1"/>
  <c r="B30" i="40"/>
  <c r="AB50" i="36"/>
  <c r="AC50" i="36" s="1"/>
  <c r="AC49" i="36"/>
  <c r="AC48" i="35"/>
  <c r="AB49" i="35"/>
  <c r="AB48" i="34"/>
  <c r="AC47" i="34"/>
  <c r="AB46" i="32"/>
  <c r="AC45" i="32"/>
  <c r="AC45" i="31"/>
  <c r="AB46" i="31"/>
  <c r="AC45" i="30"/>
  <c r="AB46" i="30"/>
  <c r="AC46" i="29"/>
  <c r="AB47" i="29"/>
  <c r="AB45" i="27"/>
  <c r="AC44" i="27"/>
  <c r="AC42" i="26"/>
  <c r="AB43" i="26"/>
  <c r="AB42" i="25"/>
  <c r="AB41" i="24"/>
  <c r="AC40" i="24"/>
  <c r="AC40" i="23"/>
  <c r="AB41" i="23"/>
  <c r="AB39" i="22"/>
  <c r="AC38" i="22"/>
  <c r="AB40" i="21"/>
  <c r="AC39" i="21"/>
  <c r="AC37" i="19"/>
  <c r="AB38" i="19"/>
  <c r="AB37" i="18"/>
  <c r="AC36" i="18"/>
  <c r="AC37" i="17"/>
  <c r="AB38" i="17"/>
  <c r="AC36" i="15"/>
  <c r="AB37" i="15"/>
  <c r="AC37" i="16"/>
  <c r="AB38" i="16"/>
  <c r="AB36" i="13"/>
  <c r="AC35" i="13"/>
  <c r="AB35" i="7"/>
  <c r="AC34" i="7"/>
  <c r="V150" i="39"/>
  <c r="AC35" i="5"/>
  <c r="AB36" i="5"/>
  <c r="AC35" i="41"/>
  <c r="AB36" i="41"/>
  <c r="AC35" i="42"/>
  <c r="AB36" i="42"/>
  <c r="AC52" i="38" l="1"/>
  <c r="B31" i="40"/>
  <c r="AC52" i="36"/>
  <c r="AB50" i="35"/>
  <c r="AC50" i="35" s="1"/>
  <c r="AC49" i="35"/>
  <c r="AB49" i="34"/>
  <c r="AC48" i="34"/>
  <c r="AB47" i="32"/>
  <c r="AC46" i="32"/>
  <c r="AC46" i="31"/>
  <c r="AB47" i="31"/>
  <c r="AB47" i="30"/>
  <c r="AC46" i="30"/>
  <c r="AB48" i="29"/>
  <c r="AC47" i="29"/>
  <c r="AC45" i="27"/>
  <c r="AB46" i="27"/>
  <c r="AC43" i="26"/>
  <c r="AB44" i="26"/>
  <c r="AB43" i="25"/>
  <c r="AC42" i="25"/>
  <c r="AB42" i="24"/>
  <c r="AC41" i="24"/>
  <c r="AB42" i="23"/>
  <c r="AC41" i="23"/>
  <c r="AB40" i="22"/>
  <c r="AC39" i="22"/>
  <c r="AB41" i="21"/>
  <c r="AC40" i="21"/>
  <c r="AC38" i="19"/>
  <c r="AB39" i="19"/>
  <c r="AC37" i="18"/>
  <c r="AB38" i="18"/>
  <c r="AB39" i="17"/>
  <c r="AC38" i="17"/>
  <c r="AB38" i="15"/>
  <c r="AC37" i="15"/>
  <c r="AB39" i="16"/>
  <c r="AC38" i="16"/>
  <c r="AB37" i="13"/>
  <c r="AC36" i="13"/>
  <c r="AC35" i="7"/>
  <c r="AB36" i="7"/>
  <c r="V151" i="39"/>
  <c r="AB37" i="5"/>
  <c r="AC36" i="5"/>
  <c r="AB37" i="41"/>
  <c r="AC36" i="41"/>
  <c r="AB37" i="42"/>
  <c r="AC36" i="42"/>
  <c r="B32" i="40" l="1"/>
  <c r="AC52" i="35"/>
  <c r="AB50" i="34"/>
  <c r="AC50" i="34" s="1"/>
  <c r="AC49" i="34"/>
  <c r="AB48" i="32"/>
  <c r="AC47" i="32"/>
  <c r="AB48" i="31"/>
  <c r="AC47" i="31"/>
  <c r="AB48" i="30"/>
  <c r="AC47" i="30"/>
  <c r="AC48" i="29"/>
  <c r="AB49" i="29"/>
  <c r="AB47" i="27"/>
  <c r="AC46" i="27"/>
  <c r="AC44" i="26"/>
  <c r="AB45" i="26"/>
  <c r="AC43" i="25"/>
  <c r="AB44" i="25"/>
  <c r="AC42" i="24"/>
  <c r="AB43" i="24"/>
  <c r="AB43" i="23"/>
  <c r="AC42" i="23"/>
  <c r="AB41" i="22"/>
  <c r="AC40" i="22"/>
  <c r="AC41" i="21"/>
  <c r="AB42" i="21"/>
  <c r="AB40" i="19"/>
  <c r="AC39" i="19"/>
  <c r="AB39" i="18"/>
  <c r="AC38" i="18"/>
  <c r="AB40" i="17"/>
  <c r="AC39" i="17"/>
  <c r="AC38" i="15"/>
  <c r="AB39" i="15"/>
  <c r="AB40" i="16"/>
  <c r="AC39" i="16"/>
  <c r="AB38" i="13"/>
  <c r="AC37" i="13"/>
  <c r="AB37" i="7"/>
  <c r="AC36" i="7"/>
  <c r="V152" i="39"/>
  <c r="AB38" i="5"/>
  <c r="AC37" i="5"/>
  <c r="AB38" i="41"/>
  <c r="AC37" i="41"/>
  <c r="AB38" i="42"/>
  <c r="AC37" i="42"/>
  <c r="B33" i="40" l="1"/>
  <c r="AC52" i="34"/>
  <c r="AC48" i="32"/>
  <c r="AB49" i="32"/>
  <c r="AB49" i="31"/>
  <c r="AC48" i="31"/>
  <c r="AC48" i="30"/>
  <c r="AB49" i="30"/>
  <c r="AB50" i="29"/>
  <c r="AC50" i="29" s="1"/>
  <c r="AC49" i="29"/>
  <c r="AB48" i="27"/>
  <c r="AC47" i="27"/>
  <c r="AC45" i="26"/>
  <c r="AB46" i="26"/>
  <c r="AB45" i="25"/>
  <c r="AC44" i="25"/>
  <c r="AB44" i="24"/>
  <c r="AC43" i="24"/>
  <c r="AC43" i="23"/>
  <c r="AB44" i="23"/>
  <c r="AB42" i="22"/>
  <c r="AC41" i="22"/>
  <c r="AB43" i="21"/>
  <c r="AC42" i="21"/>
  <c r="AC40" i="19"/>
  <c r="AB41" i="19"/>
  <c r="AB40" i="18"/>
  <c r="AC39" i="18"/>
  <c r="AB41" i="17"/>
  <c r="AC40" i="17"/>
  <c r="AC39" i="15"/>
  <c r="AB40" i="15"/>
  <c r="AB41" i="16"/>
  <c r="AC40" i="16"/>
  <c r="AB39" i="13"/>
  <c r="AC38" i="13"/>
  <c r="AB38" i="7"/>
  <c r="AC37" i="7"/>
  <c r="W151" i="39" s="1"/>
  <c r="V153" i="39"/>
  <c r="AB39" i="5"/>
  <c r="AC38" i="5"/>
  <c r="AC38" i="41"/>
  <c r="AB39" i="41"/>
  <c r="AB39" i="42"/>
  <c r="AC38" i="42"/>
  <c r="B34" i="40" l="1"/>
  <c r="AC49" i="32"/>
  <c r="AB50" i="32"/>
  <c r="AC50" i="32" s="1"/>
  <c r="AB50" i="31"/>
  <c r="AC50" i="31" s="1"/>
  <c r="AC49" i="31"/>
  <c r="AB50" i="30"/>
  <c r="AC50" i="30" s="1"/>
  <c r="AC49" i="30"/>
  <c r="AC52" i="29"/>
  <c r="AC48" i="27"/>
  <c r="AB49" i="27"/>
  <c r="AB47" i="26"/>
  <c r="AC46" i="26"/>
  <c r="AB46" i="25"/>
  <c r="AC45" i="25"/>
  <c r="AB45" i="24"/>
  <c r="AC44" i="24"/>
  <c r="AB45" i="23"/>
  <c r="AC44" i="23"/>
  <c r="AC42" i="22"/>
  <c r="AB43" i="22"/>
  <c r="AB44" i="21"/>
  <c r="AC43" i="21"/>
  <c r="AB42" i="19"/>
  <c r="AC41" i="19"/>
  <c r="AC40" i="18"/>
  <c r="AB41" i="18"/>
  <c r="AC41" i="17"/>
  <c r="AB42" i="17"/>
  <c r="AB41" i="15"/>
  <c r="AC40" i="15"/>
  <c r="AB42" i="16"/>
  <c r="AC41" i="16"/>
  <c r="AB40" i="13"/>
  <c r="AC39" i="13"/>
  <c r="AB39" i="7"/>
  <c r="AC38" i="7"/>
  <c r="V154" i="39"/>
  <c r="AB40" i="5"/>
  <c r="AC39" i="5"/>
  <c r="AB40" i="41"/>
  <c r="AC39" i="41"/>
  <c r="AB40" i="42"/>
  <c r="AC39" i="42"/>
  <c r="B35" i="40" l="1"/>
  <c r="AC52" i="32"/>
  <c r="AC52" i="31"/>
  <c r="AC52" i="30"/>
  <c r="AC49" i="27"/>
  <c r="AB50" i="27"/>
  <c r="AC50" i="27" s="1"/>
  <c r="AB48" i="26"/>
  <c r="AC47" i="26"/>
  <c r="AC46" i="25"/>
  <c r="AB47" i="25"/>
  <c r="AC45" i="24"/>
  <c r="AB46" i="24"/>
  <c r="AB46" i="23"/>
  <c r="AC45" i="23"/>
  <c r="AB44" i="22"/>
  <c r="AC43" i="22"/>
  <c r="AB45" i="21"/>
  <c r="AC44" i="21"/>
  <c r="AB43" i="19"/>
  <c r="AC42" i="19"/>
  <c r="AC41" i="18"/>
  <c r="AB42" i="18"/>
  <c r="AB43" i="17"/>
  <c r="AC42" i="17"/>
  <c r="AB42" i="15"/>
  <c r="AC41" i="15"/>
  <c r="AB43" i="16"/>
  <c r="AC42" i="16"/>
  <c r="AB41" i="13"/>
  <c r="AC40" i="13"/>
  <c r="AB40" i="7"/>
  <c r="AC39" i="7"/>
  <c r="W153" i="39" s="1"/>
  <c r="V155" i="39"/>
  <c r="AC40" i="5"/>
  <c r="AB41" i="5"/>
  <c r="AC40" i="41"/>
  <c r="AB41" i="41"/>
  <c r="AC40" i="42"/>
  <c r="AB41" i="42"/>
  <c r="B36" i="40" l="1"/>
  <c r="AC52" i="27"/>
  <c r="AC48" i="26"/>
  <c r="AB49" i="26"/>
  <c r="AB48" i="25"/>
  <c r="AC47" i="25"/>
  <c r="AB47" i="24"/>
  <c r="AC46" i="24"/>
  <c r="AC46" i="23"/>
  <c r="AB47" i="23"/>
  <c r="AB45" i="22"/>
  <c r="AC44" i="22"/>
  <c r="AB46" i="21"/>
  <c r="AC45" i="21"/>
  <c r="AB44" i="19"/>
  <c r="AC43" i="19"/>
  <c r="AC42" i="18"/>
  <c r="AB43" i="18"/>
  <c r="AB44" i="17"/>
  <c r="AC43" i="17"/>
  <c r="AB43" i="15"/>
  <c r="AC42" i="15"/>
  <c r="AB44" i="16"/>
  <c r="AC43" i="16"/>
  <c r="AB42" i="13"/>
  <c r="AC41" i="13"/>
  <c r="AC40" i="7"/>
  <c r="AB41" i="7"/>
  <c r="V156" i="39"/>
  <c r="AB42" i="5"/>
  <c r="AC41" i="5"/>
  <c r="AB42" i="41"/>
  <c r="AC41" i="41"/>
  <c r="AB42" i="42"/>
  <c r="AC41" i="42"/>
  <c r="B37" i="40" l="1"/>
  <c r="AC49" i="26"/>
  <c r="AB50" i="26"/>
  <c r="AC50" i="26" s="1"/>
  <c r="AC48" i="25"/>
  <c r="AB49" i="25"/>
  <c r="AB48" i="24"/>
  <c r="AC47" i="24"/>
  <c r="AC47" i="23"/>
  <c r="AB48" i="23"/>
  <c r="AB46" i="22"/>
  <c r="AC45" i="22"/>
  <c r="AB47" i="21"/>
  <c r="AC46" i="21"/>
  <c r="AC44" i="19"/>
  <c r="AB45" i="19"/>
  <c r="AB44" i="18"/>
  <c r="AC43" i="18"/>
  <c r="AC44" i="17"/>
  <c r="AB45" i="17"/>
  <c r="AB44" i="15"/>
  <c r="AC43" i="15"/>
  <c r="AB45" i="16"/>
  <c r="AC44" i="16"/>
  <c r="AB43" i="13"/>
  <c r="AC42" i="13"/>
  <c r="AC41" i="7"/>
  <c r="AB42" i="7"/>
  <c r="V157" i="39"/>
  <c r="AB43" i="5"/>
  <c r="AC42" i="5"/>
  <c r="AB43" i="41"/>
  <c r="AC42" i="41"/>
  <c r="AB43" i="42"/>
  <c r="AC42" i="42"/>
  <c r="B38" i="40" l="1"/>
  <c r="AC52" i="26"/>
  <c r="AB50" i="25"/>
  <c r="AC50" i="25" s="1"/>
  <c r="AC49" i="25"/>
  <c r="AC48" i="24"/>
  <c r="AB49" i="24"/>
  <c r="AB49" i="23"/>
  <c r="AC48" i="23"/>
  <c r="AC46" i="22"/>
  <c r="AB47" i="22"/>
  <c r="AB48" i="21"/>
  <c r="AC47" i="21"/>
  <c r="AC45" i="19"/>
  <c r="AB46" i="19"/>
  <c r="AB45" i="18"/>
  <c r="AC44" i="18"/>
  <c r="AC45" i="17"/>
  <c r="AB46" i="17"/>
  <c r="AB45" i="15"/>
  <c r="AC44" i="15"/>
  <c r="AB46" i="16"/>
  <c r="AC45" i="16"/>
  <c r="AB44" i="13"/>
  <c r="AC43" i="13"/>
  <c r="AB43" i="7"/>
  <c r="AC42" i="7"/>
  <c r="W156" i="39" s="1"/>
  <c r="V158" i="39"/>
  <c r="AB44" i="5"/>
  <c r="AC43" i="5"/>
  <c r="AB44" i="41"/>
  <c r="AC43" i="41"/>
  <c r="AB44" i="42"/>
  <c r="AC43" i="42"/>
  <c r="B39" i="40" l="1"/>
  <c r="AC49" i="24"/>
  <c r="AB50" i="24"/>
  <c r="AC50" i="24" s="1"/>
  <c r="AC49" i="23"/>
  <c r="AB50" i="23"/>
  <c r="AC50" i="23" s="1"/>
  <c r="AB48" i="22"/>
  <c r="AC47" i="22"/>
  <c r="AB49" i="21"/>
  <c r="AC48" i="21"/>
  <c r="AC46" i="19"/>
  <c r="AB47" i="19"/>
  <c r="AC45" i="18"/>
  <c r="AB46" i="18"/>
  <c r="AC46" i="17"/>
  <c r="AB47" i="17"/>
  <c r="AB46" i="15"/>
  <c r="AC45" i="15"/>
  <c r="AB47" i="16"/>
  <c r="AC46" i="16"/>
  <c r="AB45" i="13"/>
  <c r="AC44" i="13"/>
  <c r="AB44" i="7"/>
  <c r="AC43" i="7"/>
  <c r="W157" i="39" s="1"/>
  <c r="V159" i="39"/>
  <c r="AB45" i="5"/>
  <c r="AC44" i="5"/>
  <c r="AB45" i="41"/>
  <c r="AC44" i="41"/>
  <c r="AB45" i="42"/>
  <c r="AC44" i="42"/>
  <c r="B40" i="40" l="1"/>
  <c r="AC52" i="23"/>
  <c r="AC52" i="24"/>
  <c r="AB49" i="22"/>
  <c r="AC48" i="22"/>
  <c r="AB50" i="21"/>
  <c r="AC50" i="21" s="1"/>
  <c r="AC49" i="21"/>
  <c r="AC47" i="19"/>
  <c r="AB48" i="19"/>
  <c r="AC46" i="18"/>
  <c r="AB47" i="18"/>
  <c r="AC47" i="17"/>
  <c r="AB48" i="17"/>
  <c r="AB47" i="15"/>
  <c r="AC46" i="15"/>
  <c r="AB48" i="16"/>
  <c r="AC47" i="16"/>
  <c r="AB46" i="13"/>
  <c r="AC45" i="13"/>
  <c r="AB45" i="7"/>
  <c r="AC44" i="7"/>
  <c r="W158" i="39" s="1"/>
  <c r="V160" i="39"/>
  <c r="AC45" i="5"/>
  <c r="AB46" i="5"/>
  <c r="AC45" i="41"/>
  <c r="AB46" i="41"/>
  <c r="AC45" i="42"/>
  <c r="AB46" i="42"/>
  <c r="B41" i="40" l="1"/>
  <c r="AB50" i="22"/>
  <c r="AC50" i="22" s="1"/>
  <c r="AC49" i="22"/>
  <c r="AC52" i="21"/>
  <c r="AB49" i="19"/>
  <c r="AC48" i="19"/>
  <c r="AB48" i="18"/>
  <c r="AC47" i="18"/>
  <c r="AB49" i="17"/>
  <c r="AC48" i="17"/>
  <c r="AB48" i="15"/>
  <c r="AC47" i="15"/>
  <c r="AB49" i="16"/>
  <c r="AC48" i="16"/>
  <c r="AB47" i="13"/>
  <c r="AC46" i="13"/>
  <c r="AC45" i="7"/>
  <c r="W159" i="39" s="1"/>
  <c r="AB46" i="7"/>
  <c r="V161" i="39"/>
  <c r="AB47" i="5"/>
  <c r="AC46" i="5"/>
  <c r="AB47" i="41"/>
  <c r="AC46" i="41"/>
  <c r="AB47" i="42"/>
  <c r="AC46" i="42"/>
  <c r="B42" i="40" l="1"/>
  <c r="AC52" i="22"/>
  <c r="AB50" i="19"/>
  <c r="AC50" i="19" s="1"/>
  <c r="AC49" i="19"/>
  <c r="AC48" i="18"/>
  <c r="AB49" i="18"/>
  <c r="AC49" i="17"/>
  <c r="AB50" i="17"/>
  <c r="AC50" i="17" s="1"/>
  <c r="AB49" i="15"/>
  <c r="AC48" i="15"/>
  <c r="AB50" i="16"/>
  <c r="AC50" i="16" s="1"/>
  <c r="AC49" i="16"/>
  <c r="AB48" i="13"/>
  <c r="AC47" i="13"/>
  <c r="AB47" i="7"/>
  <c r="AC46" i="7"/>
  <c r="W160" i="39" s="1"/>
  <c r="V162" i="39"/>
  <c r="AB48" i="5"/>
  <c r="AC47" i="5"/>
  <c r="AB48" i="41"/>
  <c r="AC47" i="41"/>
  <c r="AB48" i="42"/>
  <c r="AC47" i="42"/>
  <c r="B43" i="40" l="1"/>
  <c r="AC52" i="19"/>
  <c r="AC49" i="18"/>
  <c r="AB50" i="18"/>
  <c r="AC50" i="18" s="1"/>
  <c r="AC52" i="17"/>
  <c r="AB50" i="15"/>
  <c r="AC50" i="15" s="1"/>
  <c r="AC49" i="15"/>
  <c r="AB49" i="13"/>
  <c r="AC48" i="13"/>
  <c r="AB48" i="7"/>
  <c r="AC47" i="7"/>
  <c r="W161" i="39" s="1"/>
  <c r="V163" i="39"/>
  <c r="AB49" i="5"/>
  <c r="AC48" i="5"/>
  <c r="AB49" i="41"/>
  <c r="AC48" i="41"/>
  <c r="AB49" i="42"/>
  <c r="AC48" i="42"/>
  <c r="B44" i="40" l="1"/>
  <c r="AC52" i="18"/>
  <c r="AC52" i="15"/>
  <c r="AB50" i="13"/>
  <c r="AC50" i="13" s="1"/>
  <c r="AC49" i="13"/>
  <c r="AB49" i="7"/>
  <c r="AC48" i="7"/>
  <c r="W162" i="39" s="1"/>
  <c r="V164" i="39"/>
  <c r="AB50" i="5"/>
  <c r="AC50" i="5" s="1"/>
  <c r="AC49" i="5"/>
  <c r="AB50" i="41"/>
  <c r="AC50" i="41" s="1"/>
  <c r="AC49" i="41"/>
  <c r="AB50" i="42"/>
  <c r="AC50" i="42" s="1"/>
  <c r="AC49" i="42"/>
  <c r="B45" i="40" l="1"/>
  <c r="AB50" i="7"/>
  <c r="AC50" i="7" s="1"/>
  <c r="W164" i="39" s="1"/>
  <c r="AC49" i="7"/>
  <c r="W163" i="39" s="1"/>
  <c r="B12" i="13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11" i="13"/>
  <c r="B10" i="13"/>
  <c r="B46" i="40" l="1"/>
  <c r="M24" i="39"/>
  <c r="N24" i="39"/>
  <c r="B10" i="21"/>
  <c r="B11" i="21" s="1"/>
  <c r="B12" i="21" s="1"/>
  <c r="B13" i="21" s="1"/>
  <c r="B14" i="21" s="1"/>
  <c r="B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39" i="21"/>
  <c r="B40" i="21"/>
  <c r="B41" i="21"/>
  <c r="B42" i="21"/>
  <c r="B43" i="21"/>
  <c r="B44" i="21"/>
  <c r="B45" i="21"/>
  <c r="B46" i="21"/>
  <c r="B47" i="21"/>
  <c r="B48" i="21"/>
  <c r="B49" i="21"/>
  <c r="B50" i="21"/>
  <c r="B51" i="21"/>
  <c r="B52" i="21"/>
  <c r="B53" i="21"/>
  <c r="B54" i="21"/>
  <c r="B55" i="21"/>
  <c r="B56" i="21"/>
  <c r="B57" i="21"/>
  <c r="B58" i="21"/>
  <c r="B59" i="21"/>
  <c r="B60" i="21"/>
  <c r="B61" i="21"/>
  <c r="B62" i="21"/>
  <c r="B63" i="21"/>
  <c r="B64" i="21"/>
  <c r="B65" i="21"/>
  <c r="B66" i="21"/>
  <c r="B67" i="21"/>
  <c r="B68" i="21"/>
  <c r="B69" i="21"/>
  <c r="B70" i="21"/>
  <c r="B71" i="21"/>
  <c r="B72" i="21"/>
  <c r="B73" i="21"/>
  <c r="B74" i="21"/>
  <c r="B75" i="21"/>
  <c r="B76" i="21"/>
  <c r="B77" i="21"/>
  <c r="B78" i="21"/>
  <c r="B79" i="21"/>
  <c r="B80" i="21"/>
  <c r="B81" i="21"/>
  <c r="B82" i="21"/>
  <c r="B83" i="21"/>
  <c r="B84" i="21"/>
  <c r="B85" i="21"/>
  <c r="B86" i="21"/>
  <c r="B87" i="21"/>
  <c r="B88" i="21"/>
  <c r="B89" i="21"/>
  <c r="B90" i="21"/>
  <c r="B91" i="21"/>
  <c r="B92" i="21"/>
  <c r="B93" i="21"/>
  <c r="M30" i="25"/>
  <c r="M17" i="25"/>
  <c r="M40" i="25"/>
  <c r="M21" i="25"/>
  <c r="M26" i="25"/>
  <c r="M13" i="25"/>
  <c r="BL14" i="39" s="1"/>
  <c r="J14" i="39" s="1"/>
  <c r="M19" i="25"/>
  <c r="BL29" i="39" s="1"/>
  <c r="J29" i="39" s="1"/>
  <c r="M23" i="25"/>
  <c r="BL15" i="39" s="1"/>
  <c r="J15" i="39" s="1"/>
  <c r="M43" i="25"/>
  <c r="M11" i="25"/>
  <c r="BL10" i="39" s="1"/>
  <c r="J10" i="39" s="1"/>
  <c r="M16" i="25"/>
  <c r="BL16" i="39" s="1"/>
  <c r="J16" i="39" s="1"/>
  <c r="M12" i="25"/>
  <c r="BL12" i="39" s="1"/>
  <c r="J12" i="39" s="1"/>
  <c r="M25" i="25"/>
  <c r="BL36" i="39" s="1"/>
  <c r="J36" i="39" s="1"/>
  <c r="M28" i="25"/>
  <c r="BL54" i="39" s="1"/>
  <c r="J54" i="39" s="1"/>
  <c r="M18" i="25"/>
  <c r="M36" i="25"/>
  <c r="M14" i="25"/>
  <c r="BL17" i="39" s="1"/>
  <c r="J17" i="39" s="1"/>
  <c r="O44" i="25"/>
  <c r="BM62" i="39" s="1"/>
  <c r="N12" i="25"/>
  <c r="O23" i="25" s="1"/>
  <c r="BM15" i="39" s="1"/>
  <c r="BL111" i="39"/>
  <c r="M42" i="25"/>
  <c r="BL41" i="39" s="1"/>
  <c r="J41" i="39" s="1"/>
  <c r="M20" i="25"/>
  <c r="BL31" i="39" s="1"/>
  <c r="J31" i="39" s="1"/>
  <c r="M44" i="25"/>
  <c r="BL62" i="39" s="1"/>
  <c r="J62" i="39" s="1"/>
  <c r="M24" i="25"/>
  <c r="BL45" i="39" s="1"/>
  <c r="J45" i="39" s="1"/>
  <c r="M22" i="25"/>
  <c r="BL33" i="39" s="1"/>
  <c r="J33" i="39" s="1"/>
  <c r="K109" i="25"/>
  <c r="BL117" i="39" s="1"/>
  <c r="M35" i="25"/>
  <c r="BL66" i="39" s="1"/>
  <c r="M39" i="25"/>
  <c r="BL59" i="39" s="1"/>
  <c r="J59" i="39" s="1"/>
  <c r="M32" i="25"/>
  <c r="BL50" i="39" s="1"/>
  <c r="J50" i="39" s="1"/>
  <c r="M27" i="25"/>
  <c r="BL47" i="39" s="1"/>
  <c r="J47" i="39" s="1"/>
  <c r="M41" i="25"/>
  <c r="BL63" i="39" s="1"/>
  <c r="M29" i="25"/>
  <c r="BL37" i="39" s="1"/>
  <c r="J37" i="39" s="1"/>
  <c r="M10" i="25"/>
  <c r="BL11" i="39" s="1"/>
  <c r="J11" i="39" s="1"/>
  <c r="M31" i="25"/>
  <c r="BL56" i="39" s="1"/>
  <c r="J56" i="39" s="1"/>
  <c r="M34" i="25"/>
  <c r="BL57" i="39" s="1"/>
  <c r="J57" i="39" s="1"/>
  <c r="H70" i="43" s="1"/>
  <c r="M38" i="25"/>
  <c r="BL53" i="39" s="1"/>
  <c r="J53" i="39" s="1"/>
  <c r="M33" i="25"/>
  <c r="BL43" i="39" s="1"/>
  <c r="J43" i="39" s="1"/>
  <c r="M15" i="25"/>
  <c r="BL26" i="39" s="1"/>
  <c r="J26" i="39" s="1"/>
  <c r="J145" i="39" l="1"/>
  <c r="M145" i="39" s="1" a="1"/>
  <c r="M145" i="39" s="1"/>
  <c r="J144" i="39"/>
  <c r="M144" i="39" s="1" a="1"/>
  <c r="M144" i="39" s="1"/>
  <c r="J127" i="39"/>
  <c r="M127" i="39" s="1" a="1"/>
  <c r="M127" i="39" s="1"/>
  <c r="J128" i="39"/>
  <c r="M128" i="39" s="1" a="1"/>
  <c r="M128" i="39" s="1"/>
  <c r="J126" i="39"/>
  <c r="J66" i="39"/>
  <c r="H81" i="43" s="1"/>
  <c r="H79" i="43"/>
  <c r="J63" i="39"/>
  <c r="G15" i="39"/>
  <c r="H15" i="39"/>
  <c r="K15" i="39"/>
  <c r="G62" i="39"/>
  <c r="H62" i="39"/>
  <c r="K62" i="39"/>
  <c r="H35" i="43"/>
  <c r="B47" i="40"/>
  <c r="Q24" i="39"/>
  <c r="P24" i="39"/>
  <c r="O20" i="25"/>
  <c r="BM31" i="39" s="1"/>
  <c r="O22" i="25"/>
  <c r="BM33" i="39" s="1"/>
  <c r="O11" i="25"/>
  <c r="BM10" i="39" s="1"/>
  <c r="O10" i="25"/>
  <c r="BM11" i="39" s="1"/>
  <c r="O36" i="25"/>
  <c r="BM68" i="39" s="1"/>
  <c r="H29" i="43"/>
  <c r="H82" i="43"/>
  <c r="AC23" i="25"/>
  <c r="W137" i="39" s="1"/>
  <c r="BL68" i="39"/>
  <c r="H97" i="43"/>
  <c r="J129" i="39"/>
  <c r="AC25" i="25"/>
  <c r="W139" i="39" s="1"/>
  <c r="BL21" i="39"/>
  <c r="AC35" i="25"/>
  <c r="W149" i="39" s="1"/>
  <c r="BL42" i="39"/>
  <c r="J42" i="39" s="1"/>
  <c r="AC36" i="25"/>
  <c r="W150" i="39" s="1"/>
  <c r="BL38" i="39"/>
  <c r="H69" i="43"/>
  <c r="AC38" i="25"/>
  <c r="W152" i="39" s="1"/>
  <c r="BL25" i="39"/>
  <c r="AC40" i="25"/>
  <c r="W154" i="39" s="1"/>
  <c r="BL13" i="39"/>
  <c r="J13" i="39" s="1"/>
  <c r="AC41" i="25"/>
  <c r="W155" i="39" s="1"/>
  <c r="BL18" i="39"/>
  <c r="J18" i="39" s="1"/>
  <c r="H11" i="43"/>
  <c r="AC31" i="25"/>
  <c r="W145" i="39" s="1"/>
  <c r="BL55" i="39"/>
  <c r="O25" i="25"/>
  <c r="BM36" i="39" s="1"/>
  <c r="AC26" i="25"/>
  <c r="W140" i="39" s="1"/>
  <c r="O43" i="25"/>
  <c r="BM55" i="39" s="1"/>
  <c r="O17" i="25"/>
  <c r="BM13" i="39" s="1"/>
  <c r="O35" i="25"/>
  <c r="BM66" i="39" s="1"/>
  <c r="O38" i="25"/>
  <c r="BM53" i="39" s="1"/>
  <c r="O21" i="25"/>
  <c r="BM38" i="39" s="1"/>
  <c r="O27" i="25"/>
  <c r="BM47" i="39" s="1"/>
  <c r="O13" i="25"/>
  <c r="BM14" i="39" s="1"/>
  <c r="O15" i="25"/>
  <c r="BM26" i="39" s="1"/>
  <c r="O26" i="25"/>
  <c r="BM42" i="39" s="1"/>
  <c r="AC32" i="25"/>
  <c r="W146" i="39" s="1"/>
  <c r="AC27" i="25"/>
  <c r="W141" i="39" s="1"/>
  <c r="AC29" i="25"/>
  <c r="W143" i="39" s="1"/>
  <c r="AC30" i="25"/>
  <c r="W144" i="39" s="1"/>
  <c r="K105" i="25"/>
  <c r="BL112" i="39" s="1"/>
  <c r="BL113" i="39" s="1"/>
  <c r="J133" i="39" s="1"/>
  <c r="AC28" i="25"/>
  <c r="W142" i="39" s="1"/>
  <c r="AC33" i="25"/>
  <c r="W147" i="39" s="1"/>
  <c r="AC34" i="25"/>
  <c r="W148" i="39" s="1"/>
  <c r="AC22" i="25"/>
  <c r="W136" i="39" s="1"/>
  <c r="O24" i="25"/>
  <c r="BM45" i="39" s="1"/>
  <c r="O12" i="25"/>
  <c r="BM12" i="39" s="1"/>
  <c r="O14" i="25"/>
  <c r="BM17" i="39" s="1"/>
  <c r="O30" i="25"/>
  <c r="BM18" i="39" s="1"/>
  <c r="O18" i="25"/>
  <c r="BM21" i="39" s="1"/>
  <c r="O29" i="25"/>
  <c r="BM37" i="39" s="1"/>
  <c r="O34" i="25"/>
  <c r="BM57" i="39" s="1"/>
  <c r="O28" i="25"/>
  <c r="BM54" i="39" s="1"/>
  <c r="O31" i="25"/>
  <c r="BM56" i="39" s="1"/>
  <c r="O41" i="25"/>
  <c r="BM63" i="39" s="1"/>
  <c r="O40" i="25"/>
  <c r="BM25" i="39" s="1"/>
  <c r="O39" i="25"/>
  <c r="BM59" i="39" s="1"/>
  <c r="O16" i="25"/>
  <c r="BM16" i="39" s="1"/>
  <c r="O32" i="25"/>
  <c r="BM50" i="39" s="1"/>
  <c r="O19" i="25"/>
  <c r="BM29" i="39" s="1"/>
  <c r="O42" i="25"/>
  <c r="BM41" i="39" s="1"/>
  <c r="O33" i="25"/>
  <c r="BM43" i="39" s="1"/>
  <c r="H27" i="43" l="1"/>
  <c r="J21" i="39"/>
  <c r="H33" i="43"/>
  <c r="J25" i="39"/>
  <c r="H86" i="43"/>
  <c r="J68" i="39"/>
  <c r="H50" i="43"/>
  <c r="J55" i="39"/>
  <c r="H41" i="43"/>
  <c r="J38" i="39"/>
  <c r="K21" i="39"/>
  <c r="G21" i="39"/>
  <c r="H21" i="39"/>
  <c r="K16" i="39"/>
  <c r="G16" i="39"/>
  <c r="H16" i="39"/>
  <c r="G17" i="39"/>
  <c r="H17" i="39"/>
  <c r="K17" i="39"/>
  <c r="H55" i="39"/>
  <c r="K55" i="39"/>
  <c r="G55" i="39"/>
  <c r="K59" i="39"/>
  <c r="H59" i="39"/>
  <c r="G59" i="39"/>
  <c r="G12" i="39"/>
  <c r="H12" i="39"/>
  <c r="K12" i="39"/>
  <c r="K25" i="39"/>
  <c r="G25" i="39"/>
  <c r="H25" i="39"/>
  <c r="H45" i="39"/>
  <c r="G45" i="39"/>
  <c r="K45" i="39"/>
  <c r="G42" i="39"/>
  <c r="H42" i="39"/>
  <c r="K42" i="39"/>
  <c r="G36" i="39"/>
  <c r="H36" i="39"/>
  <c r="K36" i="39"/>
  <c r="I79" i="43"/>
  <c r="K63" i="39"/>
  <c r="H63" i="39"/>
  <c r="G63" i="39"/>
  <c r="W167" i="39"/>
  <c r="G26" i="39"/>
  <c r="H26" i="39"/>
  <c r="K26" i="39"/>
  <c r="K14" i="39"/>
  <c r="H14" i="39"/>
  <c r="G14" i="39"/>
  <c r="K47" i="39"/>
  <c r="G47" i="39"/>
  <c r="H47" i="39"/>
  <c r="I86" i="43"/>
  <c r="G68" i="39"/>
  <c r="H68" i="39"/>
  <c r="K68" i="39"/>
  <c r="K38" i="39"/>
  <c r="H38" i="39"/>
  <c r="G38" i="39"/>
  <c r="K11" i="39"/>
  <c r="H11" i="39"/>
  <c r="G11" i="39"/>
  <c r="H56" i="39"/>
  <c r="G56" i="39"/>
  <c r="K56" i="39"/>
  <c r="K43" i="39"/>
  <c r="I39" i="43" s="1"/>
  <c r="G43" i="39"/>
  <c r="H43" i="39"/>
  <c r="G41" i="39"/>
  <c r="H41" i="39"/>
  <c r="K41" i="39"/>
  <c r="K37" i="39"/>
  <c r="I36" i="43" s="1"/>
  <c r="G37" i="39"/>
  <c r="H37" i="39"/>
  <c r="G53" i="39"/>
  <c r="H53" i="39"/>
  <c r="K53" i="39"/>
  <c r="K10" i="39"/>
  <c r="I10" i="43" s="1"/>
  <c r="G10" i="39"/>
  <c r="H10" i="39"/>
  <c r="K57" i="39"/>
  <c r="I70" i="43" s="1"/>
  <c r="H57" i="39"/>
  <c r="G57" i="39"/>
  <c r="G66" i="39"/>
  <c r="H66" i="39"/>
  <c r="K66" i="39"/>
  <c r="I64" i="43" s="1"/>
  <c r="H33" i="39"/>
  <c r="G33" i="39"/>
  <c r="K33" i="39"/>
  <c r="G54" i="39"/>
  <c r="H54" i="39"/>
  <c r="K54" i="39"/>
  <c r="I54" i="43" s="1"/>
  <c r="G29" i="39"/>
  <c r="H29" i="39"/>
  <c r="K29" i="39"/>
  <c r="K50" i="39"/>
  <c r="H50" i="39"/>
  <c r="G50" i="39"/>
  <c r="G18" i="39"/>
  <c r="H18" i="39"/>
  <c r="K18" i="39"/>
  <c r="I17" i="43" s="1"/>
  <c r="K13" i="39"/>
  <c r="I13" i="43" s="1"/>
  <c r="G13" i="39"/>
  <c r="H13" i="39"/>
  <c r="H31" i="39"/>
  <c r="K31" i="39"/>
  <c r="I22" i="43" s="1"/>
  <c r="G31" i="39"/>
  <c r="H64" i="43"/>
  <c r="I15" i="43"/>
  <c r="H85" i="43"/>
  <c r="H67" i="43"/>
  <c r="I85" i="43"/>
  <c r="I67" i="43"/>
  <c r="I43" i="43"/>
  <c r="I26" i="43"/>
  <c r="I60" i="43"/>
  <c r="I61" i="43"/>
  <c r="I71" i="43"/>
  <c r="I29" i="43"/>
  <c r="I35" i="43"/>
  <c r="H20" i="43"/>
  <c r="I45" i="43"/>
  <c r="I50" i="43"/>
  <c r="I51" i="43"/>
  <c r="H61" i="43"/>
  <c r="H45" i="43"/>
  <c r="I69" i="43"/>
  <c r="I66" i="43"/>
  <c r="H16" i="43"/>
  <c r="I16" i="43"/>
  <c r="H31" i="43"/>
  <c r="H60" i="43"/>
  <c r="H15" i="43"/>
  <c r="H55" i="43"/>
  <c r="H54" i="43"/>
  <c r="H68" i="43"/>
  <c r="H59" i="43"/>
  <c r="I19" i="43"/>
  <c r="I44" i="43"/>
  <c r="H19" i="43"/>
  <c r="H44" i="43"/>
  <c r="I49" i="43"/>
  <c r="I32" i="43"/>
  <c r="I84" i="43"/>
  <c r="I24" i="43"/>
  <c r="I34" i="43"/>
  <c r="H74" i="43"/>
  <c r="H25" i="43"/>
  <c r="H38" i="43"/>
  <c r="H52" i="43"/>
  <c r="I83" i="43"/>
  <c r="H36" i="43"/>
  <c r="H48" i="43"/>
  <c r="H58" i="43"/>
  <c r="H75" i="43"/>
  <c r="H78" i="43"/>
  <c r="I28" i="43"/>
  <c r="I63" i="43"/>
  <c r="I46" i="43"/>
  <c r="H63" i="43"/>
  <c r="H92" i="43"/>
  <c r="H42" i="43"/>
  <c r="H91" i="43"/>
  <c r="H71" i="43"/>
  <c r="I72" i="43"/>
  <c r="I30" i="43"/>
  <c r="I75" i="43"/>
  <c r="I78" i="43"/>
  <c r="I76" i="43"/>
  <c r="H62" i="43"/>
  <c r="H83" i="43"/>
  <c r="H73" i="43"/>
  <c r="H17" i="43"/>
  <c r="I68" i="43"/>
  <c r="I58" i="43"/>
  <c r="H95" i="43"/>
  <c r="H76" i="43"/>
  <c r="I73" i="43"/>
  <c r="I74" i="43"/>
  <c r="I38" i="43"/>
  <c r="H12" i="43"/>
  <c r="H46" i="43"/>
  <c r="H47" i="43"/>
  <c r="H39" i="43"/>
  <c r="I18" i="43"/>
  <c r="B48" i="40"/>
  <c r="H10" i="43"/>
  <c r="E33" i="43"/>
  <c r="F11" i="43"/>
  <c r="Y144" i="39"/>
  <c r="Y152" i="39"/>
  <c r="Y154" i="39"/>
  <c r="Y139" i="39"/>
  <c r="Y143" i="39"/>
  <c r="Y148" i="39"/>
  <c r="Y145" i="39"/>
  <c r="Y147" i="39"/>
  <c r="Y142" i="39"/>
  <c r="Y149" i="39"/>
  <c r="Y141" i="39"/>
  <c r="Y146" i="39"/>
  <c r="Y140" i="39"/>
  <c r="Y155" i="39"/>
  <c r="Y150" i="39"/>
  <c r="F79" i="43"/>
  <c r="Y137" i="39"/>
  <c r="H43" i="43"/>
  <c r="E43" i="43"/>
  <c r="F97" i="43"/>
  <c r="E79" i="43"/>
  <c r="H98" i="43"/>
  <c r="H32" i="43"/>
  <c r="M15" i="39"/>
  <c r="N15" i="39"/>
  <c r="H18" i="43"/>
  <c r="H57" i="43"/>
  <c r="E57" i="43"/>
  <c r="E61" i="43"/>
  <c r="Y127" i="39"/>
  <c r="Y124" i="39"/>
  <c r="Y125" i="39"/>
  <c r="Y126" i="39"/>
  <c r="Y128" i="39"/>
  <c r="Y129" i="39"/>
  <c r="Y130" i="39"/>
  <c r="Y131" i="39"/>
  <c r="Y132" i="39"/>
  <c r="Y133" i="39"/>
  <c r="Y134" i="39"/>
  <c r="Y135" i="39"/>
  <c r="Y138" i="39"/>
  <c r="Y151" i="39"/>
  <c r="Y153" i="39"/>
  <c r="Y156" i="39"/>
  <c r="Y157" i="39"/>
  <c r="Y158" i="39"/>
  <c r="Y159" i="39"/>
  <c r="Y160" i="39"/>
  <c r="Y161" i="39"/>
  <c r="Y162" i="39"/>
  <c r="Y163" i="39"/>
  <c r="Y164" i="39"/>
  <c r="M62" i="39"/>
  <c r="N62" i="39"/>
  <c r="F61" i="43"/>
  <c r="N128" i="39" a="1"/>
  <c r="N128" i="39" s="1"/>
  <c r="H49" i="43"/>
  <c r="F86" i="43"/>
  <c r="E86" i="43"/>
  <c r="E15" i="43"/>
  <c r="N127" i="39" a="1"/>
  <c r="N127" i="39" s="1"/>
  <c r="N144" i="39" a="1"/>
  <c r="N144" i="39" s="1"/>
  <c r="N145" i="39" a="1"/>
  <c r="N145" i="39" s="1"/>
  <c r="H14" i="43"/>
  <c r="F69" i="43"/>
  <c r="E97" i="43"/>
  <c r="Y136" i="39"/>
  <c r="AC52" i="25"/>
  <c r="I41" i="43" l="1"/>
  <c r="F70" i="43"/>
  <c r="E70" i="43"/>
  <c r="I20" i="43"/>
  <c r="I55" i="43"/>
  <c r="I90" i="43"/>
  <c r="E64" i="43"/>
  <c r="E11" i="43"/>
  <c r="F64" i="43"/>
  <c r="I62" i="43"/>
  <c r="I81" i="43"/>
  <c r="I52" i="43"/>
  <c r="I33" i="43"/>
  <c r="F82" i="43"/>
  <c r="F81" i="43"/>
  <c r="E82" i="43"/>
  <c r="E81" i="43"/>
  <c r="I48" i="43"/>
  <c r="I25" i="43"/>
  <c r="I42" i="43"/>
  <c r="F35" i="43"/>
  <c r="I14" i="43"/>
  <c r="I53" i="43"/>
  <c r="I65" i="43"/>
  <c r="F43" i="43"/>
  <c r="I37" i="43"/>
  <c r="E35" i="43"/>
  <c r="E59" i="43"/>
  <c r="F15" i="43"/>
  <c r="I31" i="43"/>
  <c r="I59" i="43"/>
  <c r="I82" i="43"/>
  <c r="F33" i="43"/>
  <c r="I40" i="43"/>
  <c r="I47" i="43"/>
  <c r="I91" i="43"/>
  <c r="I23" i="43"/>
  <c r="I92" i="43"/>
  <c r="I21" i="43"/>
  <c r="I57" i="43"/>
  <c r="I77" i="43"/>
  <c r="I12" i="43"/>
  <c r="I98" i="43"/>
  <c r="I95" i="43"/>
  <c r="I97" i="43"/>
  <c r="E14" i="43"/>
  <c r="F14" i="43"/>
  <c r="E27" i="43"/>
  <c r="F27" i="43"/>
  <c r="I11" i="43"/>
  <c r="F50" i="43"/>
  <c r="I27" i="43"/>
  <c r="F85" i="43"/>
  <c r="F67" i="43"/>
  <c r="F45" i="43"/>
  <c r="F98" i="43"/>
  <c r="F41" i="43"/>
  <c r="E98" i="43"/>
  <c r="E41" i="43"/>
  <c r="E85" i="43"/>
  <c r="E67" i="43"/>
  <c r="F59" i="43"/>
  <c r="I56" i="43"/>
  <c r="F60" i="43"/>
  <c r="E20" i="43"/>
  <c r="H24" i="43"/>
  <c r="H13" i="43"/>
  <c r="E45" i="43"/>
  <c r="E50" i="43"/>
  <c r="F20" i="43"/>
  <c r="E60" i="43"/>
  <c r="H28" i="43"/>
  <c r="H37" i="43"/>
  <c r="F29" i="43"/>
  <c r="E29" i="43"/>
  <c r="E53" i="43"/>
  <c r="E69" i="43"/>
  <c r="H21" i="43"/>
  <c r="E40" i="43"/>
  <c r="F16" i="43"/>
  <c r="H66" i="43"/>
  <c r="H40" i="43"/>
  <c r="F40" i="43"/>
  <c r="H65" i="43"/>
  <c r="H51" i="43"/>
  <c r="E19" i="43"/>
  <c r="E44" i="43"/>
  <c r="F31" i="43"/>
  <c r="F13" i="43"/>
  <c r="E49" i="43"/>
  <c r="F49" i="43"/>
  <c r="F19" i="43"/>
  <c r="F44" i="43"/>
  <c r="E16" i="43"/>
  <c r="E34" i="43"/>
  <c r="E51" i="43"/>
  <c r="F55" i="43"/>
  <c r="F54" i="43"/>
  <c r="E55" i="43"/>
  <c r="E54" i="43"/>
  <c r="E31" i="43"/>
  <c r="E13" i="43"/>
  <c r="F34" i="43"/>
  <c r="F51" i="43"/>
  <c r="F28" i="43"/>
  <c r="F63" i="43"/>
  <c r="F46" i="43"/>
  <c r="F47" i="43"/>
  <c r="F65" i="43"/>
  <c r="F36" i="43"/>
  <c r="E91" i="43"/>
  <c r="E71" i="43"/>
  <c r="E90" i="43"/>
  <c r="E26" i="43"/>
  <c r="E72" i="43"/>
  <c r="E30" i="43"/>
  <c r="E77" i="43"/>
  <c r="E56" i="43"/>
  <c r="E66" i="43"/>
  <c r="E73" i="43"/>
  <c r="E17" i="43"/>
  <c r="E84" i="43"/>
  <c r="E24" i="43"/>
  <c r="E12" i="43"/>
  <c r="E18" i="43"/>
  <c r="F68" i="43"/>
  <c r="F38" i="43"/>
  <c r="F52" i="43"/>
  <c r="H90" i="43"/>
  <c r="H26" i="43"/>
  <c r="H72" i="43"/>
  <c r="H30" i="43"/>
  <c r="H77" i="43"/>
  <c r="H56" i="43"/>
  <c r="F73" i="43"/>
  <c r="F17" i="43"/>
  <c r="F12" i="43"/>
  <c r="F18" i="43"/>
  <c r="H53" i="43"/>
  <c r="E92" i="43"/>
  <c r="E42" i="43"/>
  <c r="H84" i="43"/>
  <c r="F91" i="43"/>
  <c r="F71" i="43"/>
  <c r="F95" i="43"/>
  <c r="F37" i="43"/>
  <c r="F90" i="43"/>
  <c r="F26" i="43"/>
  <c r="F92" i="43"/>
  <c r="F42" i="43"/>
  <c r="F72" i="43"/>
  <c r="F30" i="43"/>
  <c r="F77" i="43"/>
  <c r="F56" i="43"/>
  <c r="F62" i="43"/>
  <c r="F83" i="43"/>
  <c r="F48" i="43"/>
  <c r="F58" i="43"/>
  <c r="E28" i="43"/>
  <c r="E63" i="43"/>
  <c r="E95" i="43"/>
  <c r="E37" i="43"/>
  <c r="F21" i="43"/>
  <c r="F76" i="43"/>
  <c r="F66" i="43"/>
  <c r="H34" i="43"/>
  <c r="E68" i="43"/>
  <c r="E48" i="43"/>
  <c r="E58" i="43"/>
  <c r="F53" i="43"/>
  <c r="E38" i="43"/>
  <c r="E52" i="43"/>
  <c r="E46" i="43"/>
  <c r="E47" i="43"/>
  <c r="E23" i="43"/>
  <c r="E22" i="43"/>
  <c r="E65" i="43"/>
  <c r="E36" i="43"/>
  <c r="F23" i="43"/>
  <c r="F22" i="43"/>
  <c r="E21" i="43"/>
  <c r="E76" i="43"/>
  <c r="F57" i="43"/>
  <c r="E62" i="43"/>
  <c r="E83" i="43"/>
  <c r="E75" i="43"/>
  <c r="E78" i="43"/>
  <c r="E32" i="43"/>
  <c r="E39" i="43"/>
  <c r="H23" i="43"/>
  <c r="H22" i="43"/>
  <c r="E74" i="43"/>
  <c r="E25" i="43"/>
  <c r="F84" i="43"/>
  <c r="F24" i="43"/>
  <c r="F74" i="43"/>
  <c r="F25" i="43"/>
  <c r="F75" i="43"/>
  <c r="F78" i="43"/>
  <c r="F32" i="43"/>
  <c r="F39" i="43"/>
  <c r="B49" i="40"/>
  <c r="M10" i="39"/>
  <c r="K11" i="43" s="1"/>
  <c r="N10" i="39"/>
  <c r="L11" i="43" s="1"/>
  <c r="F10" i="43"/>
  <c r="M33" i="39"/>
  <c r="E10" i="43"/>
  <c r="Q15" i="39"/>
  <c r="Q62" i="39"/>
  <c r="P15" i="39"/>
  <c r="P62" i="39"/>
  <c r="N31" i="39"/>
  <c r="M31" i="39"/>
  <c r="M11" i="39"/>
  <c r="N11" i="39"/>
  <c r="M45" i="39"/>
  <c r="M57" i="39"/>
  <c r="K70" i="43" s="1"/>
  <c r="N33" i="39"/>
  <c r="M26" i="39"/>
  <c r="N38" i="39"/>
  <c r="N12" i="39"/>
  <c r="M43" i="39"/>
  <c r="K97" i="43" s="1"/>
  <c r="M12" i="39"/>
  <c r="J136" i="39"/>
  <c r="N45" i="39"/>
  <c r="L44" i="43" s="1"/>
  <c r="J132" i="39"/>
  <c r="N57" i="39"/>
  <c r="J137" i="39"/>
  <c r="N42" i="39"/>
  <c r="M42" i="39"/>
  <c r="N54" i="39"/>
  <c r="M54" i="39"/>
  <c r="M16" i="39"/>
  <c r="N16" i="39"/>
  <c r="M25" i="39"/>
  <c r="N25" i="39"/>
  <c r="N59" i="39"/>
  <c r="M59" i="39"/>
  <c r="M38" i="39"/>
  <c r="M55" i="39"/>
  <c r="N55" i="39"/>
  <c r="M36" i="39"/>
  <c r="N36" i="39"/>
  <c r="N14" i="39"/>
  <c r="M14" i="39"/>
  <c r="N43" i="39"/>
  <c r="L97" i="43" s="1"/>
  <c r="M37" i="39"/>
  <c r="N37" i="39"/>
  <c r="M17" i="39"/>
  <c r="N17" i="39"/>
  <c r="N56" i="39"/>
  <c r="L60" i="43" s="1"/>
  <c r="M56" i="39"/>
  <c r="M47" i="39"/>
  <c r="N47" i="39"/>
  <c r="N50" i="39"/>
  <c r="M50" i="39"/>
  <c r="N68" i="39"/>
  <c r="L86" i="43" s="1"/>
  <c r="M68" i="39"/>
  <c r="K86" i="43" s="1"/>
  <c r="M13" i="39"/>
  <c r="N13" i="39"/>
  <c r="J135" i="39"/>
  <c r="M53" i="39"/>
  <c r="N53" i="39"/>
  <c r="N18" i="39"/>
  <c r="M18" i="39"/>
  <c r="N66" i="39"/>
  <c r="M66" i="39"/>
  <c r="N26" i="39"/>
  <c r="M29" i="39"/>
  <c r="N29" i="39"/>
  <c r="J148" i="39"/>
  <c r="M63" i="39"/>
  <c r="K79" i="43" s="1"/>
  <c r="N63" i="39"/>
  <c r="L79" i="43" s="1"/>
  <c r="M21" i="39"/>
  <c r="N21" i="39"/>
  <c r="J131" i="39"/>
  <c r="J130" i="39"/>
  <c r="M41" i="39"/>
  <c r="N41" i="39"/>
  <c r="B10" i="25"/>
  <c r="B11" i="25"/>
  <c r="B12" i="25"/>
  <c r="B13" i="25"/>
  <c r="B14" i="25"/>
  <c r="B15" i="25"/>
  <c r="B16" i="25"/>
  <c r="B17" i="25"/>
  <c r="B18" i="25"/>
  <c r="B19" i="25"/>
  <c r="B20" i="25"/>
  <c r="B21" i="25"/>
  <c r="B22" i="25"/>
  <c r="B23" i="25"/>
  <c r="B24" i="25"/>
  <c r="B25" i="25"/>
  <c r="B26" i="25"/>
  <c r="B27" i="25"/>
  <c r="B28" i="25"/>
  <c r="B29" i="25"/>
  <c r="B30" i="25"/>
  <c r="B31" i="25"/>
  <c r="B32" i="25"/>
  <c r="B33" i="25"/>
  <c r="B34" i="25"/>
  <c r="B35" i="25"/>
  <c r="B36" i="25"/>
  <c r="B37" i="25"/>
  <c r="B38" i="25"/>
  <c r="B39" i="25"/>
  <c r="B40" i="25"/>
  <c r="B41" i="25"/>
  <c r="B42" i="25"/>
  <c r="B43" i="25"/>
  <c r="B44" i="25"/>
  <c r="B45" i="25"/>
  <c r="B46" i="25"/>
  <c r="B47" i="25"/>
  <c r="B48" i="25"/>
  <c r="B49" i="25"/>
  <c r="B50" i="25"/>
  <c r="B51" i="25"/>
  <c r="B52" i="25"/>
  <c r="B53" i="25"/>
  <c r="B54" i="25"/>
  <c r="B55" i="25"/>
  <c r="B56" i="25"/>
  <c r="B57" i="25"/>
  <c r="B58" i="25"/>
  <c r="B59" i="25"/>
  <c r="B60" i="25"/>
  <c r="B61" i="25"/>
  <c r="B62" i="25"/>
  <c r="B63" i="25"/>
  <c r="B64" i="25"/>
  <c r="B65" i="25"/>
  <c r="B66" i="25"/>
  <c r="B67" i="25"/>
  <c r="B68" i="25"/>
  <c r="B69" i="25"/>
  <c r="B70" i="25"/>
  <c r="B71" i="25"/>
  <c r="B72" i="25"/>
  <c r="B73" i="25"/>
  <c r="B74" i="25"/>
  <c r="B75" i="25"/>
  <c r="B76" i="25"/>
  <c r="B77" i="25"/>
  <c r="B78" i="25"/>
  <c r="B79" i="25"/>
  <c r="B80" i="25"/>
  <c r="B81" i="25"/>
  <c r="B82" i="25"/>
  <c r="B83" i="25"/>
  <c r="B84" i="25"/>
  <c r="B85" i="25"/>
  <c r="B86" i="25"/>
  <c r="B87" i="25"/>
  <c r="B88" i="25"/>
  <c r="B89" i="25"/>
  <c r="B90" i="25"/>
  <c r="B91" i="25"/>
  <c r="B92" i="25"/>
  <c r="B93" i="25"/>
  <c r="B94" i="25"/>
  <c r="B10" i="26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L33" i="43" l="1"/>
  <c r="K33" i="43"/>
  <c r="L64" i="43"/>
  <c r="L70" i="43"/>
  <c r="K59" i="43"/>
  <c r="K64" i="43"/>
  <c r="L82" i="43"/>
  <c r="L81" i="43"/>
  <c r="K82" i="43"/>
  <c r="K81" i="43"/>
  <c r="L59" i="43"/>
  <c r="K15" i="43"/>
  <c r="L15" i="43"/>
  <c r="K43" i="43"/>
  <c r="L43" i="43"/>
  <c r="K61" i="43"/>
  <c r="L51" i="43"/>
  <c r="L61" i="43"/>
  <c r="L50" i="43"/>
  <c r="K14" i="43"/>
  <c r="K98" i="43"/>
  <c r="K41" i="43"/>
  <c r="K85" i="43"/>
  <c r="K67" i="43"/>
  <c r="L85" i="43"/>
  <c r="L67" i="43"/>
  <c r="L27" i="43"/>
  <c r="K27" i="43"/>
  <c r="L98" i="43"/>
  <c r="L41" i="43"/>
  <c r="L29" i="43"/>
  <c r="L35" i="43"/>
  <c r="K29" i="43"/>
  <c r="K35" i="43"/>
  <c r="L14" i="43"/>
  <c r="K50" i="43"/>
  <c r="L20" i="43"/>
  <c r="K60" i="43"/>
  <c r="L57" i="43"/>
  <c r="L45" i="43"/>
  <c r="K45" i="43"/>
  <c r="K20" i="43"/>
  <c r="K53" i="43"/>
  <c r="K69" i="43"/>
  <c r="L53" i="43"/>
  <c r="L69" i="43"/>
  <c r="K16" i="43"/>
  <c r="L40" i="43"/>
  <c r="K40" i="43"/>
  <c r="L16" i="43"/>
  <c r="K31" i="43"/>
  <c r="K13" i="43"/>
  <c r="L49" i="43"/>
  <c r="L39" i="43"/>
  <c r="K19" i="43"/>
  <c r="K44" i="43"/>
  <c r="L31" i="43"/>
  <c r="L13" i="43"/>
  <c r="K55" i="43"/>
  <c r="K54" i="43"/>
  <c r="L66" i="43"/>
  <c r="L55" i="43"/>
  <c r="L54" i="43"/>
  <c r="K34" i="43"/>
  <c r="K51" i="43"/>
  <c r="L68" i="43"/>
  <c r="L84" i="43"/>
  <c r="L24" i="43"/>
  <c r="K77" i="43"/>
  <c r="K56" i="43"/>
  <c r="K68" i="43"/>
  <c r="K38" i="43"/>
  <c r="K52" i="43"/>
  <c r="L65" i="43"/>
  <c r="L36" i="43"/>
  <c r="K49" i="43"/>
  <c r="L92" i="43"/>
  <c r="L42" i="43"/>
  <c r="K75" i="43"/>
  <c r="K78" i="43"/>
  <c r="K21" i="43"/>
  <c r="K76" i="43"/>
  <c r="K46" i="43"/>
  <c r="K47" i="43"/>
  <c r="L21" i="43"/>
  <c r="L76" i="43"/>
  <c r="L34" i="43"/>
  <c r="L95" i="43"/>
  <c r="L37" i="43"/>
  <c r="L23" i="43"/>
  <c r="L22" i="43"/>
  <c r="L38" i="43"/>
  <c r="L52" i="43"/>
  <c r="K95" i="43"/>
  <c r="K37" i="43"/>
  <c r="K23" i="43"/>
  <c r="K22" i="43"/>
  <c r="K84" i="43"/>
  <c r="K24" i="43"/>
  <c r="L77" i="43"/>
  <c r="L56" i="43"/>
  <c r="K65" i="43"/>
  <c r="K36" i="43"/>
  <c r="K62" i="43"/>
  <c r="K83" i="43"/>
  <c r="K91" i="43"/>
  <c r="K71" i="43"/>
  <c r="K92" i="43"/>
  <c r="K42" i="43"/>
  <c r="L91" i="43"/>
  <c r="L71" i="43"/>
  <c r="L62" i="43"/>
  <c r="L83" i="43"/>
  <c r="K28" i="43"/>
  <c r="K63" i="43"/>
  <c r="L72" i="43"/>
  <c r="L30" i="43"/>
  <c r="K90" i="43"/>
  <c r="K26" i="43"/>
  <c r="L28" i="43"/>
  <c r="L63" i="43"/>
  <c r="K57" i="43"/>
  <c r="L19" i="43"/>
  <c r="L73" i="43"/>
  <c r="L17" i="43"/>
  <c r="K72" i="43"/>
  <c r="K30" i="43"/>
  <c r="L90" i="43"/>
  <c r="L26" i="43"/>
  <c r="L48" i="43"/>
  <c r="L58" i="43"/>
  <c r="L74" i="43"/>
  <c r="L25" i="43"/>
  <c r="K73" i="43"/>
  <c r="K17" i="43"/>
  <c r="L12" i="43"/>
  <c r="L18" i="43"/>
  <c r="L75" i="43"/>
  <c r="L78" i="43"/>
  <c r="K48" i="43"/>
  <c r="K58" i="43"/>
  <c r="L46" i="43"/>
  <c r="L47" i="43"/>
  <c r="K74" i="43"/>
  <c r="K25" i="43"/>
  <c r="K66" i="43"/>
  <c r="K32" i="43"/>
  <c r="K39" i="43"/>
  <c r="K12" i="43"/>
  <c r="K18" i="43"/>
  <c r="Q31" i="39"/>
  <c r="L32" i="43"/>
  <c r="B50" i="40"/>
  <c r="P59" i="39"/>
  <c r="N69" i="43" s="1"/>
  <c r="Q59" i="39"/>
  <c r="O69" i="43" s="1"/>
  <c r="P10" i="39"/>
  <c r="N11" i="43" s="1"/>
  <c r="K10" i="43"/>
  <c r="Q10" i="39"/>
  <c r="O11" i="43" s="1"/>
  <c r="P31" i="39"/>
  <c r="L10" i="43"/>
  <c r="P33" i="39"/>
  <c r="P57" i="39"/>
  <c r="N70" i="43" s="1"/>
  <c r="Q21" i="39"/>
  <c r="P25" i="39"/>
  <c r="Q11" i="39"/>
  <c r="P21" i="39"/>
  <c r="Q18" i="39"/>
  <c r="Q47" i="39"/>
  <c r="Q14" i="39"/>
  <c r="Q16" i="39"/>
  <c r="P11" i="39"/>
  <c r="Q36" i="39"/>
  <c r="P50" i="39"/>
  <c r="Q25" i="39"/>
  <c r="P18" i="39"/>
  <c r="Q53" i="39"/>
  <c r="P43" i="39"/>
  <c r="N97" i="43" s="1"/>
  <c r="P47" i="39"/>
  <c r="P63" i="39"/>
  <c r="N79" i="43" s="1"/>
  <c r="P53" i="39"/>
  <c r="P56" i="39"/>
  <c r="P36" i="39"/>
  <c r="P54" i="39"/>
  <c r="Q56" i="39"/>
  <c r="Q55" i="39"/>
  <c r="Q54" i="39"/>
  <c r="Q12" i="39"/>
  <c r="Q29" i="39"/>
  <c r="Q13" i="39"/>
  <c r="Q17" i="39"/>
  <c r="P55" i="39"/>
  <c r="P42" i="39"/>
  <c r="Q38" i="39"/>
  <c r="P66" i="39"/>
  <c r="Q68" i="39"/>
  <c r="O86" i="43" s="1"/>
  <c r="P37" i="39"/>
  <c r="Q66" i="39"/>
  <c r="Q43" i="39"/>
  <c r="O97" i="43" s="1"/>
  <c r="P45" i="39"/>
  <c r="N44" i="43" s="1"/>
  <c r="Q50" i="39"/>
  <c r="P14" i="39"/>
  <c r="Q45" i="39"/>
  <c r="Q63" i="39"/>
  <c r="O79" i="43" s="1"/>
  <c r="P16" i="39"/>
  <c r="P12" i="39"/>
  <c r="Q41" i="39"/>
  <c r="P29" i="39"/>
  <c r="P13" i="39"/>
  <c r="P17" i="39"/>
  <c r="P38" i="39"/>
  <c r="Q42" i="39"/>
  <c r="P26" i="39"/>
  <c r="P41" i="39"/>
  <c r="Q26" i="39"/>
  <c r="P68" i="39"/>
  <c r="N86" i="43" s="1"/>
  <c r="Q37" i="39"/>
  <c r="Q33" i="39"/>
  <c r="Q57" i="39"/>
  <c r="O70" i="43" s="1"/>
  <c r="N61" i="43" l="1"/>
  <c r="N82" i="43"/>
  <c r="N81" i="43"/>
  <c r="N33" i="43"/>
  <c r="O64" i="43"/>
  <c r="O15" i="43"/>
  <c r="O33" i="43"/>
  <c r="O82" i="43"/>
  <c r="O81" i="43"/>
  <c r="O35" i="43"/>
  <c r="O43" i="43"/>
  <c r="N15" i="43"/>
  <c r="N43" i="43"/>
  <c r="N64" i="43"/>
  <c r="O61" i="43"/>
  <c r="O14" i="43"/>
  <c r="N27" i="43"/>
  <c r="O27" i="43"/>
  <c r="N59" i="43"/>
  <c r="O85" i="43"/>
  <c r="O67" i="43"/>
  <c r="N85" i="43"/>
  <c r="N67" i="43"/>
  <c r="O98" i="43"/>
  <c r="O41" i="43"/>
  <c r="N98" i="43"/>
  <c r="N41" i="43"/>
  <c r="O59" i="43"/>
  <c r="N29" i="43"/>
  <c r="N35" i="43"/>
  <c r="N14" i="43"/>
  <c r="O20" i="43"/>
  <c r="O60" i="43"/>
  <c r="N60" i="43"/>
  <c r="O45" i="43"/>
  <c r="N45" i="43"/>
  <c r="O50" i="43"/>
  <c r="N50" i="43"/>
  <c r="N20" i="43"/>
  <c r="O29" i="43"/>
  <c r="N49" i="43"/>
  <c r="O40" i="43"/>
  <c r="N40" i="43"/>
  <c r="O16" i="43"/>
  <c r="N16" i="43"/>
  <c r="N55" i="43"/>
  <c r="N54" i="43"/>
  <c r="O19" i="43"/>
  <c r="O44" i="43"/>
  <c r="N66" i="43"/>
  <c r="N34" i="43"/>
  <c r="N51" i="43"/>
  <c r="O31" i="43"/>
  <c r="O13" i="43"/>
  <c r="O55" i="43"/>
  <c r="O54" i="43"/>
  <c r="O34" i="43"/>
  <c r="O51" i="43"/>
  <c r="N31" i="43"/>
  <c r="N13" i="43"/>
  <c r="O66" i="43"/>
  <c r="N38" i="43"/>
  <c r="N52" i="43"/>
  <c r="O75" i="43"/>
  <c r="O78" i="43"/>
  <c r="N28" i="43"/>
  <c r="N63" i="43"/>
  <c r="O72" i="43"/>
  <c r="O30" i="43"/>
  <c r="O68" i="43"/>
  <c r="N65" i="43"/>
  <c r="N36" i="43"/>
  <c r="N77" i="43"/>
  <c r="N56" i="43"/>
  <c r="N46" i="43"/>
  <c r="N47" i="43"/>
  <c r="O46" i="43"/>
  <c r="O47" i="43"/>
  <c r="N91" i="43"/>
  <c r="N71" i="43"/>
  <c r="N84" i="43"/>
  <c r="N24" i="43"/>
  <c r="N19" i="43"/>
  <c r="O23" i="43"/>
  <c r="O22" i="43"/>
  <c r="O77" i="43"/>
  <c r="O56" i="43"/>
  <c r="N21" i="43"/>
  <c r="N76" i="43"/>
  <c r="N73" i="43"/>
  <c r="N17" i="43"/>
  <c r="N92" i="43"/>
  <c r="N42" i="43"/>
  <c r="O32" i="43"/>
  <c r="O39" i="43"/>
  <c r="O28" i="43"/>
  <c r="O63" i="43"/>
  <c r="O74" i="43"/>
  <c r="O25" i="43"/>
  <c r="N75" i="43"/>
  <c r="N78" i="43"/>
  <c r="O84" i="43"/>
  <c r="O24" i="43"/>
  <c r="O91" i="43"/>
  <c r="O71" i="43"/>
  <c r="N23" i="43"/>
  <c r="N22" i="43"/>
  <c r="O95" i="43"/>
  <c r="O37" i="43"/>
  <c r="N48" i="43"/>
  <c r="N58" i="43"/>
  <c r="O48" i="43"/>
  <c r="O58" i="43"/>
  <c r="O12" i="43"/>
  <c r="O18" i="43"/>
  <c r="N32" i="43"/>
  <c r="N39" i="43"/>
  <c r="O90" i="43"/>
  <c r="O26" i="43"/>
  <c r="O92" i="43"/>
  <c r="O42" i="43"/>
  <c r="N95" i="43"/>
  <c r="N37" i="43"/>
  <c r="O38" i="43"/>
  <c r="O52" i="43"/>
  <c r="N72" i="43"/>
  <c r="N30" i="43"/>
  <c r="N12" i="43"/>
  <c r="N18" i="43"/>
  <c r="O49" i="43"/>
  <c r="N90" i="43"/>
  <c r="N26" i="43"/>
  <c r="O73" i="43"/>
  <c r="O17" i="43"/>
  <c r="O53" i="43"/>
  <c r="N68" i="43"/>
  <c r="O62" i="43"/>
  <c r="O83" i="43"/>
  <c r="O65" i="43"/>
  <c r="O36" i="43"/>
  <c r="N74" i="43"/>
  <c r="N25" i="43"/>
  <c r="N62" i="43"/>
  <c r="N83" i="43"/>
  <c r="O21" i="43"/>
  <c r="O76" i="43"/>
  <c r="O57" i="43"/>
  <c r="N57" i="43"/>
  <c r="N53" i="43"/>
  <c r="B51" i="40"/>
  <c r="O10" i="43"/>
  <c r="N10" i="43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B64" i="29"/>
  <c r="B65" i="29"/>
  <c r="B66" i="29"/>
  <c r="B67" i="29"/>
  <c r="B68" i="29"/>
  <c r="B69" i="29"/>
  <c r="B70" i="29"/>
  <c r="B71" i="29"/>
  <c r="B72" i="29"/>
  <c r="B73" i="29"/>
  <c r="B74" i="29"/>
  <c r="B75" i="29"/>
  <c r="B76" i="29"/>
  <c r="B77" i="29"/>
  <c r="B78" i="29"/>
  <c r="B79" i="29"/>
  <c r="B80" i="29"/>
  <c r="B81" i="29"/>
  <c r="B82" i="29"/>
  <c r="B83" i="29"/>
  <c r="B84" i="29"/>
  <c r="B85" i="29"/>
  <c r="B86" i="29"/>
  <c r="B87" i="29"/>
  <c r="B88" i="29"/>
  <c r="B89" i="29"/>
  <c r="B90" i="29"/>
  <c r="B91" i="29"/>
  <c r="B92" i="29"/>
  <c r="B93" i="29"/>
  <c r="B94" i="29"/>
  <c r="B10" i="30"/>
  <c r="B11" i="30"/>
  <c r="B12" i="30"/>
  <c r="B13" i="30"/>
  <c r="B14" i="30"/>
  <c r="B15" i="30"/>
  <c r="B16" i="30"/>
  <c r="B17" i="30"/>
  <c r="B18" i="30"/>
  <c r="B19" i="30"/>
  <c r="B20" i="30"/>
  <c r="B21" i="30"/>
  <c r="B22" i="30"/>
  <c r="B23" i="30"/>
  <c r="B24" i="30"/>
  <c r="B25" i="30"/>
  <c r="B26" i="30"/>
  <c r="B27" i="30"/>
  <c r="B28" i="30"/>
  <c r="B29" i="30"/>
  <c r="B30" i="30"/>
  <c r="B31" i="30"/>
  <c r="B32" i="30"/>
  <c r="B33" i="30"/>
  <c r="B34" i="30"/>
  <c r="B35" i="30"/>
  <c r="B36" i="30"/>
  <c r="B37" i="30"/>
  <c r="B38" i="30"/>
  <c r="B39" i="30"/>
  <c r="B40" i="30"/>
  <c r="B41" i="30"/>
  <c r="B42" i="30"/>
  <c r="B43" i="30"/>
  <c r="B44" i="30"/>
  <c r="B45" i="30"/>
  <c r="B46" i="30"/>
  <c r="B47" i="30"/>
  <c r="B48" i="30"/>
  <c r="B49" i="30"/>
  <c r="B50" i="30"/>
  <c r="B51" i="30"/>
  <c r="B52" i="30"/>
  <c r="B53" i="30"/>
  <c r="B54" i="30"/>
  <c r="B55" i="30"/>
  <c r="B56" i="30"/>
  <c r="B57" i="30"/>
  <c r="B58" i="30"/>
  <c r="B59" i="30"/>
  <c r="B60" i="30"/>
  <c r="B61" i="30"/>
  <c r="B62" i="30"/>
  <c r="B63" i="30"/>
  <c r="B64" i="30"/>
  <c r="B65" i="30"/>
  <c r="B66" i="30"/>
  <c r="B67" i="30"/>
  <c r="B68" i="30"/>
  <c r="B69" i="30"/>
  <c r="B70" i="30"/>
  <c r="B71" i="30"/>
  <c r="B72" i="30"/>
  <c r="B73" i="30"/>
  <c r="B74" i="30"/>
  <c r="B75" i="30"/>
  <c r="B76" i="30"/>
  <c r="B77" i="30"/>
  <c r="B78" i="30"/>
  <c r="B79" i="30"/>
  <c r="B80" i="30"/>
  <c r="B81" i="30"/>
  <c r="B82" i="30"/>
  <c r="B83" i="30"/>
  <c r="B84" i="30"/>
  <c r="B85" i="30"/>
  <c r="B86" i="30"/>
  <c r="B87" i="30"/>
  <c r="B88" i="30"/>
  <c r="B89" i="30"/>
  <c r="B90" i="30"/>
  <c r="B91" i="30"/>
  <c r="B92" i="30"/>
  <c r="B93" i="30"/>
  <c r="B94" i="30"/>
  <c r="B95" i="30"/>
  <c r="B10" i="32"/>
  <c r="B11" i="32"/>
  <c r="B12" i="32"/>
  <c r="B13" i="32"/>
  <c r="B14" i="32"/>
  <c r="B15" i="32"/>
  <c r="B16" i="32"/>
  <c r="B17" i="32"/>
  <c r="B18" i="32"/>
  <c r="B19" i="32"/>
  <c r="B20" i="32"/>
  <c r="B21" i="32"/>
  <c r="B22" i="32"/>
  <c r="B23" i="32"/>
  <c r="B24" i="32"/>
  <c r="B25" i="32"/>
  <c r="B26" i="32"/>
  <c r="B27" i="32"/>
  <c r="B28" i="32"/>
  <c r="B29" i="32"/>
  <c r="B30" i="32"/>
  <c r="B31" i="32"/>
  <c r="B32" i="32"/>
  <c r="B33" i="32"/>
  <c r="B34" i="32"/>
  <c r="B35" i="32"/>
  <c r="B36" i="32"/>
  <c r="B37" i="32"/>
  <c r="B38" i="32"/>
  <c r="B39" i="32"/>
  <c r="B40" i="32"/>
  <c r="B41" i="32"/>
  <c r="B42" i="32"/>
  <c r="B43" i="32"/>
  <c r="B44" i="32"/>
  <c r="B45" i="32"/>
  <c r="B46" i="32"/>
  <c r="B47" i="32"/>
  <c r="B48" i="32"/>
  <c r="B49" i="32"/>
  <c r="B50" i="32"/>
  <c r="B51" i="32"/>
  <c r="B52" i="32"/>
  <c r="B53" i="32"/>
  <c r="B54" i="32"/>
  <c r="B55" i="32"/>
  <c r="B56" i="32"/>
  <c r="B57" i="32"/>
  <c r="B58" i="32"/>
  <c r="B59" i="32"/>
  <c r="B60" i="32"/>
  <c r="B61" i="32"/>
  <c r="B62" i="32"/>
  <c r="B63" i="32"/>
  <c r="B64" i="32"/>
  <c r="B65" i="32"/>
  <c r="B66" i="32"/>
  <c r="B67" i="32"/>
  <c r="B68" i="32"/>
  <c r="B69" i="32"/>
  <c r="B70" i="32"/>
  <c r="B71" i="32"/>
  <c r="B72" i="32"/>
  <c r="B73" i="32"/>
  <c r="B74" i="32"/>
  <c r="B75" i="32"/>
  <c r="B76" i="32"/>
  <c r="B77" i="32"/>
  <c r="B78" i="32"/>
  <c r="B79" i="32"/>
  <c r="B80" i="32"/>
  <c r="B81" i="32"/>
  <c r="B82" i="32"/>
  <c r="B83" i="32"/>
  <c r="B84" i="32"/>
  <c r="B85" i="32"/>
  <c r="B86" i="32"/>
  <c r="B87" i="32"/>
  <c r="B88" i="32"/>
  <c r="B89" i="32"/>
  <c r="B90" i="32"/>
  <c r="B91" i="32"/>
  <c r="B92" i="32"/>
  <c r="B93" i="32"/>
  <c r="B94" i="32"/>
  <c r="B95" i="32"/>
  <c r="B96" i="32"/>
  <c r="B52" i="40" l="1"/>
  <c r="B53" i="40" l="1"/>
  <c r="B54" i="40" l="1"/>
  <c r="B55" i="40" l="1"/>
  <c r="B56" i="40" l="1"/>
  <c r="B57" i="40" l="1"/>
  <c r="B58" i="40" l="1"/>
  <c r="B59" i="40" l="1"/>
  <c r="B60" i="40" l="1"/>
  <c r="B61" i="40" l="1"/>
  <c r="B62" i="40" l="1"/>
  <c r="B63" i="40" l="1"/>
  <c r="B64" i="40" l="1"/>
  <c r="B65" i="40" l="1"/>
  <c r="B66" i="40" l="1"/>
  <c r="B67" i="40" l="1"/>
  <c r="B68" i="40" l="1"/>
  <c r="B69" i="40" l="1"/>
  <c r="B70" i="40" l="1"/>
  <c r="B71" i="40" l="1"/>
  <c r="B72" i="40" l="1"/>
  <c r="B73" i="40" l="1"/>
  <c r="B74" i="40" l="1"/>
  <c r="B75" i="40" l="1"/>
  <c r="B76" i="40" l="1"/>
  <c r="B77" i="40" l="1"/>
  <c r="B78" i="40" l="1"/>
  <c r="B79" i="40" l="1"/>
  <c r="B80" i="40" l="1"/>
  <c r="B81" i="40" l="1"/>
  <c r="B82" i="40" l="1"/>
  <c r="B83" i="40" l="1"/>
  <c r="B84" i="40" l="1"/>
  <c r="B85" i="40" l="1"/>
  <c r="B86" i="40" l="1"/>
  <c r="B87" i="40" l="1"/>
  <c r="B88" i="40" l="1"/>
  <c r="B89" i="40" l="1"/>
  <c r="B90" i="40" l="1"/>
  <c r="B91" i="40" l="1"/>
  <c r="B92" i="40" l="1"/>
  <c r="E92" i="40"/>
  <c r="E83" i="40"/>
  <c r="E73" i="40"/>
  <c r="E58" i="40"/>
  <c r="E57" i="40"/>
  <c r="E55" i="40"/>
  <c r="E54" i="40"/>
  <c r="E50" i="40"/>
  <c r="E36" i="40"/>
  <c r="E34" i="40"/>
  <c r="E32" i="40"/>
  <c r="E30" i="40"/>
  <c r="E28" i="40"/>
  <c r="E26" i="40"/>
  <c r="E24" i="40"/>
  <c r="E23" i="40"/>
  <c r="E22" i="40"/>
  <c r="E18" i="40"/>
  <c r="E16" i="40"/>
  <c r="E15" i="40"/>
  <c r="E14" i="40"/>
  <c r="E10" i="40"/>
  <c r="E8" i="40"/>
  <c r="E6" i="40"/>
  <c r="E44" i="40"/>
  <c r="I44" i="40" s="1"/>
  <c r="J44" i="40" s="1"/>
  <c r="E74" i="40"/>
  <c r="G74" i="40" s="1"/>
  <c r="E25" i="40"/>
  <c r="F25" i="40" s="1"/>
  <c r="E75" i="40"/>
  <c r="G75" i="40" s="1"/>
  <c r="E66" i="40"/>
  <c r="F66" i="40" s="1"/>
  <c r="E17" i="40"/>
  <c r="I17" i="40" s="1"/>
  <c r="J17" i="40" s="1"/>
  <c r="E47" i="40"/>
  <c r="H47" i="40" s="1"/>
  <c r="E77" i="40"/>
  <c r="F77" i="40" s="1"/>
  <c r="E68" i="40"/>
  <c r="I68" i="40" s="1"/>
  <c r="J68" i="40" s="1"/>
  <c r="E29" i="40"/>
  <c r="F29" i="40" s="1"/>
  <c r="E49" i="40"/>
  <c r="I49" i="40" s="1"/>
  <c r="J49" i="40" s="1"/>
  <c r="E79" i="40"/>
  <c r="G79" i="40" s="1"/>
  <c r="E60" i="40"/>
  <c r="G60" i="40" s="1"/>
  <c r="E13" i="40"/>
  <c r="F13" i="40" s="1"/>
  <c r="E33" i="40"/>
  <c r="I33" i="40" s="1"/>
  <c r="J33" i="40" s="1"/>
  <c r="E43" i="40"/>
  <c r="H43" i="40" s="1"/>
  <c r="E53" i="40"/>
  <c r="I53" i="40" s="1"/>
  <c r="J53" i="40" s="1"/>
  <c r="F53" i="40"/>
  <c r="E63" i="40"/>
  <c r="H63" i="40" s="1"/>
  <c r="E86" i="40"/>
  <c r="I86" i="40" s="1"/>
  <c r="J86" i="40" s="1"/>
  <c r="E87" i="40"/>
  <c r="I87" i="40" s="1"/>
  <c r="J87" i="40" s="1"/>
  <c r="E88" i="40"/>
  <c r="I88" i="40" s="1"/>
  <c r="J88" i="40" s="1"/>
  <c r="E89" i="40"/>
  <c r="G89" i="40" s="1"/>
  <c r="E90" i="40"/>
  <c r="H90" i="40" s="1"/>
  <c r="E84" i="40"/>
  <c r="H84" i="40" s="1"/>
  <c r="E45" i="40"/>
  <c r="H45" i="40" s="1"/>
  <c r="E85" i="40"/>
  <c r="G85" i="40" s="1"/>
  <c r="E56" i="40"/>
  <c r="F56" i="40" s="1"/>
  <c r="E27" i="40"/>
  <c r="F27" i="40" s="1"/>
  <c r="E67" i="40"/>
  <c r="I67" i="40" s="1"/>
  <c r="J67" i="40" s="1"/>
  <c r="E38" i="40"/>
  <c r="I38" i="40" s="1"/>
  <c r="J38" i="40" s="1"/>
  <c r="E19" i="40"/>
  <c r="F19" i="40" s="1"/>
  <c r="E69" i="40"/>
  <c r="I69" i="40" s="1"/>
  <c r="J69" i="40" s="1"/>
  <c r="E20" i="40"/>
  <c r="I20" i="40" s="1"/>
  <c r="J20" i="40" s="1"/>
  <c r="E40" i="40"/>
  <c r="G40" i="40" s="1"/>
  <c r="E80" i="40"/>
  <c r="I80" i="40" s="1"/>
  <c r="J80" i="40" s="1"/>
  <c r="E11" i="40"/>
  <c r="H11" i="40" s="1"/>
  <c r="E21" i="40"/>
  <c r="I21" i="40" s="1"/>
  <c r="J21" i="40" s="1"/>
  <c r="E31" i="40"/>
  <c r="F31" i="40" s="1"/>
  <c r="E41" i="40"/>
  <c r="F41" i="40" s="1"/>
  <c r="E51" i="40"/>
  <c r="I51" i="40" s="1"/>
  <c r="J51" i="40" s="1"/>
  <c r="E61" i="40"/>
  <c r="F61" i="40" s="1"/>
  <c r="E71" i="40"/>
  <c r="H71" i="40" s="1"/>
  <c r="E81" i="40"/>
  <c r="G81" i="40" s="1"/>
  <c r="E91" i="40"/>
  <c r="F91" i="40" s="1"/>
  <c r="E64" i="40"/>
  <c r="F64" i="40" s="1"/>
  <c r="E35" i="40"/>
  <c r="I35" i="40" s="1"/>
  <c r="J35" i="40" s="1"/>
  <c r="E65" i="40"/>
  <c r="I65" i="40" s="1"/>
  <c r="J65" i="40" s="1"/>
  <c r="E46" i="40"/>
  <c r="I46" i="40" s="1"/>
  <c r="J46" i="40" s="1"/>
  <c r="E76" i="40"/>
  <c r="H76" i="40" s="1"/>
  <c r="E7" i="40"/>
  <c r="I7" i="40" s="1"/>
  <c r="J7" i="40" s="1"/>
  <c r="E37" i="40"/>
  <c r="I37" i="40" s="1"/>
  <c r="J37" i="40" s="1"/>
  <c r="E48" i="40"/>
  <c r="I48" i="40" s="1"/>
  <c r="J48" i="40" s="1"/>
  <c r="E78" i="40"/>
  <c r="G78" i="40" s="1"/>
  <c r="E9" i="40"/>
  <c r="I9" i="40" s="1"/>
  <c r="J9" i="40" s="1"/>
  <c r="E39" i="40"/>
  <c r="I39" i="40" s="1"/>
  <c r="J39" i="40" s="1"/>
  <c r="E59" i="40"/>
  <c r="F59" i="40" s="1"/>
  <c r="E70" i="40"/>
  <c r="G70" i="40" s="1"/>
  <c r="E12" i="40"/>
  <c r="I12" i="40" s="1"/>
  <c r="J12" i="40" s="1"/>
  <c r="E42" i="40"/>
  <c r="I42" i="40" s="1"/>
  <c r="J42" i="40" s="1"/>
  <c r="E52" i="40"/>
  <c r="F52" i="40" s="1"/>
  <c r="E62" i="40"/>
  <c r="H62" i="40" s="1"/>
  <c r="E72" i="40"/>
  <c r="G72" i="40" s="1"/>
  <c r="E82" i="40"/>
  <c r="I82" i="40" s="1"/>
  <c r="J82" i="40" s="1"/>
  <c r="G37" i="40" l="1"/>
  <c r="F67" i="40"/>
  <c r="H12" i="40"/>
  <c r="G67" i="40"/>
  <c r="G80" i="40"/>
  <c r="H68" i="40"/>
  <c r="H81" i="40"/>
  <c r="H52" i="40"/>
  <c r="I52" i="40"/>
  <c r="J52" i="40" s="1"/>
  <c r="H38" i="40"/>
  <c r="G7" i="40"/>
  <c r="H39" i="40"/>
  <c r="K39" i="40" s="1"/>
  <c r="F85" i="40"/>
  <c r="G68" i="40"/>
  <c r="F74" i="40"/>
  <c r="I85" i="40"/>
  <c r="J85" i="40" s="1"/>
  <c r="G9" i="40"/>
  <c r="F68" i="40"/>
  <c r="F42" i="40"/>
  <c r="H48" i="40"/>
  <c r="K48" i="40" s="1"/>
  <c r="H72" i="40"/>
  <c r="H75" i="40"/>
  <c r="F82" i="40"/>
  <c r="G48" i="40"/>
  <c r="I31" i="40"/>
  <c r="J31" i="40" s="1"/>
  <c r="H37" i="40"/>
  <c r="K37" i="40" s="1"/>
  <c r="F38" i="40"/>
  <c r="H85" i="40"/>
  <c r="H13" i="40"/>
  <c r="G82" i="40"/>
  <c r="G42" i="40"/>
  <c r="G84" i="40"/>
  <c r="H53" i="40"/>
  <c r="K53" i="40" s="1"/>
  <c r="H79" i="40"/>
  <c r="F47" i="40"/>
  <c r="H51" i="40"/>
  <c r="K51" i="40" s="1"/>
  <c r="G53" i="40"/>
  <c r="I79" i="40"/>
  <c r="J79" i="40" s="1"/>
  <c r="H27" i="40"/>
  <c r="F43" i="40"/>
  <c r="I13" i="40"/>
  <c r="J13" i="40" s="1"/>
  <c r="F37" i="40"/>
  <c r="H31" i="40"/>
  <c r="G38" i="40"/>
  <c r="G13" i="40"/>
  <c r="K68" i="40"/>
  <c r="F75" i="40"/>
  <c r="H82" i="40"/>
  <c r="K82" i="40" s="1"/>
  <c r="G39" i="40"/>
  <c r="F48" i="40"/>
  <c r="F46" i="40"/>
  <c r="H64" i="40"/>
  <c r="G61" i="40"/>
  <c r="H21" i="40"/>
  <c r="K21" i="40" s="1"/>
  <c r="F20" i="40"/>
  <c r="F88" i="40"/>
  <c r="H46" i="40"/>
  <c r="K46" i="40" s="1"/>
  <c r="G64" i="40"/>
  <c r="H20" i="40"/>
  <c r="K20" i="40" s="1"/>
  <c r="H42" i="40"/>
  <c r="K42" i="40" s="1"/>
  <c r="F39" i="40"/>
  <c r="H65" i="40"/>
  <c r="K65" i="40" s="1"/>
  <c r="H91" i="40"/>
  <c r="H61" i="40"/>
  <c r="H69" i="40"/>
  <c r="K69" i="40" s="1"/>
  <c r="H67" i="40"/>
  <c r="K67" i="40" s="1"/>
  <c r="H86" i="40"/>
  <c r="K86" i="40" s="1"/>
  <c r="H49" i="40"/>
  <c r="K49" i="40" s="1"/>
  <c r="I59" i="40"/>
  <c r="J59" i="40" s="1"/>
  <c r="I64" i="40"/>
  <c r="J64" i="40" s="1"/>
  <c r="K12" i="40"/>
  <c r="G86" i="40"/>
  <c r="G33" i="40"/>
  <c r="F17" i="40"/>
  <c r="F65" i="40"/>
  <c r="F51" i="40"/>
  <c r="H80" i="40"/>
  <c r="K80" i="40" s="1"/>
  <c r="F86" i="40"/>
  <c r="G44" i="40"/>
  <c r="G65" i="40"/>
  <c r="G91" i="40"/>
  <c r="G52" i="40"/>
  <c r="G59" i="40"/>
  <c r="H35" i="40"/>
  <c r="K35" i="40" s="1"/>
  <c r="I91" i="40"/>
  <c r="J91" i="40" s="1"/>
  <c r="F80" i="40"/>
  <c r="K38" i="40"/>
  <c r="G90" i="40"/>
  <c r="I66" i="40"/>
  <c r="J66" i="40" s="1"/>
  <c r="I75" i="40"/>
  <c r="J75" i="40" s="1"/>
  <c r="K75" i="40" s="1"/>
  <c r="F89" i="40"/>
  <c r="H59" i="40"/>
  <c r="G46" i="40"/>
  <c r="G20" i="40"/>
  <c r="I11" i="40"/>
  <c r="J11" i="40" s="1"/>
  <c r="K11" i="40" s="1"/>
  <c r="H58" i="40"/>
  <c r="F58" i="40"/>
  <c r="G58" i="40"/>
  <c r="I58" i="40"/>
  <c r="J58" i="40" s="1"/>
  <c r="I22" i="40"/>
  <c r="J22" i="40" s="1"/>
  <c r="F22" i="40"/>
  <c r="G22" i="40"/>
  <c r="H22" i="40"/>
  <c r="F32" i="40"/>
  <c r="H32" i="40"/>
  <c r="I32" i="40"/>
  <c r="J32" i="40" s="1"/>
  <c r="G32" i="40"/>
  <c r="F50" i="40"/>
  <c r="H50" i="40"/>
  <c r="G50" i="40"/>
  <c r="I50" i="40"/>
  <c r="J50" i="40" s="1"/>
  <c r="F34" i="40"/>
  <c r="G34" i="40"/>
  <c r="I34" i="40"/>
  <c r="J34" i="40" s="1"/>
  <c r="H34" i="40"/>
  <c r="F6" i="40"/>
  <c r="I6" i="40"/>
  <c r="J6" i="40" s="1"/>
  <c r="H6" i="40"/>
  <c r="G6" i="40"/>
  <c r="F24" i="40"/>
  <c r="G24" i="40"/>
  <c r="H24" i="40"/>
  <c r="I24" i="40"/>
  <c r="J24" i="40" s="1"/>
  <c r="H15" i="40"/>
  <c r="F15" i="40"/>
  <c r="G15" i="40"/>
  <c r="I15" i="40"/>
  <c r="J15" i="40" s="1"/>
  <c r="H8" i="40"/>
  <c r="F8" i="40"/>
  <c r="G8" i="40"/>
  <c r="I8" i="40"/>
  <c r="J8" i="40" s="1"/>
  <c r="I16" i="40"/>
  <c r="J16" i="40" s="1"/>
  <c r="F16" i="40"/>
  <c r="H16" i="40"/>
  <c r="G16" i="40"/>
  <c r="I26" i="40"/>
  <c r="J26" i="40" s="1"/>
  <c r="H26" i="40"/>
  <c r="F26" i="40"/>
  <c r="G26" i="40"/>
  <c r="I36" i="40"/>
  <c r="J36" i="40" s="1"/>
  <c r="G36" i="40"/>
  <c r="H36" i="40"/>
  <c r="F36" i="40"/>
  <c r="I54" i="40"/>
  <c r="J54" i="40" s="1"/>
  <c r="H54" i="40"/>
  <c r="F54" i="40"/>
  <c r="G54" i="40"/>
  <c r="I10" i="40"/>
  <c r="J10" i="40" s="1"/>
  <c r="H10" i="40"/>
  <c r="F10" i="40"/>
  <c r="G10" i="40"/>
  <c r="G18" i="40"/>
  <c r="F18" i="40"/>
  <c r="I18" i="40"/>
  <c r="J18" i="40" s="1"/>
  <c r="H18" i="40"/>
  <c r="F28" i="40"/>
  <c r="I28" i="40"/>
  <c r="J28" i="40" s="1"/>
  <c r="G28" i="40"/>
  <c r="H28" i="40"/>
  <c r="I55" i="40"/>
  <c r="J55" i="40" s="1"/>
  <c r="G55" i="40"/>
  <c r="H55" i="40"/>
  <c r="F55" i="40"/>
  <c r="G92" i="40"/>
  <c r="F92" i="40"/>
  <c r="I92" i="40"/>
  <c r="J92" i="40" s="1"/>
  <c r="H92" i="40"/>
  <c r="I73" i="40"/>
  <c r="J73" i="40" s="1"/>
  <c r="G73" i="40"/>
  <c r="H73" i="40"/>
  <c r="F73" i="40"/>
  <c r="F14" i="40"/>
  <c r="H14" i="40"/>
  <c r="G14" i="40"/>
  <c r="I14" i="40"/>
  <c r="J14" i="40" s="1"/>
  <c r="G23" i="40"/>
  <c r="I23" i="40"/>
  <c r="J23" i="40" s="1"/>
  <c r="F23" i="40"/>
  <c r="H23" i="40"/>
  <c r="F30" i="40"/>
  <c r="G30" i="40"/>
  <c r="H30" i="40"/>
  <c r="I30" i="40"/>
  <c r="J30" i="40" s="1"/>
  <c r="F57" i="40"/>
  <c r="G57" i="40"/>
  <c r="H57" i="40"/>
  <c r="I57" i="40"/>
  <c r="J57" i="40" s="1"/>
  <c r="F83" i="40"/>
  <c r="G83" i="40"/>
  <c r="H83" i="40"/>
  <c r="I83" i="40"/>
  <c r="J83" i="40" s="1"/>
  <c r="G62" i="40"/>
  <c r="F70" i="40"/>
  <c r="F12" i="40"/>
  <c r="F81" i="40"/>
  <c r="G11" i="40"/>
  <c r="F62" i="40"/>
  <c r="H70" i="40"/>
  <c r="F78" i="40"/>
  <c r="F76" i="40"/>
  <c r="G71" i="40"/>
  <c r="G51" i="40"/>
  <c r="F11" i="40"/>
  <c r="H19" i="40"/>
  <c r="H56" i="40"/>
  <c r="I90" i="40"/>
  <c r="J90" i="40" s="1"/>
  <c r="K90" i="40" s="1"/>
  <c r="H88" i="40"/>
  <c r="K88" i="40" s="1"/>
  <c r="F87" i="40"/>
  <c r="F33" i="40"/>
  <c r="H29" i="40"/>
  <c r="G17" i="40"/>
  <c r="H66" i="40"/>
  <c r="F44" i="40"/>
  <c r="I19" i="40"/>
  <c r="J19" i="40" s="1"/>
  <c r="I45" i="40"/>
  <c r="J45" i="40" s="1"/>
  <c r="K45" i="40" s="1"/>
  <c r="I62" i="40"/>
  <c r="J62" i="40" s="1"/>
  <c r="K62" i="40" s="1"/>
  <c r="I70" i="40"/>
  <c r="J70" i="40" s="1"/>
  <c r="I74" i="40"/>
  <c r="J74" i="40" s="1"/>
  <c r="I60" i="40"/>
  <c r="J60" i="40" s="1"/>
  <c r="F71" i="40"/>
  <c r="G41" i="40"/>
  <c r="G31" i="40"/>
  <c r="F40" i="40"/>
  <c r="G19" i="40"/>
  <c r="G56" i="40"/>
  <c r="F45" i="40"/>
  <c r="F90" i="40"/>
  <c r="G88" i="40"/>
  <c r="G63" i="40"/>
  <c r="H33" i="40"/>
  <c r="K33" i="40" s="1"/>
  <c r="F60" i="40"/>
  <c r="F79" i="40"/>
  <c r="H77" i="40"/>
  <c r="H17" i="40"/>
  <c r="K17" i="40" s="1"/>
  <c r="G25" i="40"/>
  <c r="H44" i="40"/>
  <c r="K44" i="40" s="1"/>
  <c r="I77" i="40"/>
  <c r="J77" i="40" s="1"/>
  <c r="G45" i="40"/>
  <c r="F63" i="40"/>
  <c r="I71" i="40"/>
  <c r="J71" i="40" s="1"/>
  <c r="K71" i="40" s="1"/>
  <c r="G77" i="40"/>
  <c r="H25" i="40"/>
  <c r="I84" i="40"/>
  <c r="J84" i="40" s="1"/>
  <c r="K84" i="40" s="1"/>
  <c r="F72" i="40"/>
  <c r="G12" i="40"/>
  <c r="H9" i="40"/>
  <c r="K9" i="40" s="1"/>
  <c r="F7" i="40"/>
  <c r="F35" i="40"/>
  <c r="H41" i="40"/>
  <c r="G21" i="40"/>
  <c r="G69" i="40"/>
  <c r="I56" i="40"/>
  <c r="J56" i="40" s="1"/>
  <c r="H60" i="40"/>
  <c r="I25" i="40"/>
  <c r="J25" i="40" s="1"/>
  <c r="I61" i="40"/>
  <c r="J61" i="40" s="1"/>
  <c r="I78" i="40"/>
  <c r="J78" i="40" s="1"/>
  <c r="I81" i="40"/>
  <c r="J81" i="40" s="1"/>
  <c r="K81" i="40" s="1"/>
  <c r="F84" i="40"/>
  <c r="H89" i="40"/>
  <c r="G49" i="40"/>
  <c r="F9" i="40"/>
  <c r="H7" i="40"/>
  <c r="K7" i="40" s="1"/>
  <c r="G35" i="40"/>
  <c r="F21" i="40"/>
  <c r="F69" i="40"/>
  <c r="F49" i="40"/>
  <c r="G47" i="40"/>
  <c r="H74" i="40"/>
  <c r="I41" i="40"/>
  <c r="J41" i="40" s="1"/>
  <c r="H78" i="40"/>
  <c r="G76" i="40"/>
  <c r="I40" i="40"/>
  <c r="J40" i="40" s="1"/>
  <c r="I27" i="40"/>
  <c r="J27" i="40" s="1"/>
  <c r="K27" i="40" s="1"/>
  <c r="H87" i="40"/>
  <c r="K87" i="40" s="1"/>
  <c r="I63" i="40"/>
  <c r="J63" i="40" s="1"/>
  <c r="K63" i="40" s="1"/>
  <c r="I43" i="40"/>
  <c r="J43" i="40" s="1"/>
  <c r="K43" i="40" s="1"/>
  <c r="G29" i="40"/>
  <c r="G66" i="40"/>
  <c r="I47" i="40"/>
  <c r="J47" i="40" s="1"/>
  <c r="K47" i="40" s="1"/>
  <c r="H40" i="40"/>
  <c r="G27" i="40"/>
  <c r="I89" i="40"/>
  <c r="J89" i="40" s="1"/>
  <c r="G43" i="40"/>
  <c r="I29" i="40"/>
  <c r="J29" i="40" s="1"/>
  <c r="I76" i="40"/>
  <c r="J76" i="40" s="1"/>
  <c r="K76" i="40" s="1"/>
  <c r="I72" i="40"/>
  <c r="J72" i="40" s="1"/>
  <c r="G87" i="40"/>
  <c r="K64" i="40" l="1"/>
  <c r="K61" i="40"/>
  <c r="K41" i="40"/>
  <c r="K91" i="40"/>
  <c r="K79" i="40"/>
  <c r="K19" i="40"/>
  <c r="K72" i="40"/>
  <c r="K52" i="40"/>
  <c r="K28" i="40"/>
  <c r="K8" i="40"/>
  <c r="K50" i="40"/>
  <c r="K10" i="40"/>
  <c r="K85" i="40"/>
  <c r="K23" i="40"/>
  <c r="K66" i="40"/>
  <c r="K30" i="40"/>
  <c r="K24" i="40"/>
  <c r="K36" i="40"/>
  <c r="K13" i="40"/>
  <c r="K78" i="40"/>
  <c r="K29" i="40"/>
  <c r="K54" i="40"/>
  <c r="K31" i="40"/>
  <c r="K58" i="40"/>
  <c r="K59" i="40"/>
  <c r="K77" i="40"/>
  <c r="K70" i="40"/>
  <c r="K57" i="40"/>
  <c r="K6" i="40"/>
  <c r="K32" i="40"/>
  <c r="K14" i="40"/>
  <c r="K89" i="40"/>
  <c r="K40" i="40"/>
  <c r="K56" i="40"/>
  <c r="K22" i="40"/>
  <c r="K25" i="40"/>
  <c r="K92" i="40"/>
  <c r="K15" i="40"/>
  <c r="K83" i="40"/>
  <c r="K18" i="40"/>
  <c r="K26" i="40"/>
  <c r="K60" i="40"/>
  <c r="K74" i="40"/>
  <c r="K34" i="40"/>
  <c r="K73" i="40"/>
  <c r="K55" i="40"/>
  <c r="K16" i="40"/>
  <c r="E5" i="40"/>
  <c r="I5" i="40" l="1"/>
  <c r="J5" i="40" s="1"/>
  <c r="G5" i="40"/>
  <c r="F5" i="40"/>
  <c r="H5" i="40"/>
  <c r="K5" i="40" l="1"/>
  <c r="B13" i="47"/>
  <c r="B14" i="47" s="1"/>
  <c r="B15" i="47" s="1"/>
  <c r="B16" i="47" s="1"/>
  <c r="B17" i="47" s="1"/>
  <c r="B18" i="47" s="1"/>
  <c r="B19" i="47" s="1"/>
  <c r="B20" i="47" s="1"/>
  <c r="B21" i="47" s="1"/>
  <c r="B22" i="47" s="1"/>
  <c r="B23" i="47" s="1"/>
  <c r="B24" i="47" s="1"/>
  <c r="B25" i="47" s="1"/>
  <c r="B26" i="47" s="1"/>
  <c r="B27" i="47" s="1"/>
  <c r="B28" i="47" s="1"/>
  <c r="B29" i="47" s="1"/>
  <c r="B30" i="47" s="1"/>
  <c r="B31" i="47" s="1"/>
  <c r="B32" i="47" s="1"/>
  <c r="B33" i="47" s="1"/>
  <c r="B34" i="47" s="1"/>
  <c r="B35" i="47" s="1"/>
  <c r="B36" i="47" s="1"/>
  <c r="B37" i="47" s="1"/>
  <c r="B38" i="47" s="1"/>
  <c r="B39" i="47" s="1"/>
  <c r="B40" i="47" s="1"/>
  <c r="B41" i="47" s="1"/>
  <c r="B42" i="47" s="1"/>
  <c r="B43" i="47" s="1"/>
  <c r="B44" i="47" s="1"/>
  <c r="B45" i="47" s="1"/>
  <c r="B46" i="47" s="1"/>
  <c r="B47" i="47" s="1"/>
  <c r="B48" i="47" s="1"/>
  <c r="B49" i="47" s="1"/>
  <c r="B50" i="47" s="1"/>
  <c r="B51" i="47" s="1"/>
  <c r="B52" i="47" s="1"/>
  <c r="B53" i="47" s="1"/>
  <c r="B54" i="47" s="1"/>
  <c r="B55" i="47" s="1"/>
  <c r="B56" i="47" s="1"/>
  <c r="B57" i="47" s="1"/>
  <c r="B58" i="47" s="1"/>
  <c r="B59" i="47" s="1"/>
  <c r="B60" i="47" s="1"/>
  <c r="B61" i="47" s="1"/>
  <c r="B62" i="47" s="1"/>
  <c r="B63" i="47" s="1"/>
  <c r="B64" i="47" s="1"/>
  <c r="B65" i="47" s="1"/>
  <c r="B66" i="47" s="1"/>
  <c r="B67" i="47" s="1"/>
  <c r="B68" i="47" s="1"/>
  <c r="B69" i="47" s="1"/>
  <c r="B70" i="47" s="1"/>
  <c r="B71" i="47" s="1"/>
  <c r="B72" i="47" s="1"/>
  <c r="B73" i="47" s="1"/>
  <c r="B74" i="47" s="1"/>
  <c r="B75" i="47" s="1"/>
  <c r="B76" i="47" s="1"/>
  <c r="B77" i="47" s="1"/>
  <c r="B78" i="47" s="1"/>
  <c r="B79" i="47" s="1"/>
  <c r="B80" i="47" s="1"/>
  <c r="B81" i="47" s="1"/>
  <c r="B82" i="47" s="1"/>
  <c r="B83" i="47" s="1"/>
  <c r="B84" i="47" s="1"/>
  <c r="B85" i="47" s="1"/>
  <c r="B86" i="47" s="1"/>
  <c r="B87" i="47" s="1"/>
  <c r="B88" i="47" s="1"/>
  <c r="B89" i="47" s="1"/>
  <c r="B90" i="47" s="1"/>
  <c r="B91" i="47" s="1"/>
  <c r="B92" i="47" s="1"/>
  <c r="B93" i="47" s="1"/>
  <c r="B94" i="47" s="1"/>
  <c r="B95" i="47" s="1"/>
  <c r="B96" i="47" s="1"/>
  <c r="B97" i="47" s="1"/>
  <c r="B98" i="47" s="1"/>
  <c r="B99" i="47" s="1"/>
  <c r="B100" i="4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tc={9E46B7E0-B1C0-4048-A598-D350D390AC86}</author>
    <author>tc={6AC4BF44-C4BC-7240-B3CF-8B06730DF796}</author>
  </authors>
  <commentList>
    <comment ref="N128" authorId="0" shapeId="0" xr:uid="{9E46B7E0-B1C0-4048-A598-D350D390AC86}">
      <text>
        <t>[Kommentartråd]
Din versjon av Excel lar deg lese denne kommentartråden. Eventuelle endringer i den vil imidlertid bli fjernet hvis filen åpnes i en nyere versjon av Excel. Finn ut mer: https://go.microsoft.com/fwlink/?linkid=870924
Kommentar:
    To løp har 49 deltakere</t>
      </text>
    </comment>
    <comment ref="W167" authorId="1" shapeId="0" xr:uid="{6AC4BF44-C4BC-7240-B3CF-8B06730DF796}">
      <text>
        <t xml:space="preserve">[Kommentartråd]
Din versjon av Excel lar deg lese denne kommentartråden. Eventuelle endringer i den vil imidlertid bli fjernet hvis filen åpnes i en nyere versjon av Excel. Finn ut mer: https://go.microsoft.com/fwlink/?linkid=870924
Kommentar:
    Har ikke alder på Randi Nesje Myhr, som har deltatt to ganger </t>
      </text>
    </comment>
  </commentList>
</comment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<sst xmlns="http://schemas.openxmlformats.org/spreadsheetml/2006/main" count="9569" uniqueCount="423">
  <si>
    <t>Plassiffer:</t>
  </si>
  <si>
    <t>Deltakerens plassering i løpet. I løp med to løypelengder gis plassifrene separat for begge løypene</t>
  </si>
  <si>
    <t>B</t>
  </si>
  <si>
    <t>Ved brutt løp gis deltakeren plassiffer én dårligere enn dårligste som har fullført</t>
  </si>
  <si>
    <t xml:space="preserve">Løype </t>
  </si>
  <si>
    <t>Løypelegger/ansvarlig får plassiffer</t>
  </si>
  <si>
    <t>Deltakeren har brutt eller mangler post(er)</t>
  </si>
  <si>
    <t>Arr</t>
  </si>
  <si>
    <t>Arrangør/medhjelper får plassiffer</t>
  </si>
  <si>
    <t>Plassiffer for arrangører (valgbart):</t>
  </si>
  <si>
    <t xml:space="preserve">x: </t>
  </si>
  <si>
    <t>Deltakeren har ikke deltatt i løpet</t>
  </si>
  <si>
    <t>Plassiffer sum:</t>
  </si>
  <si>
    <t>Summen av deltakerens plassiffer i alle løp hen har deltatt hhv. fullført</t>
  </si>
  <si>
    <t>Plassiffer gjennomsnitt:</t>
  </si>
  <si>
    <t>Plassiffer sum delt på antall løp deltakeren har deltatt hhv. fullført</t>
  </si>
  <si>
    <t>Modifisert plassiffer sum:</t>
  </si>
  <si>
    <r>
      <rPr>
        <b/>
        <sz val="11"/>
        <color theme="4"/>
        <rFont val="Calibri"/>
        <family val="2"/>
        <scheme val="minor"/>
      </rPr>
      <t>Modifisert plassiffer sum</t>
    </r>
    <r>
      <rPr>
        <sz val="11"/>
        <color theme="4"/>
        <rFont val="Calibri"/>
        <family val="2"/>
        <scheme val="minor"/>
      </rPr>
      <t xml:space="preserve"> er et forsøk på å premiere deltakelse i flest mulig løp.  </t>
    </r>
  </si>
  <si>
    <t xml:space="preserve">Deltakeren gis plassiffer 1 i løp der hen ikke har deltatt </t>
  </si>
  <si>
    <t>Modifisert plassiffer gjennomsnitt:</t>
  </si>
  <si>
    <t>Modifisert plassiffer sum delt på antall deltatte hhv. fullførte løp for deltakeren</t>
  </si>
  <si>
    <t>Poeng:</t>
  </si>
  <si>
    <r>
      <t xml:space="preserve">Poeng beregnes etter formelen:    </t>
    </r>
    <r>
      <rPr>
        <sz val="12"/>
        <color rgb="FFFF0000"/>
        <rFont val="Calibri (Brødtekst)"/>
      </rPr>
      <t xml:space="preserve">1-(Nløper-0,5)/Ntotal </t>
    </r>
    <r>
      <rPr>
        <sz val="12"/>
        <color rgb="FF7030A0"/>
        <rFont val="Calibri"/>
        <family val="2"/>
        <scheme val="minor"/>
      </rPr>
      <t xml:space="preserve">    der Nløper er løperens plassiffer og Ntotal er antall deltakere.    Gir bedre uttelling for vinner jo flere deltakere det er i løpet</t>
    </r>
  </si>
  <si>
    <t>Nløper beregnes ved å normalisere tidene i lang løype til kort løype i forhold til løypelengdene</t>
  </si>
  <si>
    <t>Løypelegger får samme poeng som vinner, øvrige arrangører som nr 4</t>
  </si>
  <si>
    <r>
      <t xml:space="preserve">Tabellen kan sorteres etter ønsket kolonne ved å trykke på pil/trekant i rad 26 og så velge </t>
    </r>
    <r>
      <rPr>
        <b/>
        <i/>
        <sz val="12"/>
        <color rgb="FFFF0000"/>
        <rFont val="Calibri"/>
        <family val="2"/>
        <scheme val="minor"/>
      </rPr>
      <t>stigende</t>
    </r>
    <r>
      <rPr>
        <b/>
        <sz val="12"/>
        <color rgb="FFFF0000"/>
        <rFont val="Calibri"/>
        <family val="2"/>
        <scheme val="minor"/>
      </rPr>
      <t xml:space="preserve"> eller </t>
    </r>
    <r>
      <rPr>
        <b/>
        <i/>
        <sz val="12"/>
        <color rgb="FFFF0000"/>
        <rFont val="Calibri"/>
        <family val="2"/>
        <scheme val="minor"/>
      </rPr>
      <t>synkende</t>
    </r>
  </si>
  <si>
    <t xml:space="preserve">Antall løp: </t>
  </si>
  <si>
    <t>Antall løp</t>
  </si>
  <si>
    <t xml:space="preserve">      Plassiffer sum</t>
  </si>
  <si>
    <t xml:space="preserve">   Plassiffer gjennomsnitt</t>
  </si>
  <si>
    <t xml:space="preserve">      Modifisert plassiffer </t>
  </si>
  <si>
    <t>løp</t>
  </si>
  <si>
    <t xml:space="preserve">     Øyberga Melhus</t>
  </si>
  <si>
    <t xml:space="preserve">          Geitfjellet</t>
  </si>
  <si>
    <t xml:space="preserve">    Lauglo</t>
  </si>
  <si>
    <t xml:space="preserve">   Lille-Gråkallen</t>
  </si>
  <si>
    <t xml:space="preserve">     Månen</t>
  </si>
  <si>
    <t xml:space="preserve">    Reppesåsen</t>
  </si>
  <si>
    <t>Bekken</t>
  </si>
  <si>
    <t>Gramskaret</t>
  </si>
  <si>
    <t>Saupstad</t>
  </si>
  <si>
    <t>Lian</t>
  </si>
  <si>
    <t>Sverresborg</t>
  </si>
  <si>
    <t>Deltatt</t>
  </si>
  <si>
    <t>Fullført</t>
  </si>
  <si>
    <t>Arrangør</t>
  </si>
  <si>
    <t>Sum deltatt</t>
  </si>
  <si>
    <t>Sum fullført</t>
  </si>
  <si>
    <t>Gjennomsnitt deltatt</t>
  </si>
  <si>
    <t>Gjennomsnitt fullført</t>
  </si>
  <si>
    <t>Sum poeng</t>
  </si>
  <si>
    <t>Gjennomsnitt pr deltatt løp</t>
  </si>
  <si>
    <t>Rekkefølge (sorteres ikke)</t>
  </si>
  <si>
    <t>Løypelengde kort løype  (km)</t>
  </si>
  <si>
    <t>Løypelengde lang løype  (km)</t>
  </si>
  <si>
    <t>Poeng</t>
  </si>
  <si>
    <t>Plassiffer</t>
  </si>
  <si>
    <t>Fornavn</t>
  </si>
  <si>
    <t>Etternavn</t>
  </si>
  <si>
    <t>Brikkenr</t>
  </si>
  <si>
    <t>Jostein</t>
  </si>
  <si>
    <t>Alvestad</t>
  </si>
  <si>
    <t>Løype</t>
  </si>
  <si>
    <t>Tore</t>
  </si>
  <si>
    <t>Bjørn</t>
  </si>
  <si>
    <t>Berger</t>
  </si>
  <si>
    <t>Frank</t>
  </si>
  <si>
    <t>Bjarkø</t>
  </si>
  <si>
    <t>Jan</t>
  </si>
  <si>
    <t>Bøhle</t>
  </si>
  <si>
    <t>Trond</t>
  </si>
  <si>
    <t>Damås</t>
  </si>
  <si>
    <t>Kåre</t>
  </si>
  <si>
    <t>Eggereide</t>
  </si>
  <si>
    <t>Stina</t>
  </si>
  <si>
    <t>Elfving</t>
  </si>
  <si>
    <t>Reinold</t>
  </si>
  <si>
    <t>Ellingsen</t>
  </si>
  <si>
    <t>Leif</t>
  </si>
  <si>
    <t>Engen</t>
  </si>
  <si>
    <t>Halvor</t>
  </si>
  <si>
    <t>Flatberg</t>
  </si>
  <si>
    <t>Roar</t>
  </si>
  <si>
    <t>Forbord</t>
  </si>
  <si>
    <t>Paul</t>
  </si>
  <si>
    <t>Forseth</t>
  </si>
  <si>
    <t>Kristian</t>
  </si>
  <si>
    <t>Fougner</t>
  </si>
  <si>
    <t>Edgar</t>
  </si>
  <si>
    <t>Furuholt</t>
  </si>
  <si>
    <t>Tor</t>
  </si>
  <si>
    <t>Gjermstad</t>
  </si>
  <si>
    <t>Jens Øystein</t>
  </si>
  <si>
    <t>Gjersvold</t>
  </si>
  <si>
    <t>Terje</t>
  </si>
  <si>
    <t>Hanssen</t>
  </si>
  <si>
    <t>Stig</t>
  </si>
  <si>
    <t>Haugskott</t>
  </si>
  <si>
    <t>Heggem</t>
  </si>
  <si>
    <t>Robert</t>
  </si>
  <si>
    <t>Hirsch</t>
  </si>
  <si>
    <t>Even</t>
  </si>
  <si>
    <t>Hofstad</t>
  </si>
  <si>
    <t>Svein</t>
  </si>
  <si>
    <t>Hove</t>
  </si>
  <si>
    <t>Kiste</t>
  </si>
  <si>
    <t>Jon Arne</t>
  </si>
  <si>
    <t>Klemetsaune</t>
  </si>
  <si>
    <t>Finn Faye</t>
  </si>
  <si>
    <t>Knudsen</t>
  </si>
  <si>
    <t>Jan Erik</t>
  </si>
  <si>
    <t>Kofoed</t>
  </si>
  <si>
    <t>Torid</t>
  </si>
  <si>
    <t>Kvaal</t>
  </si>
  <si>
    <t>Magnus</t>
  </si>
  <si>
    <t>Landstad</t>
  </si>
  <si>
    <t>Anders</t>
  </si>
  <si>
    <t>Lauglo</t>
  </si>
  <si>
    <t>Knut</t>
  </si>
  <si>
    <t>Lillealtern</t>
  </si>
  <si>
    <t>Klaus</t>
  </si>
  <si>
    <t>Livik</t>
  </si>
  <si>
    <t>Martin</t>
  </si>
  <si>
    <t>Melhuus</t>
  </si>
  <si>
    <t xml:space="preserve">Heidi </t>
  </si>
  <si>
    <t>Midttun</t>
  </si>
  <si>
    <t>Arne</t>
  </si>
  <si>
    <t>Mikkelsen</t>
  </si>
  <si>
    <t>Odd</t>
  </si>
  <si>
    <t>Musum</t>
  </si>
  <si>
    <t>Atle</t>
  </si>
  <si>
    <t>Mørk</t>
  </si>
  <si>
    <t>Jarle</t>
  </si>
  <si>
    <t>Nestvold</t>
  </si>
  <si>
    <t>Inge</t>
  </si>
  <si>
    <t>Nørstebø</t>
  </si>
  <si>
    <t>Harald</t>
  </si>
  <si>
    <t>Oftedal</t>
  </si>
  <si>
    <t>Gunnhild</t>
  </si>
  <si>
    <t>Onsøyen</t>
  </si>
  <si>
    <t>Grete Berge</t>
  </si>
  <si>
    <t>Owren</t>
  </si>
  <si>
    <t>Egil</t>
  </si>
  <si>
    <t>Repvik</t>
  </si>
  <si>
    <t xml:space="preserve">Bjørn </t>
  </si>
  <si>
    <t>Rindstad</t>
  </si>
  <si>
    <t>Røhjell</t>
  </si>
  <si>
    <t>Viggo</t>
  </si>
  <si>
    <t>Schei</t>
  </si>
  <si>
    <t>Bente</t>
  </si>
  <si>
    <t>Skorge</t>
  </si>
  <si>
    <t>Pål</t>
  </si>
  <si>
    <t>Skyberg</t>
  </si>
  <si>
    <t>Reidun</t>
  </si>
  <si>
    <t>Smaavik</t>
  </si>
  <si>
    <t>Kjellrun</t>
  </si>
  <si>
    <t>Sporild</t>
  </si>
  <si>
    <t>Frode</t>
  </si>
  <si>
    <t>Stensrud</t>
  </si>
  <si>
    <t>Eigil</t>
  </si>
  <si>
    <t>Sørli</t>
  </si>
  <si>
    <t>Nils Olav</t>
  </si>
  <si>
    <t>Vennevik</t>
  </si>
  <si>
    <t>Arnulf</t>
  </si>
  <si>
    <t>Vilmo</t>
  </si>
  <si>
    <t>Waage</t>
  </si>
  <si>
    <t>Gunnar</t>
  </si>
  <si>
    <t>Østerbø</t>
  </si>
  <si>
    <t>Stein</t>
  </si>
  <si>
    <t>Øvstedal</t>
  </si>
  <si>
    <t>Øistein</t>
  </si>
  <si>
    <t>Åsmul</t>
  </si>
  <si>
    <t>Antall deltakere</t>
  </si>
  <si>
    <t>Antall deltakere inkl. arrangører</t>
  </si>
  <si>
    <t>Antall deltakere fullført</t>
  </si>
  <si>
    <t>Plassiffer ved brutt løp</t>
  </si>
  <si>
    <t>Løpt lengde av fullførte deltakere (km)</t>
  </si>
  <si>
    <t xml:space="preserve">Status </t>
  </si>
  <si>
    <t>Løpt</t>
  </si>
  <si>
    <t>Gjennomsnittlig antall deltakere pr løp, inkl arrangører</t>
  </si>
  <si>
    <t>Gjennomsnittlig antall løp pr deltaker, inkl arrangører</t>
  </si>
  <si>
    <t>Antall arrangører</t>
  </si>
  <si>
    <t xml:space="preserve">Flest løp:                   </t>
  </si>
  <si>
    <t xml:space="preserve">Flest gang arrangør:  </t>
  </si>
  <si>
    <t>Gjennomsnittlig løypelengde (km)</t>
  </si>
  <si>
    <t>Løpt lengde av fullførte deltakere * 1,25 (km)</t>
  </si>
  <si>
    <t>Gjennomsnittlig løpstid</t>
  </si>
  <si>
    <t>Total løpstid (dager)</t>
  </si>
  <si>
    <t>Sted:</t>
  </si>
  <si>
    <t>Dato:</t>
  </si>
  <si>
    <t>Kort løype                   km
Tider</t>
  </si>
  <si>
    <t>Lang løype                  km
Tider</t>
  </si>
  <si>
    <t>Anmerkning</t>
  </si>
  <si>
    <t>Løp 1</t>
  </si>
  <si>
    <t>Nr</t>
  </si>
  <si>
    <t>Kort</t>
  </si>
  <si>
    <t>Lang</t>
  </si>
  <si>
    <t>Totalt</t>
  </si>
  <si>
    <t>Løp 2</t>
  </si>
  <si>
    <t>Løp 3</t>
  </si>
  <si>
    <t>Løp 4</t>
  </si>
  <si>
    <t>Løp 5</t>
  </si>
  <si>
    <t>Løp 6</t>
  </si>
  <si>
    <t>Løp 7</t>
  </si>
  <si>
    <t>Løp 8</t>
  </si>
  <si>
    <t>Løp 9</t>
  </si>
  <si>
    <t>Løp 10</t>
  </si>
  <si>
    <t>Anne</t>
  </si>
  <si>
    <t>Løp 11</t>
  </si>
  <si>
    <t>km-tid</t>
  </si>
  <si>
    <t>Vinners km-tid (min)</t>
  </si>
  <si>
    <t>Løp 12</t>
  </si>
  <si>
    <t>Vinners km-tid (min:sek) Raskeste</t>
  </si>
  <si>
    <t>Vinners km-tid (min:sek) Langsomste</t>
  </si>
  <si>
    <t>Løp nr</t>
  </si>
  <si>
    <t>Brundalen</t>
  </si>
  <si>
    <t>Åse Rita</t>
  </si>
  <si>
    <t xml:space="preserve">Åse Rita </t>
  </si>
  <si>
    <t>Larsbyen</t>
  </si>
  <si>
    <t>Hallset</t>
  </si>
  <si>
    <t>Kjell</t>
  </si>
  <si>
    <t>Maroni</t>
  </si>
  <si>
    <t xml:space="preserve">Kjell </t>
  </si>
  <si>
    <t>Flatåshaugen</t>
  </si>
  <si>
    <t>Status etter</t>
  </si>
  <si>
    <t xml:space="preserve">              Antall løp</t>
  </si>
  <si>
    <t xml:space="preserve">                     Poeng</t>
  </si>
  <si>
    <t>Moholt</t>
  </si>
  <si>
    <t>May-Lis</t>
  </si>
  <si>
    <t>Rønning</t>
  </si>
  <si>
    <t>Trine</t>
  </si>
  <si>
    <t>Sunnset</t>
  </si>
  <si>
    <t>Berit</t>
  </si>
  <si>
    <t>Født</t>
  </si>
  <si>
    <t>Alder</t>
  </si>
  <si>
    <t>Alders-korreksjon</t>
  </si>
  <si>
    <t>Alderskurver</t>
  </si>
  <si>
    <t>Herrer</t>
  </si>
  <si>
    <t>Gradient</t>
  </si>
  <si>
    <t>Damer</t>
  </si>
  <si>
    <t>Poeng alders-korrigert</t>
  </si>
  <si>
    <t>Poeng alderskorr</t>
  </si>
  <si>
    <t>Alders-korrigert km-tid</t>
  </si>
  <si>
    <t>Ferista</t>
  </si>
  <si>
    <t xml:space="preserve">     Poeng aldersjustert</t>
  </si>
  <si>
    <t>Rekkefølgen i kolonne FA sorteres ikke og er ment å være til hjelp for å finne ut hvilket nummer deltakeren har ved de ulike sorteringsmulighetene</t>
  </si>
  <si>
    <t>Dalgård</t>
  </si>
  <si>
    <t>Nordslettvegen</t>
  </si>
  <si>
    <t>Erik</t>
  </si>
  <si>
    <t>Lund</t>
  </si>
  <si>
    <t>Tillermarka</t>
  </si>
  <si>
    <t>Ottar</t>
  </si>
  <si>
    <t>Kristiansen</t>
  </si>
  <si>
    <t>Leangen</t>
  </si>
  <si>
    <t>Arnfinn</t>
  </si>
  <si>
    <t>Langeland</t>
  </si>
  <si>
    <t>Deltatt vårsesong</t>
  </si>
  <si>
    <t>Arrangør vårsesong</t>
  </si>
  <si>
    <t>Kartbetaling vårsesong</t>
  </si>
  <si>
    <t>Gjennomsnitt alder</t>
  </si>
  <si>
    <t>Herlofsonløypa</t>
  </si>
  <si>
    <t>Klefstadhaugen</t>
  </si>
  <si>
    <t>Klæbu</t>
  </si>
  <si>
    <t>Rune</t>
  </si>
  <si>
    <t>Holt</t>
  </si>
  <si>
    <t>Øystein</t>
  </si>
  <si>
    <t>Wiggen</t>
  </si>
  <si>
    <t>Brenne</t>
  </si>
  <si>
    <t>Lohove</t>
  </si>
  <si>
    <t>Per Olav</t>
  </si>
  <si>
    <t>Johansen</t>
  </si>
  <si>
    <t>Arne Kjell</t>
  </si>
  <si>
    <t>Foldvik</t>
  </si>
  <si>
    <t>Totalt antall deltakere inkl arrangører</t>
  </si>
  <si>
    <t>Antall deltakere som har deltatt på alle løp:</t>
  </si>
  <si>
    <t>Gjennomsnittlig løpt lengde pr løp, luftlinje (km)</t>
  </si>
  <si>
    <t>Løpt lengde av fullførte deltakere, luftlinje (km)</t>
  </si>
  <si>
    <t>Minste antall deltakere, inkl arrangører</t>
  </si>
  <si>
    <t>Steørste antall deltakere, inkl arrangører</t>
  </si>
  <si>
    <t xml:space="preserve"> Sommerseter</t>
  </si>
  <si>
    <t>Herre/Dame</t>
  </si>
  <si>
    <t>Herre/ Dame</t>
  </si>
  <si>
    <t>D</t>
  </si>
  <si>
    <t>H</t>
  </si>
  <si>
    <t>Alders-korrigert</t>
  </si>
  <si>
    <t>Uten alders-korreksjon</t>
  </si>
  <si>
    <t>Gjennomsnitt løpstid</t>
  </si>
  <si>
    <t>Vinners km-tid (min:sek)</t>
  </si>
  <si>
    <t>Oppsummering</t>
  </si>
  <si>
    <t>Gjennomsnitt poeng deltatte løp</t>
  </si>
  <si>
    <t>Antall løp deltatt/ arrangert</t>
  </si>
  <si>
    <t>Dato for å regne alder</t>
  </si>
  <si>
    <t>Største antall deltakere, inkl arrangører</t>
  </si>
  <si>
    <t>Poeng løypelegger</t>
  </si>
  <si>
    <t>Poeng arrangør</t>
  </si>
  <si>
    <t>Antall løp arrangert</t>
  </si>
  <si>
    <t>Gjennomsnitt løypelengde (km)</t>
  </si>
  <si>
    <t>Schjelderup</t>
  </si>
  <si>
    <t>Øyvind</t>
  </si>
  <si>
    <t>Olav</t>
  </si>
  <si>
    <t>Kvittem</t>
  </si>
  <si>
    <t>Brekkåsen</t>
  </si>
  <si>
    <t>Kort løype  
Tider</t>
  </si>
  <si>
    <t>Lang løype
Tider</t>
  </si>
  <si>
    <t>Fuglmyra</t>
  </si>
  <si>
    <t>Solemsåsen</t>
  </si>
  <si>
    <t>Brutt</t>
  </si>
  <si>
    <t>Rolf</t>
  </si>
  <si>
    <t>Wærnes</t>
  </si>
  <si>
    <t>Vigdis</t>
  </si>
  <si>
    <t>Heimly</t>
  </si>
  <si>
    <t>Km-tid</t>
  </si>
  <si>
    <t>Brikkesys</t>
  </si>
  <si>
    <t>Justert for alder og kjønn</t>
  </si>
  <si>
    <t>Anders W</t>
  </si>
  <si>
    <t>Anders L</t>
  </si>
  <si>
    <t>Mangler post 9</t>
  </si>
  <si>
    <t>Mangler post 2</t>
  </si>
  <si>
    <t>Mangler post 14</t>
  </si>
  <si>
    <t>Disk</t>
  </si>
  <si>
    <t xml:space="preserve">Løp 1 </t>
  </si>
  <si>
    <t>Løp 13</t>
  </si>
  <si>
    <t>Løp 14</t>
  </si>
  <si>
    <t>Løp 15</t>
  </si>
  <si>
    <t>Løp 16</t>
  </si>
  <si>
    <t>Løp 17</t>
  </si>
  <si>
    <t>Løp 18</t>
  </si>
  <si>
    <t>Løp 19</t>
  </si>
  <si>
    <t>Løp 20</t>
  </si>
  <si>
    <t>Løp 21</t>
  </si>
  <si>
    <t>Løp 22</t>
  </si>
  <si>
    <t>Løp 23</t>
  </si>
  <si>
    <t>Løp 24</t>
  </si>
  <si>
    <t>Løp 25</t>
  </si>
  <si>
    <t>Løp 26</t>
  </si>
  <si>
    <t>Løp 27</t>
  </si>
  <si>
    <t>Fornes</t>
  </si>
  <si>
    <t>Leif R</t>
  </si>
  <si>
    <t>Leif E</t>
  </si>
  <si>
    <t>Tore K</t>
  </si>
  <si>
    <t>Tore H</t>
  </si>
  <si>
    <t>Gjennomsnitt alder deltakere inkl. arrangører (år)</t>
  </si>
  <si>
    <t>Arild</t>
  </si>
  <si>
    <t>Heggeset</t>
  </si>
  <si>
    <t>Nytrø</t>
  </si>
  <si>
    <t>Øystein N</t>
  </si>
  <si>
    <t>Tore F</t>
  </si>
  <si>
    <t>Øistein Å</t>
  </si>
  <si>
    <t xml:space="preserve">Bjørn R </t>
  </si>
  <si>
    <t>Kåre O</t>
  </si>
  <si>
    <t>Kåre E</t>
  </si>
  <si>
    <t>ØisteinÅ</t>
  </si>
  <si>
    <t>Litlåsen</t>
  </si>
  <si>
    <t>Gjermo</t>
  </si>
  <si>
    <t>Anders G</t>
  </si>
  <si>
    <t>Bjørn Be</t>
  </si>
  <si>
    <t>Egil R</t>
  </si>
  <si>
    <t>Eigil S</t>
  </si>
  <si>
    <t>Bjørn Br</t>
  </si>
  <si>
    <t>Tider</t>
  </si>
  <si>
    <t>Hauken</t>
  </si>
  <si>
    <t>Aldersfordeling</t>
  </si>
  <si>
    <t>Antall</t>
  </si>
  <si>
    <t>Prosent</t>
  </si>
  <si>
    <t>Gerd</t>
  </si>
  <si>
    <t>Bjørset</t>
  </si>
  <si>
    <t>Hafskjold</t>
  </si>
  <si>
    <t>Bjørn H</t>
  </si>
  <si>
    <t>Øystein W</t>
  </si>
  <si>
    <t>Sum alder alle deltakere inkl. arrangører (år)</t>
  </si>
  <si>
    <t>Baklidammen</t>
  </si>
  <si>
    <t>Død brikke</t>
  </si>
  <si>
    <t>Grepstad</t>
  </si>
  <si>
    <t>Jostein G</t>
  </si>
  <si>
    <t>Erik L</t>
  </si>
  <si>
    <t>Antall deltakere, inkl arrangører</t>
  </si>
  <si>
    <t>Chamonix</t>
  </si>
  <si>
    <t>Hilde</t>
  </si>
  <si>
    <t>Total løpstid (døgn)</t>
  </si>
  <si>
    <t>Nilsbyen</t>
  </si>
  <si>
    <t>Bjørn B</t>
  </si>
  <si>
    <t>Stavset Altura</t>
  </si>
  <si>
    <t>Rotvoll</t>
  </si>
  <si>
    <t>Helland</t>
  </si>
  <si>
    <t>Knut H</t>
  </si>
  <si>
    <t>Arne H</t>
  </si>
  <si>
    <t>Arne M</t>
  </si>
  <si>
    <t>Bergheim</t>
  </si>
  <si>
    <t>Clausen</t>
  </si>
  <si>
    <t>Randi Nesje</t>
  </si>
  <si>
    <t>Myhr</t>
  </si>
  <si>
    <t>Eberg</t>
  </si>
  <si>
    <t>Risvollan</t>
  </si>
  <si>
    <t>Havstein</t>
  </si>
  <si>
    <t>Havstad</t>
  </si>
  <si>
    <t xml:space="preserve">Jostein </t>
  </si>
  <si>
    <t>Minimum</t>
  </si>
  <si>
    <t>antall løp</t>
  </si>
  <si>
    <t xml:space="preserve">Gjennomsnitt poeng minst </t>
  </si>
  <si>
    <t>Rostenskogen</t>
  </si>
  <si>
    <t>Status etter løp:</t>
  </si>
  <si>
    <t>Nilsbyen - Stavset</t>
  </si>
  <si>
    <t>Børge</t>
  </si>
  <si>
    <t>Nordli</t>
  </si>
  <si>
    <t>Kattem</t>
  </si>
  <si>
    <t>Rogndalen</t>
  </si>
  <si>
    <t>Øyvind R</t>
  </si>
  <si>
    <t>Djupvika</t>
  </si>
  <si>
    <t>Bjørn R</t>
  </si>
  <si>
    <t>Ranheim</t>
  </si>
  <si>
    <t>Løp 28</t>
  </si>
  <si>
    <t>Henry</t>
  </si>
  <si>
    <t>Sundsetvik</t>
  </si>
  <si>
    <t>Øyvind S</t>
  </si>
  <si>
    <t>Håkon</t>
  </si>
  <si>
    <t>Arnesen</t>
  </si>
  <si>
    <t>Sommerseter</t>
  </si>
  <si>
    <t>Anne Lise</t>
  </si>
  <si>
    <t>Totalt antall starter</t>
  </si>
  <si>
    <t xml:space="preserve">Arne  H    </t>
  </si>
  <si>
    <t>Løp 29</t>
  </si>
  <si>
    <t>Kjell Arne</t>
  </si>
  <si>
    <t>Henninen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</si>
</sst>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0.0"/>
    <numFmt numFmtId="166" formatCode="0.000"/>
  </numFmts>
  <fonts count="4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12"/>
      <color rgb="FFFF0000"/>
      <name val="Calibri (Brødtekst)"/>
    </font>
    <font>
      <b/>
      <sz val="11"/>
      <color theme="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rgb="FF00B0F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7030A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5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color rgb="FF1E1E1E"/>
      <name val="Helvetica Neue"/>
      <family val="2"/>
    </font>
    <font>
      <b/>
      <sz val="16"/>
      <color theme="1"/>
      <name val="Helvetica Neue"/>
      <family val="2"/>
    </font>
    <font>
      <sz val="18"/>
      <color theme="2" tint="-9.9978637043366805E-2"/>
      <name val="Calibri"/>
      <family val="2"/>
      <scheme val="minor"/>
    </font>
    <font>
      <sz val="12"/>
      <color theme="2" tint="-9.9978637043366805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4"/>
      <color theme="5"/>
      <name val="Calibri"/>
      <family val="2"/>
      <scheme val="minor"/>
    </font>
    <font>
      <b/>
      <sz val="24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8F5A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2EBFF"/>
        <bgColor indexed="64"/>
      </patternFill>
    </fill>
    <fill>
      <patternFill patternType="solid">
        <fgColor rgb="FFF8ED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9E6"/>
        <bgColor indexed="64"/>
      </patternFill>
    </fill>
    <fill>
      <patternFill patternType="solid">
        <fgColor rgb="FFE8EFE3"/>
        <bgColor indexed="64"/>
      </patternFill>
    </fill>
    <fill>
      <patternFill patternType="solid">
        <fgColor rgb="FFFFDFEC"/>
        <bgColor indexed="64"/>
      </patternFill>
    </fill>
  </fills>
  <borders count="27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C000"/>
      </left>
      <right/>
      <top style="thick">
        <color rgb="FFFFC000"/>
      </top>
      <bottom style="thick">
        <color rgb="FFFFC000"/>
      </bottom>
      <diagonal/>
    </border>
    <border>
      <left/>
      <right/>
      <top style="thick">
        <color rgb="FFFFC000"/>
      </top>
      <bottom style="thick">
        <color rgb="FFFFC000"/>
      </bottom>
      <diagonal/>
    </border>
    <border>
      <left/>
      <right style="medium">
        <color indexed="64"/>
      </right>
      <top style="thick">
        <color rgb="FFFFC000"/>
      </top>
      <bottom style="thick">
        <color rgb="FFFFC000"/>
      </bottom>
      <diagonal/>
    </border>
    <border>
      <left style="medium">
        <color theme="1"/>
      </left>
      <right style="medium">
        <color indexed="64"/>
      </right>
      <top style="thick">
        <color rgb="FFFFC000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rgb="FFFFC000"/>
      </right>
      <top style="thick">
        <color rgb="FFFFC000"/>
      </top>
      <bottom/>
      <diagonal/>
    </border>
    <border>
      <left style="medium">
        <color indexed="64"/>
      </left>
      <right style="medium">
        <color indexed="64"/>
      </right>
      <top style="thick">
        <color rgb="FFFFC000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indexed="64"/>
      </bottom>
      <diagonal/>
    </border>
    <border>
      <left style="thin">
        <color theme="1"/>
      </left>
      <right style="medium">
        <color rgb="FF00B050"/>
      </right>
      <top/>
      <bottom style="medium">
        <color theme="1"/>
      </bottom>
      <diagonal/>
    </border>
    <border>
      <left/>
      <right style="medium">
        <color rgb="FF00B050"/>
      </right>
      <top/>
      <bottom style="medium">
        <color indexed="64"/>
      </bottom>
      <diagonal/>
    </border>
    <border>
      <left style="medium">
        <color rgb="FF00B05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B050"/>
      </right>
      <top style="medium">
        <color indexed="64"/>
      </top>
      <bottom style="medium">
        <color indexed="64"/>
      </bottom>
      <diagonal/>
    </border>
    <border>
      <left style="medium">
        <color rgb="FF00B050"/>
      </left>
      <right/>
      <top style="thick">
        <color theme="1"/>
      </top>
      <bottom/>
      <diagonal/>
    </border>
    <border>
      <left/>
      <right style="medium">
        <color rgb="FF00B050"/>
      </right>
      <top style="thick">
        <color theme="1"/>
      </top>
      <bottom/>
      <diagonal/>
    </border>
    <border>
      <left style="medium">
        <color rgb="FF00B050"/>
      </left>
      <right/>
      <top/>
      <bottom style="medium">
        <color theme="1"/>
      </bottom>
      <diagonal/>
    </border>
    <border>
      <left/>
      <right/>
      <top style="thick">
        <color theme="1"/>
      </top>
      <bottom/>
      <diagonal/>
    </border>
    <border>
      <left style="medium">
        <color rgb="FF00B050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rgb="FF00B05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B050"/>
      </left>
      <right style="thin">
        <color indexed="64"/>
      </right>
      <top/>
      <bottom style="medium">
        <color indexed="64"/>
      </bottom>
      <diagonal/>
    </border>
    <border>
      <left style="medium">
        <color rgb="FF00B050"/>
      </left>
      <right/>
      <top style="thick">
        <color indexed="64"/>
      </top>
      <bottom/>
      <diagonal/>
    </border>
    <border>
      <left/>
      <right style="medium">
        <color rgb="FF00B050"/>
      </right>
      <top style="thick">
        <color indexed="64"/>
      </top>
      <bottom/>
      <diagonal/>
    </border>
    <border>
      <left style="thin">
        <color indexed="64"/>
      </left>
      <right style="medium">
        <color rgb="FF00B050"/>
      </right>
      <top/>
      <bottom style="medium">
        <color indexed="64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/>
      <top/>
      <bottom/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/>
      <right style="medium">
        <color theme="5"/>
      </right>
      <top/>
      <bottom style="medium">
        <color theme="5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1"/>
      </left>
      <right style="thick">
        <color theme="1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B050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theme="9"/>
      </left>
      <right style="thick">
        <color indexed="64"/>
      </right>
      <top/>
      <bottom/>
      <diagonal/>
    </border>
    <border>
      <left/>
      <right style="thick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9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slantDashDot">
        <color indexed="64"/>
      </bottom>
      <diagonal/>
    </border>
    <border>
      <left style="thin">
        <color indexed="64"/>
      </left>
      <right/>
      <top style="slantDashDot">
        <color indexed="64"/>
      </top>
      <bottom style="medium">
        <color indexed="64"/>
      </bottom>
      <diagonal/>
    </border>
    <border>
      <left/>
      <right style="thin">
        <color theme="1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B050"/>
      </right>
      <top style="medium">
        <color indexed="64"/>
      </top>
      <bottom/>
      <diagonal/>
    </border>
    <border>
      <left style="medium">
        <color rgb="FF00B050"/>
      </left>
      <right style="medium">
        <color rgb="FF00B050"/>
      </right>
      <top style="medium">
        <color indexed="64"/>
      </top>
      <bottom/>
      <diagonal/>
    </border>
    <border>
      <left style="medium">
        <color rgb="FF00B050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rgb="FF00B050"/>
      </left>
      <right style="thick">
        <color indexed="64"/>
      </right>
      <top/>
      <bottom style="thick">
        <color indexed="64"/>
      </bottom>
      <diagonal/>
    </border>
    <border>
      <left style="thin">
        <color rgb="FF00B050"/>
      </left>
      <right style="thick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theme="5" tint="-0.24994659260841701"/>
      </left>
      <right/>
      <top/>
      <bottom/>
      <diagonal/>
    </border>
    <border>
      <left/>
      <right style="medium">
        <color theme="5" tint="-0.24994659260841701"/>
      </right>
      <top/>
      <bottom/>
      <diagonal/>
    </border>
    <border>
      <left style="medium">
        <color indexed="64"/>
      </left>
      <right style="medium">
        <color theme="5" tint="-0.24994659260841701"/>
      </right>
      <top style="medium">
        <color indexed="64"/>
      </top>
      <bottom style="medium">
        <color indexed="64"/>
      </bottom>
      <diagonal/>
    </border>
    <border>
      <left style="medium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ck">
        <color indexed="64"/>
      </left>
      <right style="thin">
        <color theme="1"/>
      </right>
      <top style="medium">
        <color indexed="64"/>
      </top>
      <bottom/>
      <diagonal/>
    </border>
    <border>
      <left style="thick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ck">
        <color theme="1"/>
      </right>
      <top style="medium">
        <color indexed="64"/>
      </top>
      <bottom/>
      <diagonal/>
    </border>
    <border>
      <left style="thick">
        <color indexed="64"/>
      </left>
      <right style="thin">
        <color theme="1"/>
      </right>
      <top/>
      <bottom style="thick">
        <color indexed="64"/>
      </bottom>
      <diagonal/>
    </border>
    <border>
      <left style="thin">
        <color theme="1"/>
      </left>
      <right style="thick">
        <color theme="1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ck">
        <color indexed="64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 style="thick">
        <color indexed="64"/>
      </right>
      <top style="thin">
        <color theme="1"/>
      </top>
      <bottom style="thin">
        <color theme="1"/>
      </bottom>
      <diagonal/>
    </border>
    <border>
      <left/>
      <right style="thick">
        <color indexed="64"/>
      </right>
      <top/>
      <bottom style="medium">
        <color theme="1"/>
      </bottom>
      <diagonal/>
    </border>
    <border>
      <left style="thin">
        <color indexed="64"/>
      </left>
      <right style="medium">
        <color theme="5" tint="-0.24994659260841701"/>
      </right>
      <top style="medium">
        <color indexed="64"/>
      </top>
      <bottom style="medium">
        <color indexed="64"/>
      </bottom>
      <diagonal/>
    </border>
    <border>
      <left style="thick">
        <color theme="1"/>
      </left>
      <right/>
      <top/>
      <bottom/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ck">
        <color theme="1"/>
      </bottom>
      <diagonal/>
    </border>
    <border>
      <left style="thin">
        <color rgb="FF00B050"/>
      </left>
      <right/>
      <top style="medium">
        <color indexed="64"/>
      </top>
      <bottom/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/>
      <bottom style="thick">
        <color indexed="64"/>
      </bottom>
      <diagonal/>
    </border>
    <border>
      <left/>
      <right style="thick">
        <color indexed="64"/>
      </right>
      <top style="medium">
        <color theme="1"/>
      </top>
      <bottom style="medium">
        <color indexed="64"/>
      </bottom>
      <diagonal/>
    </border>
    <border>
      <left style="thin">
        <color rgb="FF00B050"/>
      </left>
      <right style="thin">
        <color indexed="64"/>
      </right>
      <top style="medium">
        <color indexed="64"/>
      </top>
      <bottom/>
      <diagonal/>
    </border>
    <border>
      <left style="thin">
        <color rgb="FF00B050"/>
      </left>
      <right style="thin">
        <color indexed="64"/>
      </right>
      <top/>
      <bottom/>
      <diagonal/>
    </border>
    <border>
      <left style="thin">
        <color rgb="FF00B050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theme="5"/>
      </left>
      <right/>
      <top style="thick">
        <color theme="5"/>
      </top>
      <bottom/>
      <diagonal/>
    </border>
    <border>
      <left/>
      <right style="thick">
        <color theme="5"/>
      </right>
      <top style="thick">
        <color theme="5"/>
      </top>
      <bottom/>
      <diagonal/>
    </border>
    <border>
      <left style="thick">
        <color theme="5"/>
      </left>
      <right/>
      <top/>
      <bottom/>
      <diagonal/>
    </border>
    <border>
      <left/>
      <right style="thick">
        <color theme="5"/>
      </right>
      <top/>
      <bottom/>
      <diagonal/>
    </border>
    <border>
      <left style="thick">
        <color theme="5"/>
      </left>
      <right/>
      <top/>
      <bottom style="thick">
        <color theme="5"/>
      </bottom>
      <diagonal/>
    </border>
    <border>
      <left/>
      <right style="thick">
        <color theme="5"/>
      </right>
      <top/>
      <bottom style="thick">
        <color theme="5"/>
      </bottom>
      <diagonal/>
    </border>
    <border>
      <left style="thick">
        <color theme="5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ck">
        <color theme="5"/>
      </right>
      <top style="medium">
        <color theme="1"/>
      </top>
      <bottom style="medium">
        <color theme="1"/>
      </bottom>
      <diagonal/>
    </border>
    <border>
      <left style="thick">
        <color theme="5"/>
      </left>
      <right style="medium">
        <color theme="1"/>
      </right>
      <top style="medium">
        <color theme="1"/>
      </top>
      <bottom style="thick">
        <color theme="5"/>
      </bottom>
      <diagonal/>
    </border>
    <border>
      <left style="medium">
        <color theme="1"/>
      </left>
      <right style="thick">
        <color theme="5"/>
      </right>
      <top style="medium">
        <color theme="1"/>
      </top>
      <bottom style="thick">
        <color theme="5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theme="5"/>
      </left>
      <right/>
      <top style="medium">
        <color theme="1"/>
      </top>
      <bottom style="medium">
        <color theme="1"/>
      </bottom>
      <diagonal/>
    </border>
    <border>
      <left/>
      <right/>
      <top/>
      <bottom style="thick">
        <color theme="5"/>
      </bottom>
      <diagonal/>
    </border>
    <border>
      <left style="thick">
        <color theme="5"/>
      </left>
      <right/>
      <top style="thick">
        <color theme="5"/>
      </top>
      <bottom style="medium">
        <color theme="5"/>
      </bottom>
      <diagonal/>
    </border>
    <border>
      <left/>
      <right/>
      <top style="thick">
        <color theme="5"/>
      </top>
      <bottom style="medium">
        <color theme="5"/>
      </bottom>
      <diagonal/>
    </border>
    <border>
      <left/>
      <right style="thick">
        <color theme="5"/>
      </right>
      <top style="thick">
        <color theme="5"/>
      </top>
      <bottom style="medium">
        <color theme="5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 style="thick">
        <color rgb="FF00B050"/>
      </right>
      <top/>
      <bottom/>
      <diagonal/>
    </border>
    <border>
      <left style="thick">
        <color rgb="FF00B050"/>
      </left>
      <right style="thick">
        <color rgb="FF00B050"/>
      </right>
      <top/>
      <bottom style="medium">
        <color indexed="64"/>
      </bottom>
      <diagonal/>
    </border>
    <border>
      <left style="thick">
        <color rgb="FF00B050"/>
      </left>
      <right style="thick">
        <color rgb="FF00B050"/>
      </right>
      <top style="medium">
        <color theme="1"/>
      </top>
      <bottom style="medium">
        <color theme="1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theme="5"/>
      </left>
      <right/>
      <top/>
      <bottom style="medium">
        <color theme="1"/>
      </bottom>
      <diagonal/>
    </border>
    <border>
      <left/>
      <right style="thick">
        <color theme="5"/>
      </right>
      <top/>
      <bottom style="medium">
        <color theme="1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5"/>
      </left>
      <right/>
      <top/>
      <bottom style="medium">
        <color indexed="64"/>
      </bottom>
      <diagonal/>
    </border>
    <border>
      <left/>
      <right style="medium">
        <color theme="5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theme="5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/>
      <right style="medium">
        <color theme="1"/>
      </right>
      <top style="thick">
        <color rgb="FFFFC000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 diagonalUp="1" diagonalDown="1"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medium">
        <color indexed="64"/>
      </left>
      <right style="medium">
        <color indexed="64"/>
      </right>
      <top style="thick">
        <color theme="7"/>
      </top>
      <bottom style="medium">
        <color indexed="64"/>
      </bottom>
      <diagonal/>
    </border>
    <border>
      <left/>
      <right/>
      <top style="thick">
        <color theme="7"/>
      </top>
      <bottom style="medium">
        <color indexed="64"/>
      </bottom>
      <diagonal/>
    </border>
    <border>
      <left/>
      <right style="medium">
        <color theme="1"/>
      </right>
      <top style="thick">
        <color theme="7"/>
      </top>
      <bottom style="medium">
        <color indexed="64"/>
      </bottom>
      <diagonal/>
    </border>
    <border>
      <left style="medium">
        <color theme="1"/>
      </left>
      <right style="thick">
        <color theme="7"/>
      </right>
      <top style="thick">
        <color theme="7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/>
      <top/>
      <bottom style="thick">
        <color rgb="FFFFC000"/>
      </bottom>
      <diagonal/>
    </border>
    <border>
      <left/>
      <right style="medium">
        <color theme="1"/>
      </right>
      <top/>
      <bottom/>
      <diagonal/>
    </border>
    <border>
      <left/>
      <right/>
      <top style="thick">
        <color theme="5"/>
      </top>
      <bottom/>
      <diagonal/>
    </border>
    <border>
      <left style="thick">
        <color rgb="FF00B050"/>
      </left>
      <right style="thick">
        <color theme="5"/>
      </right>
      <top/>
      <bottom/>
      <diagonal/>
    </border>
    <border>
      <left style="thick">
        <color theme="5"/>
      </left>
      <right style="thick">
        <color theme="5"/>
      </right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00B050"/>
      </left>
      <right style="thick">
        <color rgb="FF00B050"/>
      </right>
      <top style="medium">
        <color theme="1"/>
      </top>
      <bottom style="thick">
        <color rgb="FF00B050"/>
      </bottom>
      <diagonal/>
    </border>
    <border>
      <left style="thick">
        <color theme="5"/>
      </left>
      <right/>
      <top style="medium">
        <color theme="1"/>
      </top>
      <bottom style="thick">
        <color theme="5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962">
    <xf numFmtId="0" fontId="0" fillId="0" borderId="0" xfId="0"/>
    <xf numFmtId="0" fontId="0" fillId="0" borderId="12" xfId="0" applyBorder="1"/>
    <xf numFmtId="0" fontId="0" fillId="0" borderId="3" xfId="0" applyBorder="1"/>
    <xf numFmtId="0" fontId="0" fillId="0" borderId="4" xfId="0" applyBorder="1"/>
    <xf numFmtId="0" fontId="0" fillId="0" borderId="10" xfId="0" applyBorder="1"/>
    <xf numFmtId="0" fontId="0" fillId="0" borderId="5" xfId="0" applyBorder="1"/>
    <xf numFmtId="0" fontId="10" fillId="0" borderId="12" xfId="0" applyFont="1" applyBorder="1"/>
    <xf numFmtId="0" fontId="11" fillId="0" borderId="12" xfId="0" applyFont="1" applyBorder="1" applyAlignment="1">
      <alignment vertical="center"/>
    </xf>
    <xf numFmtId="0" fontId="10" fillId="0" borderId="0" xfId="0" applyFont="1"/>
    <xf numFmtId="0" fontId="10" fillId="0" borderId="10" xfId="0" applyFont="1" applyBorder="1"/>
    <xf numFmtId="0" fontId="14" fillId="0" borderId="0" xfId="0" applyFont="1"/>
    <xf numFmtId="0" fontId="0" fillId="0" borderId="11" xfId="0" applyBorder="1"/>
    <xf numFmtId="0" fontId="16" fillId="0" borderId="11" xfId="0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14" fontId="7" fillId="0" borderId="11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2" fontId="0" fillId="3" borderId="6" xfId="0" applyNumberFormat="1" applyFill="1" applyBorder="1" applyAlignment="1">
      <alignment horizontal="center"/>
    </xf>
    <xf numFmtId="0" fontId="0" fillId="5" borderId="12" xfId="0" applyFill="1" applyBorder="1"/>
    <xf numFmtId="0" fontId="0" fillId="5" borderId="0" xfId="0" applyFill="1"/>
    <xf numFmtId="0" fontId="0" fillId="5" borderId="10" xfId="0" applyFill="1" applyBorder="1"/>
    <xf numFmtId="0" fontId="0" fillId="0" borderId="4" xfId="0" applyBorder="1" applyAlignment="1">
      <alignment horizontal="center"/>
    </xf>
    <xf numFmtId="2" fontId="0" fillId="2" borderId="14" xfId="0" applyNumberForma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7" fillId="3" borderId="0" xfId="0" applyFont="1" applyFill="1"/>
    <xf numFmtId="0" fontId="0" fillId="3" borderId="10" xfId="0" applyFill="1" applyBorder="1" applyAlignment="1">
      <alignment horizontal="center" vertical="center" wrapText="1"/>
    </xf>
    <xf numFmtId="0" fontId="7" fillId="2" borderId="8" xfId="0" applyFont="1" applyFill="1" applyBorder="1"/>
    <xf numFmtId="0" fontId="0" fillId="2" borderId="9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/>
    </xf>
    <xf numFmtId="0" fontId="5" fillId="6" borderId="11" xfId="0" applyFont="1" applyFill="1" applyBorder="1" applyAlignment="1">
      <alignment horizontal="center" wrapText="1"/>
    </xf>
    <xf numFmtId="0" fontId="0" fillId="6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 wrapText="1"/>
    </xf>
    <xf numFmtId="0" fontId="0" fillId="7" borderId="2" xfId="0" applyFill="1" applyBorder="1" applyAlignment="1">
      <alignment vertical="center" wrapText="1"/>
    </xf>
    <xf numFmtId="0" fontId="0" fillId="0" borderId="22" xfId="0" applyBorder="1" applyAlignment="1">
      <alignment horizontal="center" vertical="center" wrapText="1"/>
    </xf>
    <xf numFmtId="0" fontId="7" fillId="0" borderId="22" xfId="0" applyFont="1" applyBorder="1" applyAlignment="1">
      <alignment vertical="center" wrapText="1"/>
    </xf>
    <xf numFmtId="0" fontId="8" fillId="0" borderId="22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27" xfId="0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7" fillId="4" borderId="23" xfId="0" applyFont="1" applyFill="1" applyBorder="1" applyAlignment="1">
      <alignment vertical="center" wrapText="1"/>
    </xf>
    <xf numFmtId="0" fontId="7" fillId="4" borderId="24" xfId="0" applyFont="1" applyFill="1" applyBorder="1" applyAlignment="1">
      <alignment vertical="center" wrapText="1"/>
    </xf>
    <xf numFmtId="0" fontId="7" fillId="4" borderId="25" xfId="0" applyFont="1" applyFill="1" applyBorder="1" applyAlignment="1">
      <alignment vertical="center"/>
    </xf>
    <xf numFmtId="0" fontId="7" fillId="4" borderId="26" xfId="0" applyFont="1" applyFill="1" applyBorder="1" applyAlignment="1">
      <alignment vertical="center" wrapText="1"/>
    </xf>
    <xf numFmtId="0" fontId="0" fillId="4" borderId="27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3" xfId="0" applyBorder="1"/>
    <xf numFmtId="0" fontId="0" fillId="0" borderId="35" xfId="0" applyBorder="1"/>
    <xf numFmtId="0" fontId="0" fillId="2" borderId="36" xfId="0" applyFill="1" applyBorder="1"/>
    <xf numFmtId="0" fontId="0" fillId="2" borderId="24" xfId="0" applyFill="1" applyBorder="1"/>
    <xf numFmtId="0" fontId="7" fillId="0" borderId="25" xfId="0" applyFont="1" applyBorder="1"/>
    <xf numFmtId="0" fontId="0" fillId="2" borderId="26" xfId="0" applyFill="1" applyBorder="1"/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/>
    </xf>
    <xf numFmtId="0" fontId="0" fillId="0" borderId="25" xfId="0" applyBorder="1" applyAlignment="1">
      <alignment horizontal="center"/>
    </xf>
    <xf numFmtId="2" fontId="0" fillId="2" borderId="26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7" fillId="3" borderId="23" xfId="0" applyFont="1" applyFill="1" applyBorder="1" applyAlignment="1">
      <alignment horizontal="right"/>
    </xf>
    <xf numFmtId="0" fontId="20" fillId="3" borderId="39" xfId="0" applyFont="1" applyFill="1" applyBorder="1" applyAlignment="1">
      <alignment horizontal="right"/>
    </xf>
    <xf numFmtId="0" fontId="7" fillId="3" borderId="24" xfId="0" applyFont="1" applyFill="1" applyBorder="1" applyAlignment="1">
      <alignment horizontal="center"/>
    </xf>
    <xf numFmtId="0" fontId="7" fillId="3" borderId="25" xfId="0" applyFont="1" applyFill="1" applyBorder="1"/>
    <xf numFmtId="0" fontId="0" fillId="3" borderId="26" xfId="0" applyFill="1" applyBorder="1"/>
    <xf numFmtId="0" fontId="0" fillId="3" borderId="27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0" fillId="3" borderId="32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2" fontId="0" fillId="3" borderId="40" xfId="0" applyNumberFormat="1" applyFill="1" applyBorder="1" applyAlignment="1">
      <alignment horizontal="center"/>
    </xf>
    <xf numFmtId="2" fontId="0" fillId="3" borderId="41" xfId="0" applyNumberFormat="1" applyFill="1" applyBorder="1" applyAlignment="1">
      <alignment horizontal="center"/>
    </xf>
    <xf numFmtId="2" fontId="0" fillId="3" borderId="38" xfId="0" applyNumberFormat="1" applyFill="1" applyBorder="1" applyAlignment="1">
      <alignment horizontal="center"/>
    </xf>
    <xf numFmtId="2" fontId="0" fillId="3" borderId="42" xfId="0" applyNumberFormat="1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19" fillId="0" borderId="0" xfId="0" applyFont="1"/>
    <xf numFmtId="0" fontId="8" fillId="0" borderId="21" xfId="0" applyFont="1" applyBorder="1" applyAlignment="1">
      <alignment horizontal="center" vertical="center" wrapText="1"/>
    </xf>
    <xf numFmtId="0" fontId="0" fillId="6" borderId="11" xfId="0" applyFill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0" fillId="0" borderId="21" xfId="0" applyBorder="1" applyAlignment="1">
      <alignment horizontal="center" vertical="center" wrapText="1"/>
    </xf>
    <xf numFmtId="21" fontId="7" fillId="0" borderId="11" xfId="0" applyNumberFormat="1" applyFont="1" applyBorder="1" applyAlignment="1">
      <alignment horizontal="center" vertical="center" wrapText="1"/>
    </xf>
    <xf numFmtId="0" fontId="21" fillId="3" borderId="39" xfId="0" applyFont="1" applyFill="1" applyBorder="1" applyAlignment="1">
      <alignment horizontal="center"/>
    </xf>
    <xf numFmtId="2" fontId="0" fillId="0" borderId="0" xfId="0" applyNumberFormat="1"/>
    <xf numFmtId="165" fontId="0" fillId="0" borderId="0" xfId="0" applyNumberFormat="1"/>
    <xf numFmtId="0" fontId="0" fillId="8" borderId="10" xfId="0" applyFill="1" applyBorder="1" applyAlignment="1">
      <alignment vertical="center" wrapText="1"/>
    </xf>
    <xf numFmtId="0" fontId="0" fillId="8" borderId="44" xfId="0" applyFill="1" applyBorder="1" applyAlignment="1">
      <alignment vertical="center" wrapText="1"/>
    </xf>
    <xf numFmtId="16" fontId="0" fillId="9" borderId="23" xfId="0" applyNumberFormat="1" applyFill="1" applyBorder="1" applyAlignment="1">
      <alignment horizontal="center" vertical="center" wrapText="1"/>
    </xf>
    <xf numFmtId="16" fontId="0" fillId="9" borderId="39" xfId="0" applyNumberFormat="1" applyFill="1" applyBorder="1" applyAlignment="1">
      <alignment horizontal="center" vertical="center" wrapText="1"/>
    </xf>
    <xf numFmtId="0" fontId="7" fillId="9" borderId="25" xfId="0" applyFont="1" applyFill="1" applyBorder="1" applyAlignment="1">
      <alignment horizontal="center" vertical="center" wrapText="1"/>
    </xf>
    <xf numFmtId="0" fontId="7" fillId="9" borderId="0" xfId="0" applyFont="1" applyFill="1" applyAlignment="1">
      <alignment horizontal="center" vertical="center" wrapText="1"/>
    </xf>
    <xf numFmtId="0" fontId="0" fillId="9" borderId="27" xfId="0" applyFill="1" applyBorder="1" applyAlignment="1">
      <alignment horizontal="center" vertical="center" wrapText="1"/>
    </xf>
    <xf numFmtId="0" fontId="0" fillId="9" borderId="22" xfId="0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 wrapText="1"/>
    </xf>
    <xf numFmtId="1" fontId="0" fillId="0" borderId="0" xfId="0" applyNumberFormat="1"/>
    <xf numFmtId="0" fontId="22" fillId="0" borderId="0" xfId="0" applyFont="1"/>
    <xf numFmtId="0" fontId="22" fillId="0" borderId="0" xfId="0" applyFont="1" applyAlignment="1">
      <alignment horizontal="center"/>
    </xf>
    <xf numFmtId="1" fontId="22" fillId="0" borderId="0" xfId="0" applyNumberFormat="1" applyFont="1" applyAlignment="1">
      <alignment horizontal="center"/>
    </xf>
    <xf numFmtId="21" fontId="7" fillId="0" borderId="0" xfId="0" applyNumberFormat="1" applyFont="1" applyAlignment="1">
      <alignment horizontal="center"/>
    </xf>
    <xf numFmtId="0" fontId="7" fillId="0" borderId="2" xfId="0" applyFont="1" applyBorder="1" applyAlignment="1">
      <alignment wrapText="1"/>
    </xf>
    <xf numFmtId="0" fontId="16" fillId="0" borderId="5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15" fontId="16" fillId="0" borderId="5" xfId="0" applyNumberFormat="1" applyFont="1" applyBorder="1" applyAlignment="1">
      <alignment vertical="center" wrapText="1"/>
    </xf>
    <xf numFmtId="0" fontId="17" fillId="0" borderId="0" xfId="0" applyFont="1"/>
    <xf numFmtId="0" fontId="7" fillId="0" borderId="46" xfId="0" applyFont="1" applyBorder="1" applyAlignment="1">
      <alignment vertical="center" wrapText="1"/>
    </xf>
    <xf numFmtId="165" fontId="7" fillId="0" borderId="0" xfId="0" applyNumberFormat="1" applyFont="1" applyAlignment="1">
      <alignment horizontal="center"/>
    </xf>
    <xf numFmtId="0" fontId="16" fillId="0" borderId="49" xfId="0" applyFont="1" applyBorder="1" applyAlignment="1">
      <alignment vertical="center"/>
    </xf>
    <xf numFmtId="0" fontId="16" fillId="0" borderId="50" xfId="0" applyFont="1" applyBorder="1" applyAlignment="1">
      <alignment vertical="center"/>
    </xf>
    <xf numFmtId="0" fontId="23" fillId="0" borderId="48" xfId="0" applyFont="1" applyBorder="1" applyAlignment="1">
      <alignment vertical="center"/>
    </xf>
    <xf numFmtId="0" fontId="23" fillId="0" borderId="49" xfId="0" applyFont="1" applyBorder="1" applyAlignment="1">
      <alignment vertical="center"/>
    </xf>
    <xf numFmtId="0" fontId="23" fillId="2" borderId="5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0" borderId="43" xfId="0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/>
    <xf numFmtId="0" fontId="23" fillId="0" borderId="46" xfId="0" applyFont="1" applyBorder="1" applyAlignment="1">
      <alignment vertical="center" wrapText="1"/>
    </xf>
    <xf numFmtId="0" fontId="23" fillId="0" borderId="13" xfId="0" applyFont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51" xfId="0" applyFont="1" applyFill="1" applyBorder="1" applyAlignment="1">
      <alignment horizontal="center" vertical="center" wrapText="1"/>
    </xf>
    <xf numFmtId="0" fontId="7" fillId="0" borderId="49" xfId="0" applyFont="1" applyBorder="1"/>
    <xf numFmtId="0" fontId="0" fillId="0" borderId="53" xfId="0" applyBorder="1"/>
    <xf numFmtId="0" fontId="23" fillId="2" borderId="54" xfId="0" applyFont="1" applyFill="1" applyBorder="1" applyAlignment="1">
      <alignment horizontal="center" vertical="center" wrapText="1"/>
    </xf>
    <xf numFmtId="21" fontId="7" fillId="0" borderId="11" xfId="0" applyNumberFormat="1" applyFont="1" applyBorder="1" applyAlignment="1">
      <alignment horizontal="center"/>
    </xf>
    <xf numFmtId="0" fontId="7" fillId="0" borderId="11" xfId="0" applyFont="1" applyBorder="1"/>
    <xf numFmtId="0" fontId="0" fillId="0" borderId="11" xfId="0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6" fillId="8" borderId="39" xfId="0" applyFont="1" applyFill="1" applyBorder="1" applyAlignment="1">
      <alignment vertical="center" wrapText="1"/>
    </xf>
    <xf numFmtId="0" fontId="4" fillId="8" borderId="0" xfId="0" applyFont="1" applyFill="1" applyAlignment="1">
      <alignment vertical="center" wrapText="1"/>
    </xf>
    <xf numFmtId="0" fontId="0" fillId="7" borderId="10" xfId="0" applyFill="1" applyBorder="1" applyAlignment="1">
      <alignment vertical="center" wrapText="1"/>
    </xf>
    <xf numFmtId="0" fontId="0" fillId="7" borderId="10" xfId="0" applyFill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0" xfId="0" applyBorder="1" applyAlignment="1">
      <alignment horizontal="center" vertical="top" wrapText="1"/>
    </xf>
    <xf numFmtId="0" fontId="0" fillId="9" borderId="55" xfId="0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5" xfId="0" applyBorder="1" applyAlignment="1">
      <alignment vertical="top" wrapText="1"/>
    </xf>
    <xf numFmtId="0" fontId="8" fillId="0" borderId="55" xfId="0" applyFont="1" applyBorder="1" applyAlignment="1">
      <alignment horizontal="center" vertical="center" wrapText="1"/>
    </xf>
    <xf numFmtId="0" fontId="7" fillId="9" borderId="56" xfId="0" applyFont="1" applyFill="1" applyBorder="1" applyAlignment="1">
      <alignment horizontal="center" vertical="center" wrapText="1"/>
    </xf>
    <xf numFmtId="0" fontId="7" fillId="9" borderId="57" xfId="0" applyFont="1" applyFill="1" applyBorder="1" applyAlignment="1">
      <alignment horizontal="center" vertical="center" wrapText="1"/>
    </xf>
    <xf numFmtId="0" fontId="0" fillId="9" borderId="58" xfId="0" applyFill="1" applyBorder="1" applyAlignment="1">
      <alignment vertical="center"/>
    </xf>
    <xf numFmtId="0" fontId="0" fillId="9" borderId="59" xfId="0" applyFill="1" applyBorder="1" applyAlignment="1">
      <alignment horizontal="center" vertical="center" wrapText="1"/>
    </xf>
    <xf numFmtId="0" fontId="0" fillId="9" borderId="58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58" xfId="0" applyBorder="1" applyAlignment="1">
      <alignment vertical="top" wrapText="1"/>
    </xf>
    <xf numFmtId="0" fontId="0" fillId="0" borderId="60" xfId="0" applyBorder="1" applyAlignment="1">
      <alignment vertical="top" wrapText="1"/>
    </xf>
    <xf numFmtId="0" fontId="8" fillId="0" borderId="58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16" fontId="0" fillId="9" borderId="63" xfId="0" applyNumberFormat="1" applyFill="1" applyBorder="1" applyAlignment="1">
      <alignment horizontal="center" vertical="center" wrapText="1"/>
    </xf>
    <xf numFmtId="16" fontId="0" fillId="9" borderId="64" xfId="0" applyNumberFormat="1" applyFill="1" applyBorder="1" applyAlignment="1">
      <alignment horizontal="center" vertical="center" wrapText="1"/>
    </xf>
    <xf numFmtId="0" fontId="0" fillId="9" borderId="65" xfId="0" applyFill="1" applyBorder="1" applyAlignment="1">
      <alignment horizontal="left" vertical="center"/>
    </xf>
    <xf numFmtId="16" fontId="0" fillId="9" borderId="66" xfId="0" applyNumberFormat="1" applyFill="1" applyBorder="1" applyAlignment="1">
      <alignment horizontal="center" vertical="center" wrapText="1"/>
    </xf>
    <xf numFmtId="0" fontId="0" fillId="9" borderId="44" xfId="0" applyFill="1" applyBorder="1" applyAlignment="1">
      <alignment horizontal="center" vertical="center" wrapText="1"/>
    </xf>
    <xf numFmtId="0" fontId="8" fillId="0" borderId="69" xfId="0" applyFont="1" applyBorder="1" applyAlignment="1">
      <alignment horizontal="center" vertical="center" wrapText="1"/>
    </xf>
    <xf numFmtId="16" fontId="0" fillId="9" borderId="63" xfId="0" applyNumberFormat="1" applyFill="1" applyBorder="1" applyAlignment="1">
      <alignment horizontal="center" vertical="center"/>
    </xf>
    <xf numFmtId="0" fontId="0" fillId="9" borderId="69" xfId="0" applyFill="1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69" xfId="0" applyBorder="1" applyAlignment="1">
      <alignment vertical="top" wrapText="1"/>
    </xf>
    <xf numFmtId="0" fontId="0" fillId="9" borderId="0" xfId="0" applyFill="1"/>
    <xf numFmtId="16" fontId="0" fillId="9" borderId="70" xfId="0" applyNumberFormat="1" applyFill="1" applyBorder="1" applyAlignment="1">
      <alignment horizontal="center" vertical="center" wrapText="1"/>
    </xf>
    <xf numFmtId="16" fontId="0" fillId="9" borderId="71" xfId="0" applyNumberFormat="1" applyFill="1" applyBorder="1" applyAlignment="1">
      <alignment horizontal="center" vertical="center" wrapText="1"/>
    </xf>
    <xf numFmtId="0" fontId="0" fillId="9" borderId="72" xfId="0" applyFill="1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7" fillId="0" borderId="69" xfId="0" applyFont="1" applyBorder="1" applyAlignment="1">
      <alignment vertical="center" wrapText="1"/>
    </xf>
    <xf numFmtId="0" fontId="7" fillId="0" borderId="72" xfId="0" applyFont="1" applyBorder="1" applyAlignment="1">
      <alignment vertical="center" wrapText="1"/>
    </xf>
    <xf numFmtId="0" fontId="9" fillId="0" borderId="69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0" fillId="0" borderId="68" xfId="0" applyBorder="1" applyAlignment="1">
      <alignment horizontal="center"/>
    </xf>
    <xf numFmtId="0" fontId="9" fillId="0" borderId="68" xfId="0" applyFont="1" applyBorder="1" applyAlignment="1">
      <alignment horizontal="center" vertical="center" wrapText="1"/>
    </xf>
    <xf numFmtId="0" fontId="7" fillId="0" borderId="60" xfId="0" applyFont="1" applyBorder="1" applyAlignment="1">
      <alignment vertical="center" wrapText="1"/>
    </xf>
    <xf numFmtId="165" fontId="0" fillId="9" borderId="58" xfId="0" applyNumberFormat="1" applyFill="1" applyBorder="1" applyAlignment="1">
      <alignment horizontal="center" vertical="center" wrapText="1"/>
    </xf>
    <xf numFmtId="0" fontId="7" fillId="0" borderId="58" xfId="0" applyFont="1" applyBorder="1" applyAlignment="1">
      <alignment vertical="center" wrapText="1"/>
    </xf>
    <xf numFmtId="0" fontId="8" fillId="0" borderId="61" xfId="0" applyFont="1" applyBorder="1" applyAlignment="1">
      <alignment horizontal="center" vertical="center" wrapText="1"/>
    </xf>
    <xf numFmtId="0" fontId="0" fillId="0" borderId="61" xfId="0" applyBorder="1" applyAlignment="1">
      <alignment horizontal="center"/>
    </xf>
    <xf numFmtId="165" fontId="0" fillId="9" borderId="27" xfId="0" applyNumberFormat="1" applyFill="1" applyBorder="1" applyAlignment="1">
      <alignment horizontal="center" vertical="center" wrapText="1"/>
    </xf>
    <xf numFmtId="0" fontId="7" fillId="0" borderId="27" xfId="0" applyFont="1" applyBorder="1" applyAlignment="1">
      <alignment vertical="center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5" borderId="0" xfId="0" applyFill="1" applyAlignment="1">
      <alignment horizontal="center"/>
    </xf>
    <xf numFmtId="0" fontId="0" fillId="0" borderId="22" xfId="0" applyBorder="1" applyAlignment="1">
      <alignment horizontal="center"/>
    </xf>
    <xf numFmtId="1" fontId="0" fillId="0" borderId="0" xfId="0" applyNumberFormat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0" fillId="9" borderId="58" xfId="0" applyFill="1" applyBorder="1" applyAlignment="1">
      <alignment horizontal="left" vertical="center"/>
    </xf>
    <xf numFmtId="0" fontId="16" fillId="0" borderId="73" xfId="0" applyFont="1" applyBorder="1"/>
    <xf numFmtId="0" fontId="0" fillId="0" borderId="74" xfId="0" applyBorder="1"/>
    <xf numFmtId="0" fontId="0" fillId="0" borderId="75" xfId="0" applyBorder="1"/>
    <xf numFmtId="0" fontId="0" fillId="0" borderId="76" xfId="0" applyBorder="1"/>
    <xf numFmtId="0" fontId="0" fillId="0" borderId="77" xfId="0" applyBorder="1"/>
    <xf numFmtId="21" fontId="0" fillId="0" borderId="0" xfId="0" applyNumberFormat="1"/>
    <xf numFmtId="0" fontId="0" fillId="0" borderId="78" xfId="0" applyBorder="1"/>
    <xf numFmtId="0" fontId="0" fillId="0" borderId="79" xfId="0" applyBorder="1"/>
    <xf numFmtId="2" fontId="0" fillId="0" borderId="79" xfId="0" applyNumberFormat="1" applyBorder="1"/>
    <xf numFmtId="0" fontId="0" fillId="0" borderId="80" xfId="0" applyBorder="1"/>
    <xf numFmtId="0" fontId="0" fillId="9" borderId="81" xfId="0" applyFill="1" applyBorder="1" applyAlignment="1">
      <alignment vertical="center"/>
    </xf>
    <xf numFmtId="0" fontId="16" fillId="0" borderId="74" xfId="0" applyFont="1" applyBorder="1"/>
    <xf numFmtId="0" fontId="7" fillId="0" borderId="0" xfId="0" applyFont="1" applyAlignment="1">
      <alignment horizontal="center"/>
    </xf>
    <xf numFmtId="0" fontId="0" fillId="9" borderId="82" xfId="0" applyFill="1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7" fillId="0" borderId="82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2" fontId="0" fillId="10" borderId="83" xfId="0" applyNumberFormat="1" applyFill="1" applyBorder="1" applyAlignment="1">
      <alignment horizontal="center"/>
    </xf>
    <xf numFmtId="0" fontId="10" fillId="0" borderId="85" xfId="0" applyFont="1" applyBorder="1"/>
    <xf numFmtId="0" fontId="0" fillId="0" borderId="85" xfId="0" applyBorder="1"/>
    <xf numFmtId="0" fontId="10" fillId="0" borderId="87" xfId="0" applyFont="1" applyBorder="1"/>
    <xf numFmtId="0" fontId="0" fillId="0" borderId="87" xfId="0" applyBorder="1"/>
    <xf numFmtId="0" fontId="25" fillId="0" borderId="87" xfId="0" applyFont="1" applyBorder="1"/>
    <xf numFmtId="0" fontId="25" fillId="0" borderId="84" xfId="0" applyFont="1" applyBorder="1"/>
    <xf numFmtId="0" fontId="25" fillId="0" borderId="85" xfId="0" applyFont="1" applyBorder="1"/>
    <xf numFmtId="0" fontId="25" fillId="0" borderId="9" xfId="0" applyFont="1" applyBorder="1"/>
    <xf numFmtId="0" fontId="25" fillId="0" borderId="10" xfId="0" applyFont="1" applyBorder="1"/>
    <xf numFmtId="0" fontId="0" fillId="0" borderId="88" xfId="0" applyBorder="1"/>
    <xf numFmtId="0" fontId="0" fillId="0" borderId="89" xfId="0" applyBorder="1"/>
    <xf numFmtId="0" fontId="0" fillId="0" borderId="90" xfId="0" applyBorder="1"/>
    <xf numFmtId="0" fontId="0" fillId="0" borderId="91" xfId="0" applyBorder="1"/>
    <xf numFmtId="0" fontId="0" fillId="0" borderId="92" xfId="0" applyBorder="1"/>
    <xf numFmtId="0" fontId="0" fillId="0" borderId="93" xfId="0" applyBorder="1"/>
    <xf numFmtId="0" fontId="0" fillId="0" borderId="94" xfId="0" applyBorder="1"/>
    <xf numFmtId="0" fontId="0" fillId="0" borderId="95" xfId="0" applyBorder="1"/>
    <xf numFmtId="0" fontId="0" fillId="0" borderId="96" xfId="0" applyBorder="1"/>
    <xf numFmtId="0" fontId="0" fillId="0" borderId="97" xfId="0" applyBorder="1"/>
    <xf numFmtId="0" fontId="5" fillId="0" borderId="7" xfId="0" applyFont="1" applyBorder="1"/>
    <xf numFmtId="0" fontId="5" fillId="0" borderId="8" xfId="0" applyFont="1" applyBorder="1"/>
    <xf numFmtId="0" fontId="26" fillId="0" borderId="7" xfId="0" applyFont="1" applyBorder="1"/>
    <xf numFmtId="0" fontId="26" fillId="0" borderId="8" xfId="0" applyFont="1" applyBorder="1"/>
    <xf numFmtId="0" fontId="26" fillId="0" borderId="9" xfId="0" applyFont="1" applyBorder="1"/>
    <xf numFmtId="0" fontId="27" fillId="0" borderId="86" xfId="0" applyFont="1" applyBorder="1"/>
    <xf numFmtId="0" fontId="0" fillId="0" borderId="98" xfId="0" applyBorder="1"/>
    <xf numFmtId="0" fontId="0" fillId="0" borderId="58" xfId="0" applyBorder="1" applyAlignment="1">
      <alignment horizontal="center" vertical="top" wrapText="1"/>
    </xf>
    <xf numFmtId="0" fontId="0" fillId="0" borderId="60" xfId="0" applyBorder="1" applyAlignment="1">
      <alignment horizontal="center" vertical="top" wrapText="1"/>
    </xf>
    <xf numFmtId="0" fontId="0" fillId="0" borderId="55" xfId="0" applyBorder="1" applyAlignment="1">
      <alignment horizontal="center" vertical="top" wrapText="1"/>
    </xf>
    <xf numFmtId="0" fontId="0" fillId="0" borderId="69" xfId="0" applyBorder="1" applyAlignment="1">
      <alignment horizontal="center" vertical="top" wrapText="1"/>
    </xf>
    <xf numFmtId="0" fontId="0" fillId="9" borderId="58" xfId="0" applyFill="1" applyBorder="1" applyAlignment="1">
      <alignment horizontal="left" vertical="center" indent="1"/>
    </xf>
    <xf numFmtId="0" fontId="18" fillId="0" borderId="0" xfId="0" applyFont="1"/>
    <xf numFmtId="0" fontId="14" fillId="0" borderId="22" xfId="0" applyFont="1" applyBorder="1" applyAlignment="1">
      <alignment horizontal="center" vertical="center" wrapText="1"/>
    </xf>
    <xf numFmtId="2" fontId="0" fillId="3" borderId="25" xfId="0" applyNumberFormat="1" applyFill="1" applyBorder="1" applyAlignment="1">
      <alignment horizontal="center"/>
    </xf>
    <xf numFmtId="2" fontId="0" fillId="3" borderId="19" xfId="0" applyNumberFormat="1" applyFill="1" applyBorder="1" applyAlignment="1">
      <alignment horizontal="center"/>
    </xf>
    <xf numFmtId="2" fontId="0" fillId="3" borderId="20" xfId="0" applyNumberFormat="1" applyFill="1" applyBorder="1" applyAlignment="1">
      <alignment horizontal="center"/>
    </xf>
    <xf numFmtId="2" fontId="0" fillId="3" borderId="33" xfId="0" applyNumberFormat="1" applyFill="1" applyBorder="1" applyAlignment="1">
      <alignment horizontal="center"/>
    </xf>
    <xf numFmtId="166" fontId="0" fillId="0" borderId="10" xfId="0" applyNumberFormat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166" fontId="3" fillId="0" borderId="10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9" borderId="10" xfId="0" applyFill="1" applyBorder="1" applyAlignment="1">
      <alignment horizontal="left" vertical="center"/>
    </xf>
    <xf numFmtId="0" fontId="3" fillId="0" borderId="21" xfId="0" applyFont="1" applyBorder="1" applyAlignment="1">
      <alignment horizontal="center" vertical="center" wrapText="1"/>
    </xf>
    <xf numFmtId="0" fontId="3" fillId="7" borderId="43" xfId="0" applyFont="1" applyFill="1" applyBorder="1" applyAlignment="1">
      <alignment vertical="center" wrapText="1"/>
    </xf>
    <xf numFmtId="0" fontId="3" fillId="7" borderId="5" xfId="0" applyFont="1" applyFill="1" applyBorder="1" applyAlignment="1">
      <alignment vertical="center" wrapText="1"/>
    </xf>
    <xf numFmtId="0" fontId="3" fillId="0" borderId="68" xfId="0" applyFont="1" applyBorder="1" applyAlignment="1">
      <alignment horizontal="center" vertical="center" wrapText="1"/>
    </xf>
    <xf numFmtId="166" fontId="3" fillId="0" borderId="10" xfId="0" applyNumberFormat="1" applyFont="1" applyBorder="1" applyAlignment="1">
      <alignment horizontal="center" vertical="center"/>
    </xf>
    <xf numFmtId="0" fontId="0" fillId="9" borderId="21" xfId="0" applyFill="1" applyBorder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7" fillId="4" borderId="39" xfId="0" applyFont="1" applyFill="1" applyBorder="1" applyAlignment="1">
      <alignment vertical="center" wrapText="1"/>
    </xf>
    <xf numFmtId="0" fontId="0" fillId="4" borderId="10" xfId="0" applyFill="1" applyBorder="1" applyAlignment="1">
      <alignment horizontal="center" vertical="center" wrapText="1"/>
    </xf>
    <xf numFmtId="0" fontId="7" fillId="4" borderId="44" xfId="0" applyFont="1" applyFill="1" applyBorder="1" applyAlignment="1">
      <alignment vertical="center" wrapText="1"/>
    </xf>
    <xf numFmtId="0" fontId="0" fillId="4" borderId="101" xfId="0" applyFill="1" applyBorder="1" applyAlignment="1">
      <alignment horizontal="center"/>
    </xf>
    <xf numFmtId="0" fontId="0" fillId="4" borderId="26" xfId="0" applyFill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165" fontId="0" fillId="9" borderId="22" xfId="0" applyNumberFormat="1" applyFill="1" applyBorder="1" applyAlignment="1">
      <alignment horizontal="center" vertical="center" wrapText="1"/>
    </xf>
    <xf numFmtId="0" fontId="0" fillId="4" borderId="44" xfId="0" applyFill="1" applyBorder="1" applyAlignment="1">
      <alignment horizontal="center" vertical="center" wrapText="1"/>
    </xf>
    <xf numFmtId="0" fontId="0" fillId="4" borderId="104" xfId="0" applyFill="1" applyBorder="1" applyAlignment="1">
      <alignment horizontal="center"/>
    </xf>
    <xf numFmtId="0" fontId="0" fillId="4" borderId="105" xfId="0" applyFill="1" applyBorder="1" applyAlignment="1">
      <alignment horizontal="center" vertical="center" wrapText="1"/>
    </xf>
    <xf numFmtId="0" fontId="7" fillId="4" borderId="106" xfId="0" applyFont="1" applyFill="1" applyBorder="1" applyAlignment="1">
      <alignment vertical="center" wrapText="1"/>
    </xf>
    <xf numFmtId="0" fontId="0" fillId="4" borderId="107" xfId="0" applyFill="1" applyBorder="1" applyAlignment="1">
      <alignment horizontal="center"/>
    </xf>
    <xf numFmtId="0" fontId="3" fillId="8" borderId="23" xfId="0" applyFont="1" applyFill="1" applyBorder="1" applyAlignment="1">
      <alignment vertical="center" wrapText="1"/>
    </xf>
    <xf numFmtId="0" fontId="3" fillId="8" borderId="39" xfId="0" applyFont="1" applyFill="1" applyBorder="1" applyAlignment="1">
      <alignment vertical="center" wrapText="1"/>
    </xf>
    <xf numFmtId="0" fontId="3" fillId="8" borderId="25" xfId="0" applyFont="1" applyFill="1" applyBorder="1" applyAlignment="1">
      <alignment vertical="center" wrapText="1"/>
    </xf>
    <xf numFmtId="0" fontId="3" fillId="8" borderId="0" xfId="0" applyFont="1" applyFill="1" applyAlignment="1">
      <alignment vertical="center" wrapText="1"/>
    </xf>
    <xf numFmtId="15" fontId="3" fillId="8" borderId="27" xfId="0" applyNumberFormat="1" applyFont="1" applyFill="1" applyBorder="1" applyAlignment="1">
      <alignment vertical="center" wrapText="1"/>
    </xf>
    <xf numFmtId="15" fontId="3" fillId="8" borderId="27" xfId="0" applyNumberFormat="1" applyFont="1" applyFill="1" applyBorder="1" applyAlignment="1">
      <alignment vertical="center"/>
    </xf>
    <xf numFmtId="15" fontId="3" fillId="7" borderId="43" xfId="0" applyNumberFormat="1" applyFont="1" applyFill="1" applyBorder="1" applyAlignment="1">
      <alignment vertical="center" wrapText="1"/>
    </xf>
    <xf numFmtId="0" fontId="3" fillId="7" borderId="2" xfId="0" applyFont="1" applyFill="1" applyBorder="1" applyAlignment="1">
      <alignment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10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0" borderId="6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68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61" xfId="0" applyFont="1" applyBorder="1" applyAlignment="1">
      <alignment horizontal="center" vertical="center" wrapText="1"/>
    </xf>
    <xf numFmtId="0" fontId="3" fillId="7" borderId="10" xfId="0" applyFont="1" applyFill="1" applyBorder="1" applyAlignment="1">
      <alignment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166" fontId="3" fillId="0" borderId="22" xfId="0" applyNumberFormat="1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166" fontId="3" fillId="0" borderId="60" xfId="0" applyNumberFormat="1" applyFont="1" applyBorder="1" applyAlignment="1">
      <alignment horizontal="center" vertical="center" wrapText="1"/>
    </xf>
    <xf numFmtId="0" fontId="3" fillId="7" borderId="46" xfId="0" applyFont="1" applyFill="1" applyBorder="1" applyAlignment="1">
      <alignment vertical="center" wrapText="1"/>
    </xf>
    <xf numFmtId="0" fontId="3" fillId="7" borderId="11" xfId="0" applyFont="1" applyFill="1" applyBorder="1" applyAlignment="1">
      <alignment vertical="center" wrapText="1"/>
    </xf>
    <xf numFmtId="0" fontId="3" fillId="7" borderId="47" xfId="0" applyFont="1" applyFill="1" applyBorder="1" applyAlignment="1">
      <alignment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5" borderId="7" xfId="0" applyFont="1" applyFill="1" applyBorder="1" applyAlignment="1">
      <alignment vertical="center" wrapText="1"/>
    </xf>
    <xf numFmtId="0" fontId="3" fillId="5" borderId="8" xfId="0" applyFont="1" applyFill="1" applyBorder="1" applyAlignment="1">
      <alignment vertical="center"/>
    </xf>
    <xf numFmtId="0" fontId="3" fillId="5" borderId="9" xfId="0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/>
    <xf numFmtId="45" fontId="0" fillId="0" borderId="0" xfId="0" applyNumberFormat="1"/>
    <xf numFmtId="1" fontId="0" fillId="0" borderId="0" xfId="0" applyNumberFormat="1" applyAlignment="1">
      <alignment horizontal="right"/>
    </xf>
    <xf numFmtId="0" fontId="31" fillId="0" borderId="77" xfId="0" applyFont="1" applyBorder="1"/>
    <xf numFmtId="166" fontId="3" fillId="0" borderId="22" xfId="0" applyNumberFormat="1" applyFont="1" applyBorder="1" applyAlignment="1">
      <alignment horizontal="center"/>
    </xf>
    <xf numFmtId="166" fontId="3" fillId="0" borderId="21" xfId="0" applyNumberFormat="1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0" fillId="7" borderId="10" xfId="0" applyFill="1" applyBorder="1" applyAlignment="1">
      <alignment vertical="center"/>
    </xf>
    <xf numFmtId="0" fontId="3" fillId="0" borderId="67" xfId="0" applyFont="1" applyBorder="1" applyAlignment="1">
      <alignment horizontal="center" vertical="center" wrapText="1"/>
    </xf>
    <xf numFmtId="166" fontId="3" fillId="0" borderId="10" xfId="0" applyNumberFormat="1" applyFont="1" applyBorder="1" applyAlignment="1">
      <alignment horizontal="center"/>
    </xf>
    <xf numFmtId="166" fontId="3" fillId="0" borderId="45" xfId="0" applyNumberFormat="1" applyFont="1" applyBorder="1" applyAlignment="1">
      <alignment horizontal="center" vertical="center" wrapText="1"/>
    </xf>
    <xf numFmtId="0" fontId="0" fillId="10" borderId="110" xfId="0" applyFill="1" applyBorder="1" applyAlignment="1">
      <alignment horizontal="center" vertical="center" wrapText="1"/>
    </xf>
    <xf numFmtId="0" fontId="0" fillId="10" borderId="81" xfId="0" applyFill="1" applyBorder="1" applyAlignment="1">
      <alignment horizontal="center"/>
    </xf>
    <xf numFmtId="2" fontId="0" fillId="10" borderId="110" xfId="0" applyNumberFormat="1" applyFill="1" applyBorder="1" applyAlignment="1">
      <alignment horizontal="center"/>
    </xf>
    <xf numFmtId="0" fontId="0" fillId="4" borderId="26" xfId="0" applyFill="1" applyBorder="1"/>
    <xf numFmtId="0" fontId="0" fillId="4" borderId="25" xfId="0" applyFill="1" applyBorder="1" applyAlignment="1">
      <alignment horizontal="center" vertical="center" wrapText="1"/>
    </xf>
    <xf numFmtId="1" fontId="0" fillId="4" borderId="25" xfId="0" applyNumberFormat="1" applyFill="1" applyBorder="1" applyAlignment="1">
      <alignment horizontal="center"/>
    </xf>
    <xf numFmtId="1" fontId="0" fillId="4" borderId="26" xfId="0" applyNumberFormat="1" applyFill="1" applyBorder="1" applyAlignment="1">
      <alignment horizontal="center"/>
    </xf>
    <xf numFmtId="1" fontId="0" fillId="4" borderId="37" xfId="0" applyNumberFormat="1" applyFill="1" applyBorder="1" applyAlignment="1">
      <alignment horizontal="center"/>
    </xf>
    <xf numFmtId="1" fontId="0" fillId="4" borderId="34" xfId="0" applyNumberFormat="1" applyFill="1" applyBorder="1" applyAlignment="1">
      <alignment horizontal="center"/>
    </xf>
    <xf numFmtId="0" fontId="7" fillId="0" borderId="111" xfId="0" applyFont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29" fillId="4" borderId="25" xfId="0" applyFont="1" applyFill="1" applyBorder="1"/>
    <xf numFmtId="0" fontId="29" fillId="10" borderId="112" xfId="0" applyFont="1" applyFill="1" applyBorder="1" applyAlignment="1">
      <alignment horizontal="left" indent="1"/>
    </xf>
    <xf numFmtId="0" fontId="29" fillId="11" borderId="114" xfId="0" applyFont="1" applyFill="1" applyBorder="1" applyAlignment="1">
      <alignment horizontal="left" indent="1"/>
    </xf>
    <xf numFmtId="0" fontId="29" fillId="11" borderId="115" xfId="0" applyFont="1" applyFill="1" applyBorder="1" applyAlignment="1">
      <alignment horizontal="center"/>
    </xf>
    <xf numFmtId="0" fontId="28" fillId="11" borderId="115" xfId="0" applyFont="1" applyFill="1" applyBorder="1" applyAlignment="1">
      <alignment horizontal="center"/>
    </xf>
    <xf numFmtId="0" fontId="29" fillId="11" borderId="116" xfId="0" applyFont="1" applyFill="1" applyBorder="1" applyAlignment="1">
      <alignment horizontal="left"/>
    </xf>
    <xf numFmtId="0" fontId="0" fillId="9" borderId="58" xfId="0" applyFill="1" applyBorder="1" applyAlignment="1">
      <alignment horizontal="center" vertical="center"/>
    </xf>
    <xf numFmtId="0" fontId="3" fillId="7" borderId="7" xfId="0" applyFont="1" applyFill="1" applyBorder="1" applyAlignment="1">
      <alignment vertical="center" wrapText="1"/>
    </xf>
    <xf numFmtId="0" fontId="3" fillId="0" borderId="119" xfId="0" applyFont="1" applyBorder="1" applyAlignment="1">
      <alignment horizontal="center" vertical="center" wrapText="1"/>
    </xf>
    <xf numFmtId="0" fontId="3" fillId="0" borderId="12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1" xfId="0" applyFont="1" applyBorder="1" applyAlignment="1">
      <alignment horizontal="center" vertical="center" wrapText="1"/>
    </xf>
    <xf numFmtId="0" fontId="3" fillId="0" borderId="12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4" borderId="125" xfId="0" applyFill="1" applyBorder="1" applyAlignment="1">
      <alignment horizontal="center"/>
    </xf>
    <xf numFmtId="0" fontId="0" fillId="4" borderId="127" xfId="0" applyFill="1" applyBorder="1" applyAlignment="1">
      <alignment horizontal="center"/>
    </xf>
    <xf numFmtId="0" fontId="0" fillId="4" borderId="126" xfId="0" applyFill="1" applyBorder="1" applyAlignment="1">
      <alignment horizontal="center"/>
    </xf>
    <xf numFmtId="0" fontId="0" fillId="0" borderId="124" xfId="0" applyBorder="1" applyAlignment="1">
      <alignment horizontal="center"/>
    </xf>
    <xf numFmtId="2" fontId="0" fillId="2" borderId="41" xfId="0" applyNumberFormat="1" applyFill="1" applyBorder="1" applyAlignment="1">
      <alignment horizontal="center"/>
    </xf>
    <xf numFmtId="0" fontId="0" fillId="0" borderId="33" xfId="0" applyBorder="1" applyAlignment="1">
      <alignment horizontal="center"/>
    </xf>
    <xf numFmtId="2" fontId="0" fillId="2" borderId="42" xfId="0" applyNumberFormat="1" applyFill="1" applyBorder="1" applyAlignment="1">
      <alignment horizontal="center"/>
    </xf>
    <xf numFmtId="2" fontId="0" fillId="3" borderId="124" xfId="0" applyNumberFormat="1" applyFill="1" applyBorder="1" applyAlignment="1">
      <alignment horizontal="center"/>
    </xf>
    <xf numFmtId="2" fontId="0" fillId="3" borderId="14" xfId="0" applyNumberFormat="1" applyFill="1" applyBorder="1" applyAlignment="1">
      <alignment horizontal="center"/>
    </xf>
    <xf numFmtId="2" fontId="0" fillId="10" borderId="124" xfId="0" applyNumberFormat="1" applyFill="1" applyBorder="1" applyAlignment="1">
      <alignment horizontal="center"/>
    </xf>
    <xf numFmtId="2" fontId="0" fillId="10" borderId="33" xfId="0" applyNumberFormat="1" applyFill="1" applyBorder="1" applyAlignment="1">
      <alignment horizontal="center"/>
    </xf>
    <xf numFmtId="2" fontId="0" fillId="3" borderId="101" xfId="0" applyNumberFormat="1" applyFill="1" applyBorder="1" applyAlignment="1">
      <alignment horizontal="center"/>
    </xf>
    <xf numFmtId="2" fontId="0" fillId="3" borderId="103" xfId="0" applyNumberFormat="1" applyFill="1" applyBorder="1" applyAlignment="1">
      <alignment horizontal="center"/>
    </xf>
    <xf numFmtId="0" fontId="3" fillId="0" borderId="128" xfId="0" applyFont="1" applyBorder="1" applyAlignment="1">
      <alignment horizontal="center" vertical="center" wrapText="1"/>
    </xf>
    <xf numFmtId="0" fontId="3" fillId="7" borderId="45" xfId="0" applyFont="1" applyFill="1" applyBorder="1" applyAlignment="1">
      <alignment vertical="center" wrapText="1"/>
    </xf>
    <xf numFmtId="0" fontId="3" fillId="7" borderId="128" xfId="0" applyFont="1" applyFill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29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3" fillId="0" borderId="13" xfId="0" applyFont="1" applyBorder="1"/>
    <xf numFmtId="2" fontId="0" fillId="2" borderId="6" xfId="0" applyNumberFormat="1" applyFill="1" applyBorder="1" applyAlignment="1">
      <alignment horizontal="center"/>
    </xf>
    <xf numFmtId="2" fontId="0" fillId="2" borderId="131" xfId="0" applyNumberFormat="1" applyFill="1" applyBorder="1" applyAlignment="1">
      <alignment horizontal="center"/>
    </xf>
    <xf numFmtId="0" fontId="0" fillId="0" borderId="130" xfId="0" applyBorder="1" applyAlignment="1">
      <alignment horizontal="center"/>
    </xf>
    <xf numFmtId="0" fontId="16" fillId="2" borderId="10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vertical="top" wrapText="1"/>
    </xf>
    <xf numFmtId="0" fontId="6" fillId="0" borderId="132" xfId="0" applyFont="1" applyBorder="1"/>
    <xf numFmtId="0" fontId="6" fillId="0" borderId="0" xfId="0" applyFont="1"/>
    <xf numFmtId="0" fontId="6" fillId="0" borderId="134" xfId="0" applyFont="1" applyBorder="1"/>
    <xf numFmtId="0" fontId="6" fillId="0" borderId="133" xfId="0" applyFont="1" applyBorder="1"/>
    <xf numFmtId="0" fontId="6" fillId="0" borderId="101" xfId="0" applyFont="1" applyBorder="1"/>
    <xf numFmtId="0" fontId="6" fillId="0" borderId="6" xfId="0" applyFont="1" applyBorder="1"/>
    <xf numFmtId="14" fontId="17" fillId="0" borderId="133" xfId="0" applyNumberFormat="1" applyFont="1" applyBorder="1"/>
    <xf numFmtId="0" fontId="0" fillId="0" borderId="135" xfId="0" applyBorder="1"/>
    <xf numFmtId="0" fontId="0" fillId="0" borderId="136" xfId="0" applyBorder="1"/>
    <xf numFmtId="0" fontId="16" fillId="2" borderId="11" xfId="0" applyFont="1" applyFill="1" applyBorder="1" applyAlignment="1">
      <alignment horizontal="center" vertical="center" wrapText="1"/>
    </xf>
    <xf numFmtId="0" fontId="7" fillId="2" borderId="137" xfId="0" applyFont="1" applyFill="1" applyBorder="1" applyAlignment="1">
      <alignment horizontal="center" vertical="center" wrapText="1"/>
    </xf>
    <xf numFmtId="0" fontId="7" fillId="12" borderId="138" xfId="0" applyFont="1" applyFill="1" applyBorder="1" applyAlignment="1">
      <alignment horizontal="center" vertical="center" wrapText="1"/>
    </xf>
    <xf numFmtId="15" fontId="16" fillId="2" borderId="5" xfId="0" applyNumberFormat="1" applyFont="1" applyFill="1" applyBorder="1" applyAlignment="1">
      <alignment vertical="center" wrapText="1"/>
    </xf>
    <xf numFmtId="0" fontId="16" fillId="2" borderId="5" xfId="0" applyFont="1" applyFill="1" applyBorder="1" applyAlignment="1">
      <alignment vertical="center" wrapText="1"/>
    </xf>
    <xf numFmtId="166" fontId="3" fillId="0" borderId="60" xfId="0" applyNumberFormat="1" applyFont="1" applyBorder="1" applyAlignment="1">
      <alignment horizontal="center" vertical="top" wrapText="1"/>
    </xf>
    <xf numFmtId="166" fontId="3" fillId="0" borderId="60" xfId="0" applyNumberFormat="1" applyFont="1" applyBorder="1" applyAlignment="1">
      <alignment horizontal="center"/>
    </xf>
    <xf numFmtId="0" fontId="8" fillId="0" borderId="45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/>
    </xf>
    <xf numFmtId="0" fontId="8" fillId="0" borderId="61" xfId="0" applyFont="1" applyBorder="1" applyAlignment="1">
      <alignment horizontal="center"/>
    </xf>
    <xf numFmtId="0" fontId="3" fillId="4" borderId="10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2" fontId="3" fillId="2" borderId="14" xfId="0" applyNumberFormat="1" applyFont="1" applyFill="1" applyBorder="1" applyAlignment="1">
      <alignment horizontal="center"/>
    </xf>
    <xf numFmtId="2" fontId="3" fillId="2" borderId="26" xfId="0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3" borderId="25" xfId="0" applyNumberFormat="1" applyFont="1" applyFill="1" applyBorder="1" applyAlignment="1">
      <alignment horizontal="center"/>
    </xf>
    <xf numFmtId="2" fontId="3" fillId="3" borderId="20" xfId="0" applyNumberFormat="1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center"/>
    </xf>
    <xf numFmtId="2" fontId="3" fillId="3" borderId="41" xfId="0" applyNumberFormat="1" applyFont="1" applyFill="1" applyBorder="1" applyAlignment="1">
      <alignment horizontal="center"/>
    </xf>
    <xf numFmtId="1" fontId="3" fillId="4" borderId="26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0" borderId="0" xfId="0" applyFont="1"/>
    <xf numFmtId="0" fontId="29" fillId="10" borderId="0" xfId="0" applyFont="1" applyFill="1"/>
    <xf numFmtId="0" fontId="29" fillId="11" borderId="115" xfId="0" applyFont="1" applyFill="1" applyBorder="1" applyAlignment="1">
      <alignment horizontal="left"/>
    </xf>
    <xf numFmtId="0" fontId="0" fillId="10" borderId="139" xfId="0" applyFill="1" applyBorder="1" applyAlignment="1">
      <alignment horizontal="center" vertical="center" wrapText="1"/>
    </xf>
    <xf numFmtId="0" fontId="0" fillId="10" borderId="140" xfId="0" applyFill="1" applyBorder="1" applyAlignment="1">
      <alignment horizontal="center" vertical="center" wrapText="1"/>
    </xf>
    <xf numFmtId="2" fontId="0" fillId="10" borderId="139" xfId="0" applyNumberFormat="1" applyFill="1" applyBorder="1" applyAlignment="1">
      <alignment horizontal="center"/>
    </xf>
    <xf numFmtId="2" fontId="0" fillId="10" borderId="140" xfId="0" applyNumberFormat="1" applyFill="1" applyBorder="1" applyAlignment="1">
      <alignment horizontal="center"/>
    </xf>
    <xf numFmtId="2" fontId="0" fillId="10" borderId="101" xfId="0" applyNumberFormat="1" applyFill="1" applyBorder="1" applyAlignment="1">
      <alignment horizontal="center"/>
    </xf>
    <xf numFmtId="2" fontId="0" fillId="10" borderId="103" xfId="0" applyNumberFormat="1" applyFill="1" applyBorder="1" applyAlignment="1">
      <alignment horizontal="center"/>
    </xf>
    <xf numFmtId="0" fontId="0" fillId="10" borderId="25" xfId="0" applyFill="1" applyBorder="1" applyAlignment="1">
      <alignment horizontal="center" vertical="center" wrapText="1"/>
    </xf>
    <xf numFmtId="0" fontId="0" fillId="10" borderId="26" xfId="0" applyFill="1" applyBorder="1" applyAlignment="1">
      <alignment horizontal="center" vertical="center" wrapText="1"/>
    </xf>
    <xf numFmtId="0" fontId="0" fillId="10" borderId="112" xfId="0" applyFill="1" applyBorder="1" applyAlignment="1">
      <alignment horizontal="center" vertical="center" wrapText="1"/>
    </xf>
    <xf numFmtId="0" fontId="0" fillId="10" borderId="113" xfId="0" applyFill="1" applyBorder="1" applyAlignment="1">
      <alignment horizontal="center" vertical="center" wrapText="1"/>
    </xf>
    <xf numFmtId="0" fontId="0" fillId="10" borderId="27" xfId="0" applyFill="1" applyBorder="1" applyAlignment="1">
      <alignment horizontal="center"/>
    </xf>
    <xf numFmtId="0" fontId="0" fillId="10" borderId="28" xfId="0" applyFill="1" applyBorder="1" applyAlignment="1">
      <alignment horizontal="center"/>
    </xf>
    <xf numFmtId="0" fontId="29" fillId="10" borderId="113" xfId="0" applyFont="1" applyFill="1" applyBorder="1"/>
    <xf numFmtId="0" fontId="0" fillId="10" borderId="27" xfId="0" applyFill="1" applyBorder="1" applyAlignment="1">
      <alignment horizontal="center" vertical="center" wrapText="1"/>
    </xf>
    <xf numFmtId="0" fontId="0" fillId="10" borderId="28" xfId="0" applyFill="1" applyBorder="1" applyAlignment="1">
      <alignment horizontal="center" vertical="center" wrapText="1"/>
    </xf>
    <xf numFmtId="2" fontId="0" fillId="10" borderId="141" xfId="0" applyNumberFormat="1" applyFill="1" applyBorder="1" applyAlignment="1">
      <alignment horizontal="center"/>
    </xf>
    <xf numFmtId="2" fontId="0" fillId="10" borderId="142" xfId="0" applyNumberFormat="1" applyFill="1" applyBorder="1" applyAlignment="1">
      <alignment horizontal="center"/>
    </xf>
    <xf numFmtId="2" fontId="0" fillId="10" borderId="143" xfId="0" applyNumberFormat="1" applyFill="1" applyBorder="1" applyAlignment="1">
      <alignment horizontal="center"/>
    </xf>
    <xf numFmtId="2" fontId="0" fillId="10" borderId="144" xfId="0" applyNumberFormat="1" applyFill="1" applyBorder="1" applyAlignment="1">
      <alignment horizontal="center"/>
    </xf>
    <xf numFmtId="2" fontId="0" fillId="10" borderId="145" xfId="0" applyNumberFormat="1" applyFill="1" applyBorder="1" applyAlignment="1">
      <alignment horizontal="center"/>
    </xf>
    <xf numFmtId="0" fontId="8" fillId="0" borderId="147" xfId="0" applyFont="1" applyBorder="1" applyAlignment="1">
      <alignment horizontal="center" vertical="center" wrapText="1"/>
    </xf>
    <xf numFmtId="0" fontId="3" fillId="0" borderId="149" xfId="0" applyFont="1" applyBorder="1" applyAlignment="1">
      <alignment horizontal="center" vertical="center" wrapText="1"/>
    </xf>
    <xf numFmtId="0" fontId="3" fillId="0" borderId="148" xfId="0" applyFont="1" applyBorder="1" applyAlignment="1">
      <alignment horizontal="center" vertical="center" wrapText="1"/>
    </xf>
    <xf numFmtId="0" fontId="23" fillId="0" borderId="2" xfId="0" applyFont="1" applyBorder="1"/>
    <xf numFmtId="0" fontId="23" fillId="0" borderId="2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32" fillId="0" borderId="11" xfId="0" applyFont="1" applyBorder="1"/>
    <xf numFmtId="166" fontId="3" fillId="0" borderId="12" xfId="0" applyNumberFormat="1" applyFont="1" applyBorder="1" applyAlignment="1">
      <alignment horizontal="center" vertical="center" wrapText="1"/>
    </xf>
    <xf numFmtId="0" fontId="23" fillId="0" borderId="11" xfId="0" applyFont="1" applyBorder="1"/>
    <xf numFmtId="166" fontId="3" fillId="0" borderId="61" xfId="0" applyNumberFormat="1" applyFont="1" applyBorder="1" applyAlignment="1">
      <alignment horizontal="center" vertical="center" wrapText="1"/>
    </xf>
    <xf numFmtId="1" fontId="3" fillId="0" borderId="61" xfId="0" applyNumberFormat="1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 wrapText="1"/>
    </xf>
    <xf numFmtId="0" fontId="0" fillId="10" borderId="10" xfId="0" applyFill="1" applyBorder="1" applyAlignment="1">
      <alignment horizontal="center" vertical="center" wrapText="1"/>
    </xf>
    <xf numFmtId="0" fontId="0" fillId="10" borderId="150" xfId="0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66" fontId="2" fillId="0" borderId="22" xfId="0" applyNumberFormat="1" applyFont="1" applyBorder="1" applyAlignment="1">
      <alignment horizontal="center" vertical="center" wrapText="1"/>
    </xf>
    <xf numFmtId="166" fontId="2" fillId="0" borderId="10" xfId="0" applyNumberFormat="1" applyFont="1" applyBorder="1" applyAlignment="1">
      <alignment horizontal="center" vertical="center" wrapText="1"/>
    </xf>
    <xf numFmtId="166" fontId="2" fillId="0" borderId="10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7" borderId="4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 wrapText="1"/>
    </xf>
    <xf numFmtId="166" fontId="1" fillId="0" borderId="22" xfId="0" applyNumberFormat="1" applyFont="1" applyBorder="1" applyAlignment="1">
      <alignment horizontal="center" vertical="center" wrapText="1"/>
    </xf>
    <xf numFmtId="166" fontId="0" fillId="0" borderId="22" xfId="0" applyNumberFormat="1" applyBorder="1" applyAlignment="1">
      <alignment horizontal="center" vertical="center" wrapText="1"/>
    </xf>
    <xf numFmtId="166" fontId="1" fillId="0" borderId="10" xfId="0" applyNumberFormat="1" applyFont="1" applyBorder="1" applyAlignment="1">
      <alignment horizontal="center" vertical="center" wrapText="1"/>
    </xf>
    <xf numFmtId="166" fontId="0" fillId="0" borderId="22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52" xfId="0" applyFill="1" applyBorder="1" applyAlignment="1">
      <alignment horizontal="center"/>
    </xf>
    <xf numFmtId="0" fontId="0" fillId="0" borderId="39" xfId="0" applyBorder="1"/>
    <xf numFmtId="0" fontId="3" fillId="7" borderId="30" xfId="0" applyFont="1" applyFill="1" applyBorder="1" applyAlignment="1">
      <alignment vertical="center" wrapText="1"/>
    </xf>
    <xf numFmtId="0" fontId="3" fillId="7" borderId="15" xfId="0" applyFont="1" applyFill="1" applyBorder="1" applyAlignment="1">
      <alignment vertical="center" wrapText="1"/>
    </xf>
    <xf numFmtId="0" fontId="0" fillId="5" borderId="106" xfId="0" applyFill="1" applyBorder="1" applyAlignment="1">
      <alignment horizontal="center"/>
    </xf>
    <xf numFmtId="0" fontId="0" fillId="5" borderId="101" xfId="0" applyFill="1" applyBorder="1" applyAlignment="1">
      <alignment horizontal="center"/>
    </xf>
    <xf numFmtId="0" fontId="0" fillId="5" borderId="82" xfId="0" applyFill="1" applyBorder="1" applyAlignment="1">
      <alignment horizontal="center"/>
    </xf>
    <xf numFmtId="0" fontId="0" fillId="4" borderId="150" xfId="0" applyFill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/>
    </xf>
    <xf numFmtId="166" fontId="1" fillId="0" borderId="10" xfId="0" applyNumberFormat="1" applyFont="1" applyBorder="1" applyAlignment="1">
      <alignment horizontal="center"/>
    </xf>
    <xf numFmtId="0" fontId="9" fillId="0" borderId="21" xfId="0" applyFont="1" applyBorder="1" applyAlignment="1">
      <alignment horizontal="center" vertical="center" wrapText="1"/>
    </xf>
    <xf numFmtId="166" fontId="1" fillId="0" borderId="22" xfId="0" applyNumberFormat="1" applyFont="1" applyBorder="1" applyAlignment="1">
      <alignment horizontal="center"/>
    </xf>
    <xf numFmtId="166" fontId="1" fillId="0" borderId="45" xfId="0" applyNumberFormat="1" applyFont="1" applyBorder="1" applyAlignment="1">
      <alignment horizontal="center" vertical="center" wrapText="1"/>
    </xf>
    <xf numFmtId="0" fontId="1" fillId="7" borderId="30" xfId="0" applyFont="1" applyFill="1" applyBorder="1" applyAlignment="1">
      <alignment vertical="center" wrapText="1"/>
    </xf>
    <xf numFmtId="0" fontId="1" fillId="7" borderId="15" xfId="0" applyFont="1" applyFill="1" applyBorder="1" applyAlignment="1">
      <alignment vertical="center" wrapText="1"/>
    </xf>
    <xf numFmtId="166" fontId="2" fillId="0" borderId="45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102" xfId="0" applyFont="1" applyBorder="1" applyAlignment="1">
      <alignment horizontal="center" vertical="center" wrapText="1"/>
    </xf>
    <xf numFmtId="166" fontId="1" fillId="0" borderId="147" xfId="0" applyNumberFormat="1" applyFont="1" applyBorder="1" applyAlignment="1">
      <alignment horizontal="center" vertical="center" wrapText="1"/>
    </xf>
    <xf numFmtId="0" fontId="3" fillId="0" borderId="154" xfId="0" applyFont="1" applyBorder="1" applyAlignment="1">
      <alignment horizontal="center" vertical="center" wrapText="1"/>
    </xf>
    <xf numFmtId="0" fontId="3" fillId="0" borderId="155" xfId="0" applyFont="1" applyBorder="1" applyAlignment="1">
      <alignment horizontal="center" vertical="center" wrapText="1"/>
    </xf>
    <xf numFmtId="166" fontId="3" fillId="0" borderId="109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166" fontId="3" fillId="0" borderId="82" xfId="0" applyNumberFormat="1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7" fillId="4" borderId="30" xfId="0" applyFont="1" applyFill="1" applyBorder="1" applyAlignment="1">
      <alignment vertical="center" wrapText="1"/>
    </xf>
    <xf numFmtId="1" fontId="0" fillId="4" borderId="152" xfId="0" applyNumberFormat="1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3" fillId="7" borderId="153" xfId="0" applyFont="1" applyFill="1" applyBorder="1" applyAlignment="1">
      <alignment vertical="center" wrapText="1"/>
    </xf>
    <xf numFmtId="0" fontId="3" fillId="7" borderId="118" xfId="0" applyFont="1" applyFill="1" applyBorder="1" applyAlignment="1">
      <alignment vertical="center" wrapText="1"/>
    </xf>
    <xf numFmtId="0" fontId="3" fillId="7" borderId="129" xfId="0" applyFont="1" applyFill="1" applyBorder="1" applyAlignment="1">
      <alignment vertical="center" wrapText="1"/>
    </xf>
    <xf numFmtId="0" fontId="3" fillId="7" borderId="117" xfId="0" applyFont="1" applyFill="1" applyBorder="1" applyAlignment="1">
      <alignment vertical="center" wrapText="1"/>
    </xf>
    <xf numFmtId="0" fontId="24" fillId="0" borderId="55" xfId="0" applyFont="1" applyBorder="1" applyAlignment="1">
      <alignment horizontal="center" vertical="center" wrapText="1"/>
    </xf>
    <xf numFmtId="166" fontId="3" fillId="0" borderId="21" xfId="0" applyNumberFormat="1" applyFont="1" applyBorder="1" applyAlignment="1">
      <alignment horizontal="center" vertical="center"/>
    </xf>
    <xf numFmtId="166" fontId="3" fillId="0" borderId="45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 wrapText="1"/>
    </xf>
    <xf numFmtId="0" fontId="3" fillId="0" borderId="82" xfId="0" applyFont="1" applyBorder="1" applyAlignment="1">
      <alignment horizontal="center" vertical="center" wrapText="1"/>
    </xf>
    <xf numFmtId="166" fontId="2" fillId="0" borderId="21" xfId="0" applyNumberFormat="1" applyFont="1" applyBorder="1" applyAlignment="1">
      <alignment horizontal="center" vertical="center" wrapText="1"/>
    </xf>
    <xf numFmtId="166" fontId="3" fillId="0" borderId="151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166" fontId="1" fillId="0" borderId="21" xfId="0" applyNumberFormat="1" applyFont="1" applyBorder="1" applyAlignment="1">
      <alignment horizontal="center" vertical="center" wrapText="1"/>
    </xf>
    <xf numFmtId="0" fontId="0" fillId="4" borderId="106" xfId="0" applyFill="1" applyBorder="1" applyAlignment="1">
      <alignment horizontal="center"/>
    </xf>
    <xf numFmtId="0" fontId="3" fillId="4" borderId="101" xfId="0" applyFont="1" applyFill="1" applyBorder="1" applyAlignment="1">
      <alignment horizontal="center"/>
    </xf>
    <xf numFmtId="0" fontId="0" fillId="4" borderId="103" xfId="0" applyFill="1" applyBorder="1" applyAlignment="1">
      <alignment horizontal="center"/>
    </xf>
    <xf numFmtId="0" fontId="0" fillId="4" borderId="156" xfId="0" applyFill="1" applyBorder="1" applyAlignment="1">
      <alignment horizontal="center"/>
    </xf>
    <xf numFmtId="0" fontId="0" fillId="4" borderId="157" xfId="0" applyFill="1" applyBorder="1" applyAlignment="1">
      <alignment horizontal="center"/>
    </xf>
    <xf numFmtId="0" fontId="0" fillId="4" borderId="158" xfId="0" applyFill="1" applyBorder="1" applyAlignment="1">
      <alignment horizontal="center"/>
    </xf>
    <xf numFmtId="0" fontId="7" fillId="4" borderId="10" xfId="0" applyFont="1" applyFill="1" applyBorder="1" applyAlignment="1">
      <alignment vertical="center" wrapText="1"/>
    </xf>
    <xf numFmtId="0" fontId="7" fillId="4" borderId="159" xfId="0" applyFont="1" applyFill="1" applyBorder="1" applyAlignment="1">
      <alignment vertical="center" wrapText="1"/>
    </xf>
    <xf numFmtId="0" fontId="0" fillId="4" borderId="0" xfId="0" applyFill="1"/>
    <xf numFmtId="0" fontId="0" fillId="4" borderId="160" xfId="0" applyFill="1" applyBorder="1" applyAlignment="1">
      <alignment horizontal="center"/>
    </xf>
    <xf numFmtId="0" fontId="0" fillId="4" borderId="161" xfId="0" applyFill="1" applyBorder="1" applyAlignment="1">
      <alignment horizontal="center"/>
    </xf>
    <xf numFmtId="0" fontId="0" fillId="4" borderId="162" xfId="0" applyFill="1" applyBorder="1" applyAlignment="1">
      <alignment horizontal="center"/>
    </xf>
    <xf numFmtId="0" fontId="0" fillId="7" borderId="45" xfId="0" applyFill="1" applyBorder="1"/>
    <xf numFmtId="0" fontId="3" fillId="0" borderId="1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100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166" fontId="3" fillId="0" borderId="9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6" fontId="9" fillId="0" borderId="10" xfId="0" applyNumberFormat="1" applyFont="1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67" xfId="0" applyBorder="1" applyAlignment="1">
      <alignment horizontal="center"/>
    </xf>
    <xf numFmtId="0" fontId="0" fillId="0" borderId="121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8" xfId="0" applyBorder="1" applyAlignment="1">
      <alignment horizontal="center"/>
    </xf>
    <xf numFmtId="0" fontId="0" fillId="0" borderId="45" xfId="0" applyBorder="1" applyAlignment="1">
      <alignment horizontal="center"/>
    </xf>
    <xf numFmtId="0" fontId="14" fillId="0" borderId="67" xfId="0" applyFont="1" applyBorder="1" applyAlignment="1">
      <alignment horizontal="center"/>
    </xf>
    <xf numFmtId="0" fontId="14" fillId="0" borderId="121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128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02" xfId="0" applyFont="1" applyBorder="1" applyAlignment="1">
      <alignment horizontal="center"/>
    </xf>
    <xf numFmtId="0" fontId="0" fillId="0" borderId="30" xfId="0" applyBorder="1" applyAlignment="1">
      <alignment horizontal="center" vertical="center" wrapText="1"/>
    </xf>
    <xf numFmtId="0" fontId="0" fillId="0" borderId="123" xfId="0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12" xfId="0" applyBorder="1" applyAlignment="1">
      <alignment horizontal="center"/>
    </xf>
    <xf numFmtId="166" fontId="3" fillId="0" borderId="0" xfId="0" applyNumberFormat="1" applyFont="1" applyAlignment="1">
      <alignment horizontal="center" vertical="center" wrapText="1"/>
    </xf>
    <xf numFmtId="0" fontId="0" fillId="0" borderId="102" xfId="0" applyBorder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8" fillId="0" borderId="128" xfId="0" applyFont="1" applyBorder="1" applyAlignment="1">
      <alignment horizontal="center" vertical="center" wrapText="1"/>
    </xf>
    <xf numFmtId="0" fontId="8" fillId="0" borderId="14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3" fillId="0" borderId="108" xfId="0" applyFont="1" applyBorder="1" applyAlignment="1">
      <alignment horizontal="center"/>
    </xf>
    <xf numFmtId="166" fontId="3" fillId="0" borderId="61" xfId="0" applyNumberFormat="1" applyFont="1" applyBorder="1" applyAlignment="1">
      <alignment horizontal="center"/>
    </xf>
    <xf numFmtId="166" fontId="2" fillId="0" borderId="22" xfId="0" applyNumberFormat="1" applyFont="1" applyBorder="1" applyAlignment="1">
      <alignment horizontal="center"/>
    </xf>
    <xf numFmtId="166" fontId="3" fillId="0" borderId="52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102" xfId="0" applyFon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right" vertical="center"/>
    </xf>
    <xf numFmtId="0" fontId="0" fillId="0" borderId="0" xfId="0" applyAlignment="1">
      <alignment horizontal="right"/>
    </xf>
    <xf numFmtId="0" fontId="36" fillId="0" borderId="8" xfId="0" applyFont="1" applyBorder="1"/>
    <xf numFmtId="166" fontId="36" fillId="0" borderId="0" xfId="0" applyNumberFormat="1" applyFont="1"/>
    <xf numFmtId="0" fontId="36" fillId="0" borderId="0" xfId="0" applyFont="1"/>
    <xf numFmtId="166" fontId="36" fillId="0" borderId="4" xfId="0" applyNumberFormat="1" applyFont="1" applyBorder="1"/>
    <xf numFmtId="0" fontId="36" fillId="0" borderId="4" xfId="0" applyFont="1" applyBorder="1"/>
    <xf numFmtId="0" fontId="37" fillId="0" borderId="4" xfId="0" applyFont="1" applyBorder="1"/>
    <xf numFmtId="0" fontId="36" fillId="0" borderId="9" xfId="0" applyFont="1" applyBorder="1"/>
    <xf numFmtId="166" fontId="36" fillId="0" borderId="10" xfId="0" applyNumberFormat="1" applyFont="1" applyBorder="1"/>
    <xf numFmtId="0" fontId="36" fillId="0" borderId="10" xfId="0" applyFont="1" applyBorder="1"/>
    <xf numFmtId="0" fontId="37" fillId="0" borderId="5" xfId="0" applyFont="1" applyBorder="1"/>
    <xf numFmtId="0" fontId="37" fillId="0" borderId="0" xfId="0" applyFont="1"/>
    <xf numFmtId="0" fontId="37" fillId="0" borderId="10" xfId="0" applyFont="1" applyBorder="1"/>
    <xf numFmtId="0" fontId="23" fillId="0" borderId="49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top" wrapText="1"/>
    </xf>
    <xf numFmtId="0" fontId="33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vertical="top" wrapText="1"/>
    </xf>
    <xf numFmtId="166" fontId="23" fillId="0" borderId="11" xfId="0" applyNumberFormat="1" applyFont="1" applyBorder="1" applyAlignment="1">
      <alignment horizontal="center" vertical="center" wrapText="1"/>
    </xf>
    <xf numFmtId="1" fontId="34" fillId="0" borderId="11" xfId="0" applyNumberFormat="1" applyFont="1" applyBorder="1" applyAlignment="1">
      <alignment horizontal="center"/>
    </xf>
    <xf numFmtId="1" fontId="35" fillId="0" borderId="11" xfId="0" applyNumberFormat="1" applyFont="1" applyBorder="1" applyAlignment="1">
      <alignment horizontal="center"/>
    </xf>
    <xf numFmtId="166" fontId="7" fillId="0" borderId="11" xfId="0" applyNumberFormat="1" applyFont="1" applyBorder="1" applyAlignment="1">
      <alignment horizontal="center" vertical="center" wrapText="1"/>
    </xf>
    <xf numFmtId="1" fontId="7" fillId="0" borderId="11" xfId="0" applyNumberFormat="1" applyFont="1" applyBorder="1" applyAlignment="1">
      <alignment horizontal="center" vertical="center" wrapText="1"/>
    </xf>
    <xf numFmtId="1" fontId="16" fillId="0" borderId="0" xfId="0" applyNumberFormat="1" applyFont="1" applyAlignment="1">
      <alignment horizontal="center"/>
    </xf>
    <xf numFmtId="45" fontId="0" fillId="0" borderId="76" xfId="0" applyNumberFormat="1" applyBorder="1"/>
    <xf numFmtId="1" fontId="16" fillId="0" borderId="77" xfId="0" applyNumberFormat="1" applyFont="1" applyBorder="1" applyAlignment="1">
      <alignment horizontal="center"/>
    </xf>
    <xf numFmtId="0" fontId="16" fillId="2" borderId="5" xfId="0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45" fontId="0" fillId="0" borderId="0" xfId="0" applyNumberFormat="1" applyAlignment="1">
      <alignment horizontal="center"/>
    </xf>
    <xf numFmtId="0" fontId="23" fillId="2" borderId="163" xfId="0" applyFont="1" applyFill="1" applyBorder="1" applyAlignment="1">
      <alignment horizontal="center" vertical="center" wrapText="1"/>
    </xf>
    <xf numFmtId="0" fontId="23" fillId="2" borderId="164" xfId="0" applyFont="1" applyFill="1" applyBorder="1" applyAlignment="1">
      <alignment horizontal="center" vertical="center" wrapText="1"/>
    </xf>
    <xf numFmtId="0" fontId="23" fillId="0" borderId="165" xfId="0" applyFont="1" applyBorder="1" applyAlignment="1">
      <alignment vertical="center" wrapText="1"/>
    </xf>
    <xf numFmtId="0" fontId="23" fillId="0" borderId="4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12" borderId="172" xfId="0" applyFont="1" applyFill="1" applyBorder="1" applyAlignment="1">
      <alignment horizontal="center" vertical="center"/>
    </xf>
    <xf numFmtId="0" fontId="6" fillId="12" borderId="173" xfId="0" applyFont="1" applyFill="1" applyBorder="1" applyAlignment="1">
      <alignment horizontal="center" vertical="center"/>
    </xf>
    <xf numFmtId="0" fontId="5" fillId="12" borderId="172" xfId="0" applyFont="1" applyFill="1" applyBorder="1" applyAlignment="1">
      <alignment horizontal="center" wrapText="1"/>
    </xf>
    <xf numFmtId="0" fontId="5" fillId="12" borderId="173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3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vertical="center"/>
    </xf>
    <xf numFmtId="0" fontId="0" fillId="2" borderId="116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4" xfId="0" applyBorder="1" applyAlignment="1">
      <alignment vertical="center"/>
    </xf>
    <xf numFmtId="0" fontId="23" fillId="0" borderId="176" xfId="0" applyFont="1" applyBorder="1" applyAlignment="1">
      <alignment horizontal="center" vertical="center" wrapText="1"/>
    </xf>
    <xf numFmtId="0" fontId="23" fillId="0" borderId="176" xfId="0" applyFont="1" applyBorder="1" applyAlignment="1">
      <alignment vertical="center" wrapText="1"/>
    </xf>
    <xf numFmtId="0" fontId="23" fillId="0" borderId="177" xfId="0" applyFont="1" applyBorder="1" applyAlignment="1">
      <alignment vertical="center" wrapText="1"/>
    </xf>
    <xf numFmtId="0" fontId="23" fillId="0" borderId="177" xfId="0" applyFont="1" applyBorder="1"/>
    <xf numFmtId="0" fontId="23" fillId="0" borderId="178" xfId="0" applyFont="1" applyBorder="1" applyAlignment="1">
      <alignment vertical="center" wrapText="1"/>
    </xf>
    <xf numFmtId="0" fontId="5" fillId="2" borderId="30" xfId="0" applyFont="1" applyFill="1" applyBorder="1" applyAlignment="1">
      <alignment horizontal="center" wrapText="1"/>
    </xf>
    <xf numFmtId="0" fontId="5" fillId="2" borderId="179" xfId="0" applyFont="1" applyFill="1" applyBorder="1" applyAlignment="1">
      <alignment horizontal="center" wrapText="1"/>
    </xf>
    <xf numFmtId="0" fontId="0" fillId="0" borderId="179" xfId="0" applyBorder="1" applyAlignment="1">
      <alignment horizontal="center"/>
    </xf>
    <xf numFmtId="0" fontId="29" fillId="0" borderId="0" xfId="0" applyFont="1" applyAlignment="1">
      <alignment horizontal="center"/>
    </xf>
    <xf numFmtId="1" fontId="5" fillId="0" borderId="30" xfId="0" applyNumberFormat="1" applyFont="1" applyBorder="1" applyAlignment="1">
      <alignment horizontal="center"/>
    </xf>
    <xf numFmtId="1" fontId="5" fillId="0" borderId="179" xfId="0" applyNumberFormat="1" applyFont="1" applyBorder="1" applyAlignment="1">
      <alignment horizontal="center"/>
    </xf>
    <xf numFmtId="1" fontId="5" fillId="0" borderId="153" xfId="0" applyNumberFormat="1" applyFont="1" applyBorder="1" applyAlignment="1">
      <alignment horizontal="center"/>
    </xf>
    <xf numFmtId="1" fontId="5" fillId="0" borderId="180" xfId="0" applyNumberFormat="1" applyFont="1" applyBorder="1" applyAlignment="1">
      <alignment horizontal="center"/>
    </xf>
    <xf numFmtId="1" fontId="38" fillId="12" borderId="181" xfId="0" applyNumberFormat="1" applyFont="1" applyFill="1" applyBorder="1" applyAlignment="1">
      <alignment horizontal="center" vertical="center"/>
    </xf>
    <xf numFmtId="1" fontId="38" fillId="12" borderId="173" xfId="0" applyNumberFormat="1" applyFont="1" applyFill="1" applyBorder="1" applyAlignment="1">
      <alignment horizontal="center" vertical="center"/>
    </xf>
    <xf numFmtId="0" fontId="7" fillId="0" borderId="168" xfId="0" applyFont="1" applyBorder="1" applyAlignment="1">
      <alignment vertical="center" wrapText="1"/>
    </xf>
    <xf numFmtId="1" fontId="7" fillId="0" borderId="0" xfId="0" applyNumberFormat="1" applyFont="1" applyAlignment="1">
      <alignment horizontal="center"/>
    </xf>
    <xf numFmtId="1" fontId="7" fillId="0" borderId="169" xfId="0" applyNumberFormat="1" applyFont="1" applyBorder="1" applyAlignment="1">
      <alignment horizontal="center"/>
    </xf>
    <xf numFmtId="0" fontId="7" fillId="0" borderId="168" xfId="0" applyFont="1" applyBorder="1" applyAlignment="1">
      <alignment vertical="center"/>
    </xf>
    <xf numFmtId="165" fontId="7" fillId="0" borderId="169" xfId="0" applyNumberFormat="1" applyFont="1" applyBorder="1" applyAlignment="1">
      <alignment horizontal="center"/>
    </xf>
    <xf numFmtId="0" fontId="7" fillId="0" borderId="168" xfId="0" applyFont="1" applyBorder="1"/>
    <xf numFmtId="21" fontId="7" fillId="0" borderId="169" xfId="0" applyNumberFormat="1" applyFont="1" applyBorder="1" applyAlignment="1">
      <alignment horizontal="center"/>
    </xf>
    <xf numFmtId="0" fontId="7" fillId="0" borderId="170" xfId="0" applyFont="1" applyBorder="1" applyAlignment="1">
      <alignment vertical="center"/>
    </xf>
    <xf numFmtId="0" fontId="0" fillId="0" borderId="182" xfId="0" applyBorder="1"/>
    <xf numFmtId="45" fontId="0" fillId="0" borderId="182" xfId="0" applyNumberFormat="1" applyBorder="1" applyAlignment="1">
      <alignment horizontal="center"/>
    </xf>
    <xf numFmtId="0" fontId="0" fillId="0" borderId="182" xfId="0" applyBorder="1" applyAlignment="1">
      <alignment horizontal="center"/>
    </xf>
    <xf numFmtId="45" fontId="7" fillId="0" borderId="171" xfId="0" applyNumberFormat="1" applyFont="1" applyBorder="1" applyAlignment="1">
      <alignment horizontal="center"/>
    </xf>
    <xf numFmtId="0" fontId="16" fillId="4" borderId="183" xfId="0" applyFont="1" applyFill="1" applyBorder="1"/>
    <xf numFmtId="0" fontId="5" fillId="4" borderId="184" xfId="0" applyFont="1" applyFill="1" applyBorder="1"/>
    <xf numFmtId="0" fontId="39" fillId="4" borderId="184" xfId="0" applyFont="1" applyFill="1" applyBorder="1" applyAlignment="1">
      <alignment horizontal="center"/>
    </xf>
    <xf numFmtId="0" fontId="39" fillId="4" borderId="185" xfId="0" applyFont="1" applyFill="1" applyBorder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2" borderId="187" xfId="0" applyFont="1" applyFill="1" applyBorder="1" applyAlignment="1">
      <alignment horizontal="center" vertical="center"/>
    </xf>
    <xf numFmtId="0" fontId="29" fillId="2" borderId="189" xfId="0" applyFont="1" applyFill="1" applyBorder="1" applyAlignment="1">
      <alignment horizontal="center" vertical="center"/>
    </xf>
    <xf numFmtId="0" fontId="5" fillId="13" borderId="172" xfId="0" applyFont="1" applyFill="1" applyBorder="1" applyAlignment="1">
      <alignment horizontal="center" wrapText="1"/>
    </xf>
    <xf numFmtId="0" fontId="5" fillId="13" borderId="173" xfId="0" applyFont="1" applyFill="1" applyBorder="1" applyAlignment="1">
      <alignment horizontal="center" wrapText="1"/>
    </xf>
    <xf numFmtId="0" fontId="6" fillId="13" borderId="172" xfId="0" applyFont="1" applyFill="1" applyBorder="1" applyAlignment="1">
      <alignment horizontal="center" vertical="center"/>
    </xf>
    <xf numFmtId="0" fontId="6" fillId="13" borderId="173" xfId="0" applyFont="1" applyFill="1" applyBorder="1" applyAlignment="1">
      <alignment horizontal="center" vertical="center"/>
    </xf>
    <xf numFmtId="1" fontId="38" fillId="13" borderId="172" xfId="0" applyNumberFormat="1" applyFont="1" applyFill="1" applyBorder="1" applyAlignment="1">
      <alignment horizontal="center" vertical="center"/>
    </xf>
    <xf numFmtId="1" fontId="38" fillId="13" borderId="173" xfId="0" applyNumberFormat="1" applyFont="1" applyFill="1" applyBorder="1" applyAlignment="1">
      <alignment horizontal="center" vertical="center"/>
    </xf>
    <xf numFmtId="1" fontId="38" fillId="13" borderId="174" xfId="0" applyNumberFormat="1" applyFont="1" applyFill="1" applyBorder="1" applyAlignment="1">
      <alignment horizontal="center" vertical="center"/>
    </xf>
    <xf numFmtId="1" fontId="38" fillId="13" borderId="175" xfId="0" applyNumberFormat="1" applyFont="1" applyFill="1" applyBorder="1" applyAlignment="1">
      <alignment horizontal="center" vertical="center"/>
    </xf>
    <xf numFmtId="15" fontId="16" fillId="2" borderId="11" xfId="0" applyNumberFormat="1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5" fillId="4" borderId="184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2" borderId="5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14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right"/>
    </xf>
    <xf numFmtId="166" fontId="0" fillId="0" borderId="0" xfId="0" applyNumberFormat="1"/>
    <xf numFmtId="0" fontId="23" fillId="0" borderId="10" xfId="0" applyFont="1" applyBorder="1" applyAlignment="1">
      <alignment vertical="center" wrapText="1"/>
    </xf>
    <xf numFmtId="0" fontId="33" fillId="0" borderId="13" xfId="0" applyFont="1" applyBorder="1" applyAlignment="1">
      <alignment horizontal="center" vertical="top" wrapText="1"/>
    </xf>
    <xf numFmtId="0" fontId="23" fillId="0" borderId="0" xfId="0" applyFont="1"/>
    <xf numFmtId="45" fontId="0" fillId="0" borderId="9" xfId="0" applyNumberFormat="1" applyBorder="1"/>
    <xf numFmtId="1" fontId="5" fillId="0" borderId="0" xfId="0" applyNumberFormat="1" applyFont="1"/>
    <xf numFmtId="165" fontId="5" fillId="0" borderId="0" xfId="0" applyNumberFormat="1" applyFont="1"/>
    <xf numFmtId="21" fontId="5" fillId="0" borderId="0" xfId="0" applyNumberFormat="1" applyFont="1"/>
    <xf numFmtId="45" fontId="5" fillId="0" borderId="0" xfId="0" applyNumberFormat="1" applyFont="1"/>
    <xf numFmtId="0" fontId="5" fillId="0" borderId="0" xfId="0" applyFont="1"/>
    <xf numFmtId="0" fontId="5" fillId="0" borderId="194" xfId="0" applyFont="1" applyBorder="1" applyAlignment="1">
      <alignment horizontal="left"/>
    </xf>
    <xf numFmtId="0" fontId="5" fillId="0" borderId="195" xfId="0" applyFont="1" applyBorder="1"/>
    <xf numFmtId="0" fontId="14" fillId="0" borderId="196" xfId="0" applyFont="1" applyBorder="1"/>
    <xf numFmtId="0" fontId="5" fillId="0" borderId="197" xfId="0" applyFont="1" applyBorder="1" applyAlignment="1">
      <alignment horizontal="left"/>
    </xf>
    <xf numFmtId="0" fontId="5" fillId="0" borderId="198" xfId="0" applyFont="1" applyBorder="1"/>
    <xf numFmtId="0" fontId="14" fillId="0" borderId="199" xfId="0" applyFont="1" applyBorder="1"/>
    <xf numFmtId="0" fontId="5" fillId="2" borderId="44" xfId="0" applyFont="1" applyFill="1" applyBorder="1" applyAlignment="1">
      <alignment horizontal="center" wrapText="1"/>
    </xf>
    <xf numFmtId="0" fontId="0" fillId="0" borderId="44" xfId="0" applyBorder="1" applyAlignment="1">
      <alignment horizontal="center"/>
    </xf>
    <xf numFmtId="0" fontId="23" fillId="2" borderId="3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1" xfId="0" applyFont="1" applyFill="1" applyBorder="1" applyAlignment="1">
      <alignment horizontal="center" vertical="center"/>
    </xf>
    <xf numFmtId="0" fontId="5" fillId="2" borderId="111" xfId="0" applyFont="1" applyFill="1" applyBorder="1" applyAlignment="1">
      <alignment horizontal="center" wrapText="1"/>
    </xf>
    <xf numFmtId="0" fontId="0" fillId="2" borderId="201" xfId="0" applyFill="1" applyBorder="1" applyAlignment="1">
      <alignment horizontal="center"/>
    </xf>
    <xf numFmtId="0" fontId="23" fillId="2" borderId="200" xfId="0" applyFont="1" applyFill="1" applyBorder="1" applyAlignment="1">
      <alignment horizontal="center" vertical="center"/>
    </xf>
    <xf numFmtId="0" fontId="23" fillId="4" borderId="183" xfId="0" applyFont="1" applyFill="1" applyBorder="1" applyAlignment="1">
      <alignment horizontal="left"/>
    </xf>
    <xf numFmtId="0" fontId="16" fillId="4" borderId="184" xfId="0" applyFont="1" applyFill="1" applyBorder="1"/>
    <xf numFmtId="0" fontId="7" fillId="4" borderId="184" xfId="0" applyFont="1" applyFill="1" applyBorder="1"/>
    <xf numFmtId="0" fontId="23" fillId="4" borderId="184" xfId="0" applyFont="1" applyFill="1" applyBorder="1" applyAlignment="1">
      <alignment horizontal="left"/>
    </xf>
    <xf numFmtId="0" fontId="16" fillId="0" borderId="168" xfId="0" applyFont="1" applyBorder="1"/>
    <xf numFmtId="0" fontId="16" fillId="0" borderId="0" xfId="0" applyFont="1"/>
    <xf numFmtId="1" fontId="16" fillId="0" borderId="0" xfId="0" applyNumberFormat="1" applyFont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165" fontId="16" fillId="0" borderId="0" xfId="0" applyNumberFormat="1" applyFont="1"/>
    <xf numFmtId="45" fontId="16" fillId="0" borderId="0" xfId="0" applyNumberFormat="1" applyFont="1"/>
    <xf numFmtId="1" fontId="16" fillId="0" borderId="0" xfId="0" applyNumberFormat="1" applyFont="1" applyAlignment="1">
      <alignment horizontal="right"/>
    </xf>
    <xf numFmtId="1" fontId="16" fillId="0" borderId="0" xfId="0" applyNumberFormat="1" applyFont="1" applyAlignment="1">
      <alignment horizontal="right" vertical="center"/>
    </xf>
    <xf numFmtId="21" fontId="16" fillId="0" borderId="0" xfId="0" applyNumberFormat="1" applyFont="1"/>
    <xf numFmtId="2" fontId="16" fillId="0" borderId="0" xfId="0" applyNumberFormat="1" applyFont="1"/>
    <xf numFmtId="0" fontId="16" fillId="0" borderId="170" xfId="0" applyFont="1" applyBorder="1"/>
    <xf numFmtId="0" fontId="16" fillId="0" borderId="182" xfId="0" applyFont="1" applyBorder="1"/>
    <xf numFmtId="2" fontId="16" fillId="0" borderId="182" xfId="0" applyNumberFormat="1" applyFont="1" applyBorder="1"/>
    <xf numFmtId="1" fontId="16" fillId="0" borderId="10" xfId="0" applyNumberFormat="1" applyFont="1" applyBorder="1" applyAlignment="1">
      <alignment horizontal="center"/>
    </xf>
    <xf numFmtId="45" fontId="0" fillId="0" borderId="202" xfId="0" applyNumberFormat="1" applyBorder="1"/>
    <xf numFmtId="1" fontId="16" fillId="0" borderId="203" xfId="0" applyNumberFormat="1" applyFont="1" applyBorder="1" applyAlignment="1">
      <alignment horizontal="center"/>
    </xf>
    <xf numFmtId="0" fontId="0" fillId="0" borderId="135" xfId="0" applyBorder="1" applyAlignment="1">
      <alignment horizontal="center"/>
    </xf>
    <xf numFmtId="0" fontId="0" fillId="0" borderId="136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77" xfId="0" applyBorder="1" applyAlignment="1">
      <alignment horizontal="center"/>
    </xf>
    <xf numFmtId="45" fontId="0" fillId="0" borderId="76" xfId="0" applyNumberFormat="1" applyBorder="1" applyAlignment="1">
      <alignment horizontal="center"/>
    </xf>
    <xf numFmtId="45" fontId="0" fillId="0" borderId="9" xfId="0" applyNumberFormat="1" applyBorder="1" applyAlignment="1">
      <alignment horizontal="center"/>
    </xf>
    <xf numFmtId="45" fontId="0" fillId="0" borderId="202" xfId="0" applyNumberFormat="1" applyBorder="1" applyAlignment="1">
      <alignment horizontal="center"/>
    </xf>
    <xf numFmtId="0" fontId="16" fillId="2" borderId="20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6" fillId="12" borderId="9" xfId="0" applyFont="1" applyFill="1" applyBorder="1" applyAlignment="1">
      <alignment horizontal="left" vertical="center" wrapText="1"/>
    </xf>
    <xf numFmtId="0" fontId="16" fillId="0" borderId="205" xfId="0" applyFont="1" applyBorder="1" applyAlignment="1">
      <alignment horizontal="left" vertical="center"/>
    </xf>
    <xf numFmtId="0" fontId="16" fillId="2" borderId="208" xfId="0" applyFont="1" applyFill="1" applyBorder="1" applyAlignment="1">
      <alignment horizontal="center" vertical="center" wrapText="1"/>
    </xf>
    <xf numFmtId="0" fontId="16" fillId="12" borderId="28" xfId="0" applyFont="1" applyFill="1" applyBorder="1" applyAlignment="1">
      <alignment horizontal="center" vertical="center" wrapText="1"/>
    </xf>
    <xf numFmtId="0" fontId="16" fillId="15" borderId="209" xfId="0" applyFont="1" applyFill="1" applyBorder="1" applyAlignment="1">
      <alignment vertical="center" wrapText="1"/>
    </xf>
    <xf numFmtId="45" fontId="0" fillId="15" borderId="210" xfId="0" applyNumberFormat="1" applyFill="1" applyBorder="1" applyAlignment="1">
      <alignment horizontal="center"/>
    </xf>
    <xf numFmtId="0" fontId="16" fillId="15" borderId="211" xfId="0" applyFont="1" applyFill="1" applyBorder="1" applyAlignment="1">
      <alignment vertical="center" wrapText="1"/>
    </xf>
    <xf numFmtId="45" fontId="0" fillId="15" borderId="212" xfId="0" applyNumberFormat="1" applyFill="1" applyBorder="1" applyAlignment="1">
      <alignment horizontal="center"/>
    </xf>
    <xf numFmtId="0" fontId="16" fillId="15" borderId="213" xfId="0" applyFont="1" applyFill="1" applyBorder="1" applyAlignment="1">
      <alignment vertical="center" wrapText="1"/>
    </xf>
    <xf numFmtId="45" fontId="0" fillId="15" borderId="214" xfId="0" applyNumberFormat="1" applyFill="1" applyBorder="1" applyAlignment="1">
      <alignment horizontal="center"/>
    </xf>
    <xf numFmtId="0" fontId="16" fillId="14" borderId="215" xfId="0" applyFont="1" applyFill="1" applyBorder="1" applyAlignment="1">
      <alignment horizontal="center"/>
    </xf>
    <xf numFmtId="0" fontId="16" fillId="14" borderId="216" xfId="0" applyFont="1" applyFill="1" applyBorder="1" applyAlignment="1">
      <alignment horizontal="center"/>
    </xf>
    <xf numFmtId="0" fontId="16" fillId="14" borderId="217" xfId="0" applyFont="1" applyFill="1" applyBorder="1" applyAlignment="1">
      <alignment horizontal="center"/>
    </xf>
    <xf numFmtId="45" fontId="16" fillId="14" borderId="218" xfId="0" applyNumberFormat="1" applyFont="1" applyFill="1" applyBorder="1" applyAlignment="1">
      <alignment horizontal="left"/>
    </xf>
    <xf numFmtId="45" fontId="16" fillId="14" borderId="219" xfId="0" applyNumberFormat="1" applyFont="1" applyFill="1" applyBorder="1" applyAlignment="1">
      <alignment horizontal="left"/>
    </xf>
    <xf numFmtId="45" fontId="16" fillId="14" borderId="220" xfId="0" applyNumberFormat="1" applyFont="1" applyFill="1" applyBorder="1" applyAlignment="1">
      <alignment horizontal="left"/>
    </xf>
    <xf numFmtId="0" fontId="16" fillId="0" borderId="3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87" xfId="0" applyFont="1" applyBorder="1" applyAlignment="1">
      <alignment horizontal="center"/>
    </xf>
    <xf numFmtId="0" fontId="16" fillId="0" borderId="221" xfId="0" applyFont="1" applyBorder="1" applyAlignment="1">
      <alignment horizontal="center"/>
    </xf>
    <xf numFmtId="0" fontId="16" fillId="0" borderId="222" xfId="0" applyFont="1" applyBorder="1" applyAlignment="1">
      <alignment horizontal="center"/>
    </xf>
    <xf numFmtId="0" fontId="16" fillId="2" borderId="224" xfId="0" applyFont="1" applyFill="1" applyBorder="1" applyAlignment="1">
      <alignment horizontal="left" vertical="center"/>
    </xf>
    <xf numFmtId="0" fontId="16" fillId="15" borderId="225" xfId="0" applyFont="1" applyFill="1" applyBorder="1" applyAlignment="1">
      <alignment horizontal="center"/>
    </xf>
    <xf numFmtId="0" fontId="16" fillId="15" borderId="226" xfId="0" applyFont="1" applyFill="1" applyBorder="1" applyAlignment="1">
      <alignment horizontal="center"/>
    </xf>
    <xf numFmtId="0" fontId="16" fillId="15" borderId="227" xfId="0" applyFont="1" applyFill="1" applyBorder="1" applyAlignment="1">
      <alignment horizontal="center"/>
    </xf>
    <xf numFmtId="0" fontId="23" fillId="0" borderId="205" xfId="0" applyFont="1" applyBorder="1" applyAlignment="1">
      <alignment horizontal="left"/>
    </xf>
    <xf numFmtId="0" fontId="23" fillId="0" borderId="205" xfId="0" applyFont="1" applyBorder="1" applyAlignment="1">
      <alignment horizontal="left" wrapText="1"/>
    </xf>
    <xf numFmtId="45" fontId="0" fillId="0" borderId="8" xfId="0" applyNumberFormat="1" applyBorder="1"/>
    <xf numFmtId="45" fontId="0" fillId="0" borderId="228" xfId="0" applyNumberFormat="1" applyBorder="1"/>
    <xf numFmtId="45" fontId="0" fillId="0" borderId="229" xfId="0" applyNumberFormat="1" applyBorder="1"/>
    <xf numFmtId="0" fontId="5" fillId="2" borderId="230" xfId="0" applyFont="1" applyFill="1" applyBorder="1" applyAlignment="1">
      <alignment horizontal="center" vertical="center"/>
    </xf>
    <xf numFmtId="0" fontId="5" fillId="2" borderId="201" xfId="0" applyFont="1" applyFill="1" applyBorder="1" applyAlignment="1">
      <alignment horizontal="center" wrapText="1"/>
    </xf>
    <xf numFmtId="0" fontId="0" fillId="0" borderId="201" xfId="0" applyBorder="1" applyAlignment="1">
      <alignment horizontal="center"/>
    </xf>
    <xf numFmtId="0" fontId="16" fillId="14" borderId="234" xfId="0" applyFont="1" applyFill="1" applyBorder="1" applyAlignment="1">
      <alignment horizontal="center"/>
    </xf>
    <xf numFmtId="0" fontId="16" fillId="2" borderId="231" xfId="0" applyFont="1" applyFill="1" applyBorder="1" applyAlignment="1">
      <alignment vertical="center" wrapText="1"/>
    </xf>
    <xf numFmtId="45" fontId="16" fillId="2" borderId="232" xfId="0" applyNumberFormat="1" applyFont="1" applyFill="1" applyBorder="1" applyAlignment="1">
      <alignment horizontal="center"/>
    </xf>
    <xf numFmtId="0" fontId="16" fillId="2" borderId="233" xfId="0" applyFont="1" applyFill="1" applyBorder="1" applyAlignment="1">
      <alignment horizontal="center"/>
    </xf>
    <xf numFmtId="0" fontId="16" fillId="2" borderId="236" xfId="0" applyFont="1" applyFill="1" applyBorder="1"/>
    <xf numFmtId="0" fontId="16" fillId="2" borderId="237" xfId="0" applyFont="1" applyFill="1" applyBorder="1"/>
    <xf numFmtId="0" fontId="16" fillId="2" borderId="212" xfId="0" applyFont="1" applyFill="1" applyBorder="1" applyAlignment="1">
      <alignment horizontal="center"/>
    </xf>
    <xf numFmtId="0" fontId="16" fillId="2" borderId="214" xfId="0" applyFont="1" applyFill="1" applyBorder="1" applyAlignment="1">
      <alignment horizontal="center"/>
    </xf>
    <xf numFmtId="0" fontId="16" fillId="2" borderId="221" xfId="0" applyFont="1" applyFill="1" applyBorder="1" applyAlignment="1">
      <alignment horizontal="center"/>
    </xf>
    <xf numFmtId="0" fontId="16" fillId="2" borderId="222" xfId="0" applyFont="1" applyFill="1" applyBorder="1" applyAlignment="1">
      <alignment horizontal="center"/>
    </xf>
    <xf numFmtId="0" fontId="16" fillId="0" borderId="238" xfId="0" applyFont="1" applyBorder="1"/>
    <xf numFmtId="0" fontId="16" fillId="0" borderId="235" xfId="0" applyFont="1" applyBorder="1"/>
    <xf numFmtId="0" fontId="16" fillId="12" borderId="10" xfId="0" applyFont="1" applyFill="1" applyBorder="1" applyAlignment="1">
      <alignment horizontal="left" vertical="center" wrapText="1"/>
    </xf>
    <xf numFmtId="45" fontId="16" fillId="14" borderId="239" xfId="0" applyNumberFormat="1" applyFont="1" applyFill="1" applyBorder="1" applyAlignment="1">
      <alignment horizontal="left"/>
    </xf>
    <xf numFmtId="45" fontId="16" fillId="14" borderId="240" xfId="0" applyNumberFormat="1" applyFont="1" applyFill="1" applyBorder="1" applyAlignment="1">
      <alignment horizontal="left"/>
    </xf>
    <xf numFmtId="45" fontId="16" fillId="14" borderId="241" xfId="0" applyNumberFormat="1" applyFont="1" applyFill="1" applyBorder="1" applyAlignment="1">
      <alignment horizontal="left"/>
    </xf>
    <xf numFmtId="0" fontId="16" fillId="0" borderId="242" xfId="0" applyFont="1" applyBorder="1"/>
    <xf numFmtId="0" fontId="16" fillId="0" borderId="238" xfId="0" applyFont="1" applyBorder="1" applyAlignment="1">
      <alignment horizontal="center" vertical="center" wrapText="1"/>
    </xf>
    <xf numFmtId="0" fontId="16" fillId="0" borderId="238" xfId="0" applyFont="1" applyBorder="1" applyAlignment="1">
      <alignment horizontal="left" vertical="center"/>
    </xf>
    <xf numFmtId="0" fontId="16" fillId="0" borderId="238" xfId="0" applyFont="1" applyBorder="1" applyAlignment="1">
      <alignment horizontal="center"/>
    </xf>
    <xf numFmtId="0" fontId="16" fillId="0" borderId="243" xfId="0" applyFont="1" applyBorder="1" applyAlignment="1">
      <alignment horizontal="center"/>
    </xf>
    <xf numFmtId="0" fontId="16" fillId="14" borderId="211" xfId="0" applyFont="1" applyFill="1" applyBorder="1"/>
    <xf numFmtId="0" fontId="16" fillId="14" borderId="213" xfId="0" applyFont="1" applyFill="1" applyBorder="1"/>
    <xf numFmtId="0" fontId="16" fillId="0" borderId="168" xfId="0" applyFont="1" applyBorder="1" applyAlignment="1">
      <alignment vertical="center"/>
    </xf>
    <xf numFmtId="0" fontId="23" fillId="0" borderId="0" xfId="0" applyFont="1" applyAlignment="1">
      <alignment vertical="center"/>
    </xf>
    <xf numFmtId="45" fontId="7" fillId="2" borderId="232" xfId="0" applyNumberFormat="1" applyFont="1" applyFill="1" applyBorder="1" applyAlignment="1">
      <alignment horizontal="center"/>
    </xf>
    <xf numFmtId="0" fontId="7" fillId="2" borderId="212" xfId="0" applyFont="1" applyFill="1" applyBorder="1" applyAlignment="1">
      <alignment horizontal="center"/>
    </xf>
    <xf numFmtId="165" fontId="16" fillId="2" borderId="11" xfId="0" applyNumberFormat="1" applyFont="1" applyFill="1" applyBorder="1" applyAlignment="1">
      <alignment horizontal="center" vertical="center" wrapText="1"/>
    </xf>
    <xf numFmtId="45" fontId="0" fillId="0" borderId="8" xfId="0" applyNumberFormat="1" applyBorder="1" applyAlignment="1">
      <alignment horizontal="center"/>
    </xf>
    <xf numFmtId="45" fontId="0" fillId="0" borderId="228" xfId="0" applyNumberFormat="1" applyBorder="1" applyAlignment="1">
      <alignment horizontal="center"/>
    </xf>
    <xf numFmtId="45" fontId="0" fillId="0" borderId="229" xfId="0" applyNumberFormat="1" applyBorder="1" applyAlignment="1">
      <alignment horizontal="center"/>
    </xf>
    <xf numFmtId="0" fontId="16" fillId="2" borderId="244" xfId="0" applyFont="1" applyFill="1" applyBorder="1" applyAlignment="1">
      <alignment horizontal="center"/>
    </xf>
    <xf numFmtId="0" fontId="16" fillId="0" borderId="245" xfId="0" applyFont="1" applyBorder="1"/>
    <xf numFmtId="0" fontId="16" fillId="14" borderId="231" xfId="0" applyFont="1" applyFill="1" applyBorder="1"/>
    <xf numFmtId="45" fontId="0" fillId="2" borderId="232" xfId="0" applyNumberFormat="1" applyFill="1" applyBorder="1" applyAlignment="1">
      <alignment horizontal="center"/>
    </xf>
    <xf numFmtId="45" fontId="0" fillId="2" borderId="212" xfId="0" applyNumberFormat="1" applyFill="1" applyBorder="1" applyAlignment="1">
      <alignment horizontal="center"/>
    </xf>
    <xf numFmtId="0" fontId="0" fillId="2" borderId="212" xfId="0" applyFill="1" applyBorder="1" applyAlignment="1">
      <alignment horizontal="center"/>
    </xf>
    <xf numFmtId="0" fontId="0" fillId="2" borderId="232" xfId="0" applyFill="1" applyBorder="1" applyAlignment="1">
      <alignment horizontal="center"/>
    </xf>
    <xf numFmtId="0" fontId="0" fillId="2" borderId="219" xfId="0" applyFill="1" applyBorder="1" applyAlignment="1">
      <alignment horizontal="center"/>
    </xf>
    <xf numFmtId="0" fontId="0" fillId="2" borderId="214" xfId="0" applyFill="1" applyBorder="1" applyAlignment="1">
      <alignment horizontal="center"/>
    </xf>
    <xf numFmtId="0" fontId="16" fillId="15" borderId="247" xfId="0" applyFont="1" applyFill="1" applyBorder="1" applyAlignment="1">
      <alignment vertical="center" wrapText="1"/>
    </xf>
    <xf numFmtId="0" fontId="16" fillId="15" borderId="246" xfId="0" applyFont="1" applyFill="1" applyBorder="1" applyAlignment="1">
      <alignment vertical="center" wrapText="1"/>
    </xf>
    <xf numFmtId="0" fontId="16" fillId="15" borderId="43" xfId="0" applyFont="1" applyFill="1" applyBorder="1" applyAlignment="1">
      <alignment vertical="center" wrapText="1"/>
    </xf>
    <xf numFmtId="0" fontId="23" fillId="0" borderId="248" xfId="0" applyFont="1" applyBorder="1" applyAlignment="1">
      <alignment vertical="center"/>
    </xf>
    <xf numFmtId="0" fontId="23" fillId="2" borderId="24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7" fillId="0" borderId="9" xfId="0" applyFont="1" applyBorder="1" applyAlignment="1">
      <alignment wrapText="1"/>
    </xf>
    <xf numFmtId="0" fontId="0" fillId="0" borderId="250" xfId="0" applyBorder="1"/>
    <xf numFmtId="0" fontId="0" fillId="0" borderId="251" xfId="0" applyBorder="1"/>
    <xf numFmtId="0" fontId="6" fillId="0" borderId="252" xfId="0" applyFont="1" applyBorder="1" applyAlignment="1">
      <alignment horizontal="center" vertical="center" wrapText="1"/>
    </xf>
    <xf numFmtId="0" fontId="23" fillId="0" borderId="252" xfId="0" applyFont="1" applyBorder="1" applyAlignment="1">
      <alignment vertical="center" wrapText="1"/>
    </xf>
    <xf numFmtId="0" fontId="33" fillId="0" borderId="252" xfId="0" applyFont="1" applyBorder="1" applyAlignment="1">
      <alignment horizontal="center" vertical="top" wrapText="1"/>
    </xf>
    <xf numFmtId="0" fontId="23" fillId="0" borderId="252" xfId="0" applyFont="1" applyBorder="1" applyAlignment="1">
      <alignment horizontal="center" vertical="center" wrapText="1"/>
    </xf>
    <xf numFmtId="0" fontId="33" fillId="0" borderId="252" xfId="0" applyFont="1" applyBorder="1" applyAlignment="1">
      <alignment horizontal="center" vertical="center" wrapText="1"/>
    </xf>
    <xf numFmtId="1" fontId="34" fillId="0" borderId="252" xfId="0" applyNumberFormat="1" applyFont="1" applyBorder="1" applyAlignment="1">
      <alignment horizontal="center"/>
    </xf>
    <xf numFmtId="166" fontId="23" fillId="0" borderId="252" xfId="0" applyNumberFormat="1" applyFont="1" applyBorder="1" applyAlignment="1">
      <alignment horizontal="center" vertical="center" wrapText="1"/>
    </xf>
    <xf numFmtId="0" fontId="23" fillId="0" borderId="252" xfId="0" applyFont="1" applyBorder="1"/>
    <xf numFmtId="0" fontId="33" fillId="0" borderId="252" xfId="0" applyFont="1" applyBorder="1" applyAlignment="1">
      <alignment horizontal="center"/>
    </xf>
    <xf numFmtId="0" fontId="0" fillId="0" borderId="252" xfId="0" applyBorder="1"/>
    <xf numFmtId="0" fontId="32" fillId="0" borderId="252" xfId="0" applyFont="1" applyBorder="1"/>
    <xf numFmtId="0" fontId="23" fillId="2" borderId="253" xfId="0" applyFont="1" applyFill="1" applyBorder="1" applyAlignment="1">
      <alignment horizontal="center" vertical="center" wrapText="1"/>
    </xf>
    <xf numFmtId="0" fontId="23" fillId="2" borderId="254" xfId="0" applyFont="1" applyFill="1" applyBorder="1" applyAlignment="1">
      <alignment horizontal="center" vertical="center" wrapText="1"/>
    </xf>
    <xf numFmtId="0" fontId="23" fillId="2" borderId="255" xfId="0" applyFont="1" applyFill="1" applyBorder="1" applyAlignment="1">
      <alignment horizontal="center" vertical="center" wrapText="1"/>
    </xf>
    <xf numFmtId="0" fontId="16" fillId="2" borderId="254" xfId="0" applyFont="1" applyFill="1" applyBorder="1" applyAlignment="1">
      <alignment horizontal="center" vertical="center" wrapText="1"/>
    </xf>
    <xf numFmtId="0" fontId="23" fillId="2" borderId="256" xfId="0" applyFont="1" applyFill="1" applyBorder="1" applyAlignment="1">
      <alignment horizontal="center" vertical="center" wrapText="1"/>
    </xf>
    <xf numFmtId="0" fontId="5" fillId="3" borderId="223" xfId="0" applyFont="1" applyFill="1" applyBorder="1" applyAlignment="1">
      <alignment horizontal="center"/>
    </xf>
    <xf numFmtId="0" fontId="5" fillId="3" borderId="257" xfId="0" applyFont="1" applyFill="1" applyBorder="1" applyAlignment="1">
      <alignment horizontal="center"/>
    </xf>
    <xf numFmtId="0" fontId="5" fillId="3" borderId="258" xfId="0" applyFont="1" applyFill="1" applyBorder="1" applyAlignment="1">
      <alignment horizontal="center"/>
    </xf>
    <xf numFmtId="0" fontId="5" fillId="3" borderId="259" xfId="0" applyFont="1" applyFill="1" applyBorder="1" applyAlignment="1">
      <alignment horizontal="center"/>
    </xf>
    <xf numFmtId="0" fontId="5" fillId="3" borderId="260" xfId="0" applyFont="1" applyFill="1" applyBorder="1" applyAlignment="1">
      <alignment horizontal="center"/>
    </xf>
    <xf numFmtId="0" fontId="5" fillId="3" borderId="261" xfId="0" applyFont="1" applyFill="1" applyBorder="1" applyAlignment="1">
      <alignment horizontal="center"/>
    </xf>
    <xf numFmtId="0" fontId="5" fillId="3" borderId="262" xfId="0" applyFont="1" applyFill="1" applyBorder="1" applyAlignment="1">
      <alignment horizontal="center"/>
    </xf>
    <xf numFmtId="0" fontId="16" fillId="3" borderId="208" xfId="0" applyFont="1" applyFill="1" applyBorder="1" applyAlignment="1">
      <alignment horizontal="center"/>
    </xf>
    <xf numFmtId="0" fontId="16" fillId="3" borderId="224" xfId="0" applyFont="1" applyFill="1" applyBorder="1" applyAlignment="1">
      <alignment horizontal="center"/>
    </xf>
    <xf numFmtId="0" fontId="23" fillId="3" borderId="206" xfId="0" applyFont="1" applyFill="1" applyBorder="1"/>
    <xf numFmtId="0" fontId="0" fillId="3" borderId="223" xfId="0" applyFill="1" applyBorder="1"/>
    <xf numFmtId="0" fontId="5" fillId="3" borderId="207" xfId="0" applyFont="1" applyFill="1" applyBorder="1" applyAlignment="1">
      <alignment horizontal="center"/>
    </xf>
    <xf numFmtId="0" fontId="16" fillId="3" borderId="204" xfId="0" applyFont="1" applyFill="1" applyBorder="1" applyAlignment="1">
      <alignment horizontal="center"/>
    </xf>
    <xf numFmtId="0" fontId="5" fillId="3" borderId="97" xfId="0" applyFont="1" applyFill="1" applyBorder="1" applyAlignment="1">
      <alignment horizontal="center"/>
    </xf>
    <xf numFmtId="0" fontId="5" fillId="3" borderId="263" xfId="0" applyFont="1" applyFill="1" applyBorder="1" applyAlignment="1">
      <alignment horizontal="center"/>
    </xf>
    <xf numFmtId="0" fontId="5" fillId="3" borderId="264" xfId="0" applyFont="1" applyFill="1" applyBorder="1" applyAlignment="1">
      <alignment horizontal="center"/>
    </xf>
    <xf numFmtId="165" fontId="5" fillId="3" borderId="262" xfId="0" applyNumberFormat="1" applyFont="1" applyFill="1" applyBorder="1" applyAlignment="1">
      <alignment horizontal="center"/>
    </xf>
    <xf numFmtId="165" fontId="5" fillId="3" borderId="258" xfId="0" applyNumberFormat="1" applyFont="1" applyFill="1" applyBorder="1" applyAlignment="1">
      <alignment horizontal="center"/>
    </xf>
    <xf numFmtId="165" fontId="5" fillId="3" borderId="260" xfId="0" applyNumberFormat="1" applyFont="1" applyFill="1" applyBorder="1" applyAlignment="1">
      <alignment horizontal="center"/>
    </xf>
    <xf numFmtId="0" fontId="16" fillId="15" borderId="265" xfId="0" applyFont="1" applyFill="1" applyBorder="1" applyAlignment="1">
      <alignment vertical="center" wrapText="1"/>
    </xf>
    <xf numFmtId="0" fontId="0" fillId="2" borderId="266" xfId="0" applyFill="1" applyBorder="1" applyAlignment="1">
      <alignment horizontal="center"/>
    </xf>
    <xf numFmtId="0" fontId="16" fillId="2" borderId="85" xfId="0" applyFont="1" applyFill="1" applyBorder="1" applyAlignment="1">
      <alignment horizontal="center"/>
    </xf>
    <xf numFmtId="0" fontId="16" fillId="14" borderId="267" xfId="0" applyFont="1" applyFill="1" applyBorder="1"/>
    <xf numFmtId="0" fontId="16" fillId="14" borderId="268" xfId="0" applyFont="1" applyFill="1" applyBorder="1" applyAlignment="1">
      <alignment horizontal="center"/>
    </xf>
    <xf numFmtId="45" fontId="0" fillId="2" borderId="219" xfId="0" applyNumberFormat="1" applyFill="1" applyBorder="1" applyAlignment="1">
      <alignment horizontal="center"/>
    </xf>
    <xf numFmtId="1" fontId="29" fillId="2" borderId="189" xfId="0" applyNumberFormat="1" applyFont="1" applyFill="1" applyBorder="1" applyAlignment="1">
      <alignment horizontal="center" vertical="center"/>
    </xf>
    <xf numFmtId="21" fontId="7" fillId="0" borderId="0" xfId="0" applyNumberFormat="1" applyFont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top"/>
    </xf>
    <xf numFmtId="0" fontId="23" fillId="0" borderId="11" xfId="0" applyFont="1" applyBorder="1" applyAlignment="1">
      <alignment horizontal="center" vertical="top"/>
    </xf>
    <xf numFmtId="0" fontId="23" fillId="0" borderId="269" xfId="0" applyFont="1" applyBorder="1" applyAlignment="1">
      <alignment vertical="center"/>
    </xf>
    <xf numFmtId="0" fontId="7" fillId="0" borderId="270" xfId="0" applyFont="1" applyBorder="1" applyAlignment="1">
      <alignment wrapText="1"/>
    </xf>
    <xf numFmtId="1" fontId="38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194" xfId="0" applyFont="1" applyBorder="1" applyAlignment="1">
      <alignment horizontal="center"/>
    </xf>
    <xf numFmtId="0" fontId="14" fillId="0" borderId="196" xfId="0" applyFont="1" applyBorder="1" applyAlignment="1">
      <alignment horizontal="center"/>
    </xf>
    <xf numFmtId="0" fontId="5" fillId="0" borderId="197" xfId="0" applyFont="1" applyBorder="1" applyAlignment="1">
      <alignment horizontal="center"/>
    </xf>
    <xf numFmtId="0" fontId="14" fillId="0" borderId="199" xfId="0" applyFont="1" applyBorder="1" applyAlignment="1">
      <alignment horizontal="center"/>
    </xf>
    <xf numFmtId="0" fontId="33" fillId="3" borderId="192" xfId="0" applyFont="1" applyFill="1" applyBorder="1" applyAlignment="1">
      <alignment horizontal="center" vertical="center" wrapText="1"/>
    </xf>
    <xf numFmtId="0" fontId="23" fillId="3" borderId="193" xfId="0" applyFont="1" applyFill="1" applyBorder="1" applyAlignment="1">
      <alignment horizontal="center" vertical="center" wrapText="1"/>
    </xf>
    <xf numFmtId="0" fontId="5" fillId="3" borderId="172" xfId="0" applyFont="1" applyFill="1" applyBorder="1" applyAlignment="1">
      <alignment horizontal="center" wrapText="1"/>
    </xf>
    <xf numFmtId="0" fontId="5" fillId="3" borderId="173" xfId="0" applyFont="1" applyFill="1" applyBorder="1" applyAlignment="1">
      <alignment horizontal="center" wrapText="1"/>
    </xf>
    <xf numFmtId="0" fontId="6" fillId="3" borderId="172" xfId="0" applyFont="1" applyFill="1" applyBorder="1" applyAlignment="1">
      <alignment horizontal="center" vertical="center"/>
    </xf>
    <xf numFmtId="0" fontId="6" fillId="3" borderId="173" xfId="0" applyFont="1" applyFill="1" applyBorder="1" applyAlignment="1">
      <alignment horizontal="center" vertical="center"/>
    </xf>
    <xf numFmtId="1" fontId="38" fillId="3" borderId="181" xfId="0" applyNumberFormat="1" applyFont="1" applyFill="1" applyBorder="1" applyAlignment="1">
      <alignment horizontal="center" vertical="center"/>
    </xf>
    <xf numFmtId="1" fontId="38" fillId="3" borderId="173" xfId="0" applyNumberFormat="1" applyFont="1" applyFill="1" applyBorder="1" applyAlignment="1">
      <alignment horizontal="center" vertical="center"/>
    </xf>
    <xf numFmtId="0" fontId="0" fillId="0" borderId="271" xfId="0" applyBorder="1" applyAlignment="1">
      <alignment horizontal="center"/>
    </xf>
    <xf numFmtId="0" fontId="7" fillId="4" borderId="185" xfId="0" applyFont="1" applyFill="1" applyBorder="1"/>
    <xf numFmtId="0" fontId="7" fillId="0" borderId="169" xfId="0" applyFont="1" applyBorder="1"/>
    <xf numFmtId="0" fontId="16" fillId="0" borderId="169" xfId="0" applyFont="1" applyBorder="1"/>
    <xf numFmtId="0" fontId="16" fillId="0" borderId="169" xfId="0" applyFont="1" applyBorder="1" applyAlignment="1">
      <alignment horizontal="left"/>
    </xf>
    <xf numFmtId="165" fontId="16" fillId="0" borderId="169" xfId="0" applyNumberFormat="1" applyFont="1" applyBorder="1"/>
    <xf numFmtId="1" fontId="16" fillId="0" borderId="169" xfId="0" applyNumberFormat="1" applyFont="1" applyBorder="1"/>
    <xf numFmtId="21" fontId="16" fillId="0" borderId="169" xfId="0" applyNumberFormat="1" applyFont="1" applyBorder="1"/>
    <xf numFmtId="2" fontId="16" fillId="0" borderId="171" xfId="0" applyNumberFormat="1" applyFont="1" applyBorder="1"/>
    <xf numFmtId="0" fontId="16" fillId="0" borderId="168" xfId="0" applyFont="1" applyBorder="1" applyAlignment="1">
      <alignment horizontal="left"/>
    </xf>
    <xf numFmtId="165" fontId="16" fillId="0" borderId="168" xfId="0" applyNumberFormat="1" applyFont="1" applyBorder="1"/>
    <xf numFmtId="1" fontId="16" fillId="0" borderId="168" xfId="0" applyNumberFormat="1" applyFont="1" applyBorder="1"/>
    <xf numFmtId="0" fontId="40" fillId="0" borderId="0" xfId="0" applyFont="1"/>
    <xf numFmtId="21" fontId="16" fillId="0" borderId="168" xfId="0" applyNumberFormat="1" applyFont="1" applyBorder="1"/>
    <xf numFmtId="2" fontId="16" fillId="0" borderId="168" xfId="0" applyNumberFormat="1" applyFont="1" applyBorder="1"/>
    <xf numFmtId="0" fontId="23" fillId="0" borderId="0" xfId="0" applyFont="1" applyAlignment="1">
      <alignment vertical="center" wrapText="1"/>
    </xf>
    <xf numFmtId="0" fontId="29" fillId="0" borderId="272" xfId="0" applyFont="1" applyBorder="1" applyAlignment="1">
      <alignment horizontal="center" vertical="center"/>
    </xf>
    <xf numFmtId="0" fontId="38" fillId="12" borderId="172" xfId="0" applyFont="1" applyFill="1" applyBorder="1" applyAlignment="1">
      <alignment horizontal="center" vertical="center"/>
    </xf>
    <xf numFmtId="0" fontId="38" fillId="12" borderId="274" xfId="0" applyFont="1" applyFill="1" applyBorder="1" applyAlignment="1">
      <alignment horizontal="center" vertical="center"/>
    </xf>
    <xf numFmtId="0" fontId="38" fillId="0" borderId="273" xfId="0" applyFont="1" applyBorder="1" applyAlignment="1">
      <alignment horizontal="center" vertical="center"/>
    </xf>
    <xf numFmtId="1" fontId="38" fillId="13" borderId="274" xfId="0" applyNumberFormat="1" applyFont="1" applyFill="1" applyBorder="1" applyAlignment="1">
      <alignment horizontal="center" vertical="center"/>
    </xf>
    <xf numFmtId="1" fontId="38" fillId="0" borderId="273" xfId="0" applyNumberFormat="1" applyFont="1" applyBorder="1" applyAlignment="1">
      <alignment horizontal="center" vertical="center"/>
    </xf>
    <xf numFmtId="1" fontId="38" fillId="3" borderId="172" xfId="0" applyNumberFormat="1" applyFont="1" applyFill="1" applyBorder="1" applyAlignment="1">
      <alignment horizontal="center" vertical="center"/>
    </xf>
    <xf numFmtId="0" fontId="41" fillId="0" borderId="0" xfId="0" applyFont="1"/>
    <xf numFmtId="0" fontId="41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32" fillId="0" borderId="43" xfId="0" applyFont="1" applyBorder="1"/>
    <xf numFmtId="1" fontId="38" fillId="16" borderId="172" xfId="0" applyNumberFormat="1" applyFont="1" applyFill="1" applyBorder="1" applyAlignment="1">
      <alignment horizontal="center" vertical="center"/>
    </xf>
    <xf numFmtId="1" fontId="38" fillId="16" borderId="173" xfId="0" applyNumberFormat="1" applyFont="1" applyFill="1" applyBorder="1" applyAlignment="1">
      <alignment horizontal="center" vertical="center"/>
    </xf>
    <xf numFmtId="0" fontId="23" fillId="0" borderId="2" xfId="0" applyFont="1" applyBorder="1" applyAlignment="1">
      <alignment vertical="top" wrapText="1"/>
    </xf>
    <xf numFmtId="0" fontId="23" fillId="0" borderId="5" xfId="0" applyFont="1" applyBorder="1" applyAlignment="1">
      <alignment vertical="top" wrapText="1"/>
    </xf>
    <xf numFmtId="0" fontId="0" fillId="0" borderId="275" xfId="0" applyBorder="1"/>
    <xf numFmtId="0" fontId="6" fillId="0" borderId="275" xfId="0" applyFont="1" applyBorder="1"/>
    <xf numFmtId="45" fontId="0" fillId="2" borderId="266" xfId="0" applyNumberFormat="1" applyFill="1" applyBorder="1" applyAlignment="1">
      <alignment horizontal="center"/>
    </xf>
    <xf numFmtId="0" fontId="29" fillId="2" borderId="276" xfId="0" applyFont="1" applyFill="1" applyBorder="1" applyAlignment="1">
      <alignment horizontal="center" vertical="center"/>
    </xf>
    <xf numFmtId="1" fontId="29" fillId="2" borderId="276" xfId="0" applyNumberFormat="1" applyFont="1" applyFill="1" applyBorder="1" applyAlignment="1">
      <alignment horizontal="center" vertical="center"/>
    </xf>
    <xf numFmtId="1" fontId="38" fillId="12" borderId="277" xfId="0" applyNumberFormat="1" applyFont="1" applyFill="1" applyBorder="1" applyAlignment="1">
      <alignment horizontal="center" vertical="center"/>
    </xf>
    <xf numFmtId="1" fontId="38" fillId="12" borderId="175" xfId="0" applyNumberFormat="1" applyFont="1" applyFill="1" applyBorder="1" applyAlignment="1">
      <alignment horizontal="center" vertical="center"/>
    </xf>
    <xf numFmtId="0" fontId="23" fillId="2" borderId="190" xfId="0" applyFont="1" applyFill="1" applyBorder="1" applyAlignment="1">
      <alignment horizontal="center" vertical="center"/>
    </xf>
    <xf numFmtId="0" fontId="23" fillId="2" borderId="191" xfId="0" applyFont="1" applyFill="1" applyBorder="1" applyAlignment="1">
      <alignment horizontal="center" vertical="center"/>
    </xf>
    <xf numFmtId="14" fontId="5" fillId="2" borderId="25" xfId="0" applyNumberFormat="1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23" fillId="3" borderId="166" xfId="0" applyFont="1" applyFill="1" applyBorder="1" applyAlignment="1">
      <alignment horizontal="center" vertical="center" wrapText="1"/>
    </xf>
    <xf numFmtId="0" fontId="23" fillId="3" borderId="167" xfId="0" applyFont="1" applyFill="1" applyBorder="1" applyAlignment="1">
      <alignment horizontal="center" vertical="center" wrapText="1"/>
    </xf>
    <xf numFmtId="0" fontId="23" fillId="3" borderId="168" xfId="0" applyFont="1" applyFill="1" applyBorder="1" applyAlignment="1">
      <alignment horizontal="center" vertical="center" wrapText="1"/>
    </xf>
    <xf numFmtId="0" fontId="23" fillId="3" borderId="169" xfId="0" applyFont="1" applyFill="1" applyBorder="1" applyAlignment="1">
      <alignment horizontal="center" vertical="center" wrapText="1"/>
    </xf>
    <xf numFmtId="0" fontId="23" fillId="2" borderId="186" xfId="0" applyFont="1" applyFill="1" applyBorder="1" applyAlignment="1">
      <alignment horizontal="center" vertical="center" wrapText="1"/>
    </xf>
    <xf numFmtId="0" fontId="23" fillId="2" borderId="187" xfId="0" applyFont="1" applyFill="1" applyBorder="1" applyAlignment="1">
      <alignment horizontal="center" vertical="center" wrapText="1"/>
    </xf>
    <xf numFmtId="0" fontId="23" fillId="2" borderId="188" xfId="0" applyFont="1" applyFill="1" applyBorder="1" applyAlignment="1">
      <alignment horizontal="center" vertical="center" wrapText="1"/>
    </xf>
    <xf numFmtId="0" fontId="23" fillId="12" borderId="166" xfId="0" applyFont="1" applyFill="1" applyBorder="1" applyAlignment="1">
      <alignment horizontal="center" vertical="center"/>
    </xf>
    <xf numFmtId="0" fontId="23" fillId="12" borderId="167" xfId="0" applyFont="1" applyFill="1" applyBorder="1" applyAlignment="1">
      <alignment horizontal="center" vertical="center"/>
    </xf>
    <xf numFmtId="0" fontId="23" fillId="12" borderId="168" xfId="0" applyFont="1" applyFill="1" applyBorder="1" applyAlignment="1">
      <alignment horizontal="center" vertical="center"/>
    </xf>
    <xf numFmtId="0" fontId="23" fillId="12" borderId="169" xfId="0" applyFont="1" applyFill="1" applyBorder="1" applyAlignment="1">
      <alignment horizontal="center" vertical="center"/>
    </xf>
    <xf numFmtId="0" fontId="23" fillId="12" borderId="192" xfId="0" applyFont="1" applyFill="1" applyBorder="1" applyAlignment="1">
      <alignment horizontal="center" vertical="center"/>
    </xf>
    <xf numFmtId="0" fontId="23" fillId="12" borderId="193" xfId="0" applyFont="1" applyFill="1" applyBorder="1" applyAlignment="1">
      <alignment horizontal="center" vertical="center"/>
    </xf>
    <xf numFmtId="0" fontId="23" fillId="13" borderId="166" xfId="0" applyFont="1" applyFill="1" applyBorder="1" applyAlignment="1">
      <alignment horizontal="center" vertical="center" wrapText="1"/>
    </xf>
    <xf numFmtId="0" fontId="23" fillId="13" borderId="167" xfId="0" applyFont="1" applyFill="1" applyBorder="1" applyAlignment="1">
      <alignment horizontal="center" vertical="center" wrapText="1"/>
    </xf>
    <xf numFmtId="0" fontId="23" fillId="13" borderId="168" xfId="0" applyFont="1" applyFill="1" applyBorder="1" applyAlignment="1">
      <alignment horizontal="center" vertical="center" wrapText="1"/>
    </xf>
    <xf numFmtId="0" fontId="23" fillId="13" borderId="169" xfId="0" applyFont="1" applyFill="1" applyBorder="1" applyAlignment="1">
      <alignment horizontal="center" vertical="center" wrapText="1"/>
    </xf>
    <xf numFmtId="0" fontId="23" fillId="13" borderId="192" xfId="0" applyFont="1" applyFill="1" applyBorder="1" applyAlignment="1">
      <alignment horizontal="center" vertical="center" wrapText="1"/>
    </xf>
    <xf numFmtId="0" fontId="23" fillId="13" borderId="193" xfId="0" applyFont="1" applyFill="1" applyBorder="1" applyAlignment="1">
      <alignment horizontal="center" vertical="center" wrapText="1"/>
    </xf>
    <xf numFmtId="0" fontId="16" fillId="12" borderId="36" xfId="0" applyFont="1" applyFill="1" applyBorder="1" applyAlignment="1">
      <alignment horizontal="center" vertical="center" wrapText="1"/>
    </xf>
    <xf numFmtId="0" fontId="16" fillId="12" borderId="24" xfId="0" applyFont="1" applyFill="1" applyBorder="1" applyAlignment="1">
      <alignment horizontal="center" vertical="center" wrapText="1"/>
    </xf>
    <xf numFmtId="0" fontId="16" fillId="0" borderId="205" xfId="0" applyFont="1" applyBorder="1" applyAlignment="1">
      <alignment horizontal="center" vertical="center" wrapText="1"/>
    </xf>
    <xf numFmtId="0" fontId="16" fillId="2" borderId="206" xfId="0" applyFont="1" applyFill="1" applyBorder="1" applyAlignment="1">
      <alignment horizontal="center" vertical="center" wrapText="1"/>
    </xf>
    <xf numFmtId="0" fontId="16" fillId="2" borderId="207" xfId="0" applyFont="1" applyFill="1" applyBorder="1" applyAlignment="1">
      <alignment horizontal="center" vertical="center" wrapText="1"/>
    </xf>
    <xf numFmtId="0" fontId="16" fillId="2" borderId="223" xfId="0" applyFont="1" applyFill="1" applyBorder="1" applyAlignment="1">
      <alignment horizontal="center" vertical="center" wrapText="1"/>
    </xf>
    <xf numFmtId="0" fontId="16" fillId="12" borderId="39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66" fontId="7" fillId="0" borderId="0" xfId="0" applyNumberFormat="1" applyFont="1" applyBorder="1" applyAlignment="1">
      <alignment horizontal="center" vertical="center" wrapText="1"/>
    </xf>
    <xf numFmtId="21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5" fontId="0" fillId="0" borderId="0" xfId="0" applyNumberFormat="1" applyBorder="1" applyAlignment="1">
      <alignment horizontal="center"/>
    </xf>
    <xf numFmtId="1" fontId="16" fillId="0" borderId="0" xfId="0" applyNumberFormat="1" applyFont="1" applyBorder="1" applyAlignment="1">
      <alignment horizontal="center"/>
    </xf>
    <xf numFmtId="0" fontId="0" fillId="0" borderId="0" xfId="0" applyBorder="1"/>
    <xf numFmtId="0" fontId="7" fillId="0" borderId="0" xfId="0" applyFont="1" applyBorder="1"/>
    <xf numFmtId="1" fontId="7" fillId="0" borderId="0" xfId="0" applyNumberFormat="1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21" fontId="7" fillId="0" borderId="0" xfId="0" applyNumberFormat="1" applyFont="1" applyBorder="1" applyAlignment="1">
      <alignment horizontal="center" vertical="center" wrapText="1"/>
    </xf>
    <xf numFmtId="0" fontId="16" fillId="15" borderId="278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FEC"/>
      <color rgb="FFFFECF4"/>
      <color rgb="FFFFC0D9"/>
      <color rgb="FFFFFF89"/>
      <color rgb="FFFFFF61"/>
      <color rgb="FFFFB9CF"/>
      <color rgb="FFEECFFF"/>
      <color rgb="FFE8EFE3"/>
      <color rgb="FFFFF9E6"/>
      <color rgb="FFF8E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microsoft.com/office/2017/10/relationships/person" Target="persons/perso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Aldersfordeling, antall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Poengsammendrag!$W$123</c:f>
              <c:strCache>
                <c:ptCount val="1"/>
                <c:pt idx="0">
                  <c:v>Antall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Poengsammendrag!$V$124:$V$164</c:f>
              <c:numCache>
                <c:formatCode>General</c:formatCode>
                <c:ptCount val="41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  <c:pt idx="30">
                  <c:v>85</c:v>
                </c:pt>
                <c:pt idx="31">
                  <c:v>86</c:v>
                </c:pt>
                <c:pt idx="32">
                  <c:v>87</c:v>
                </c:pt>
                <c:pt idx="33">
                  <c:v>88</c:v>
                </c:pt>
                <c:pt idx="34">
                  <c:v>89</c:v>
                </c:pt>
                <c:pt idx="35">
                  <c:v>90</c:v>
                </c:pt>
                <c:pt idx="36">
                  <c:v>91</c:v>
                </c:pt>
                <c:pt idx="37">
                  <c:v>92</c:v>
                </c:pt>
                <c:pt idx="38">
                  <c:v>93</c:v>
                </c:pt>
                <c:pt idx="39">
                  <c:v>94</c:v>
                </c:pt>
                <c:pt idx="40">
                  <c:v>95</c:v>
                </c:pt>
              </c:numCache>
            </c:numRef>
          </c:cat>
          <c:val>
            <c:numRef>
              <c:f>Poengsammendrag!$W$124:$W$164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11</c:v>
                </c:pt>
                <c:pt idx="5">
                  <c:v>14</c:v>
                </c:pt>
                <c:pt idx="6">
                  <c:v>14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6</c:v>
                </c:pt>
                <c:pt idx="11">
                  <c:v>32</c:v>
                </c:pt>
                <c:pt idx="12">
                  <c:v>32</c:v>
                </c:pt>
                <c:pt idx="13">
                  <c:v>11</c:v>
                </c:pt>
                <c:pt idx="14">
                  <c:v>29</c:v>
                </c:pt>
                <c:pt idx="15">
                  <c:v>39</c:v>
                </c:pt>
                <c:pt idx="16">
                  <c:v>50</c:v>
                </c:pt>
                <c:pt idx="17">
                  <c:v>90</c:v>
                </c:pt>
                <c:pt idx="18">
                  <c:v>91</c:v>
                </c:pt>
                <c:pt idx="19">
                  <c:v>80</c:v>
                </c:pt>
                <c:pt idx="20">
                  <c:v>87</c:v>
                </c:pt>
                <c:pt idx="21">
                  <c:v>51</c:v>
                </c:pt>
                <c:pt idx="22">
                  <c:v>70</c:v>
                </c:pt>
                <c:pt idx="23">
                  <c:v>66</c:v>
                </c:pt>
                <c:pt idx="24">
                  <c:v>75</c:v>
                </c:pt>
                <c:pt idx="25">
                  <c:v>42</c:v>
                </c:pt>
                <c:pt idx="26">
                  <c:v>43</c:v>
                </c:pt>
                <c:pt idx="27">
                  <c:v>45</c:v>
                </c:pt>
                <c:pt idx="28">
                  <c:v>29</c:v>
                </c:pt>
                <c:pt idx="29">
                  <c:v>21</c:v>
                </c:pt>
                <c:pt idx="30">
                  <c:v>27</c:v>
                </c:pt>
                <c:pt idx="31">
                  <c:v>41</c:v>
                </c:pt>
                <c:pt idx="32">
                  <c:v>21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35-4543-9DC8-A8EE499F6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overlap val="-18"/>
        <c:axId val="1820593663"/>
        <c:axId val="1837432831"/>
      </c:barChart>
      <c:catAx>
        <c:axId val="18205936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Alder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37432831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837432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Antall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205936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2225" cap="flat" cmpd="sng" algn="ctr">
      <a:solidFill>
        <a:schemeClr val="accent1"/>
      </a:solidFill>
      <a:round/>
    </a:ln>
    <a:effectLst/>
  </c:spPr>
  <c:txPr>
    <a:bodyPr/>
    <a:lstStyle/>
    <a:p>
      <a:pPr>
        <a:defRPr sz="14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Aldersfordeling løp 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'Løp 8'!$AB$21:$AB$42</c:f>
              <c:numCache>
                <c:formatCode>General</c:formatCode>
                <c:ptCount val="22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</c:numCache>
            </c:numRef>
          </c:cat>
          <c:val>
            <c:numRef>
              <c:f>'Løp 8'!$AC$21:$AC$42</c:f>
              <c:numCache>
                <c:formatCode>General</c:formatCode>
                <c:ptCount val="22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F-F446-ADAF-0A7325F6A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1186687"/>
        <c:axId val="1741189375"/>
      </c:barChart>
      <c:catAx>
        <c:axId val="174118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9375"/>
        <c:crosses val="autoZero"/>
        <c:auto val="1"/>
        <c:lblAlgn val="ctr"/>
        <c:lblOffset val="100"/>
        <c:noMultiLvlLbl val="0"/>
      </c:catAx>
      <c:valAx>
        <c:axId val="174118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6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Aldersfordeling løp 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'Løp 9'!$AB$21:$AB$42</c:f>
              <c:numCache>
                <c:formatCode>General</c:formatCode>
                <c:ptCount val="22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</c:numCache>
            </c:numRef>
          </c:cat>
          <c:val>
            <c:numRef>
              <c:f>'Løp 9'!$AC$21:$AC$42</c:f>
              <c:numCache>
                <c:formatCode>General</c:formatCode>
                <c:ptCount val="2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5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4-D046-B603-9355A1CFF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1186687"/>
        <c:axId val="1741189375"/>
      </c:barChart>
      <c:catAx>
        <c:axId val="174118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9375"/>
        <c:crosses val="autoZero"/>
        <c:auto val="1"/>
        <c:lblAlgn val="ctr"/>
        <c:lblOffset val="100"/>
        <c:noMultiLvlLbl val="0"/>
      </c:catAx>
      <c:valAx>
        <c:axId val="174118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6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Aldersfordeling løp 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'Løp 10'!$AB$21:$AB$42</c:f>
              <c:numCache>
                <c:formatCode>General</c:formatCode>
                <c:ptCount val="22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</c:numCache>
            </c:numRef>
          </c:cat>
          <c:val>
            <c:numRef>
              <c:f>'Løp 8'!$AC$21:$AC$42</c:f>
              <c:numCache>
                <c:formatCode>General</c:formatCode>
                <c:ptCount val="22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30-5249-825C-B20D9A354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1186687"/>
        <c:axId val="1741189375"/>
      </c:barChart>
      <c:catAx>
        <c:axId val="174118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9375"/>
        <c:crosses val="autoZero"/>
        <c:auto val="1"/>
        <c:lblAlgn val="ctr"/>
        <c:lblOffset val="100"/>
        <c:noMultiLvlLbl val="0"/>
      </c:catAx>
      <c:valAx>
        <c:axId val="174118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6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Aldersfordeling løp 11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'Løp 11'!$AB$21:$AB$42</c:f>
              <c:numCache>
                <c:formatCode>General</c:formatCode>
                <c:ptCount val="22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</c:numCache>
            </c:numRef>
          </c:cat>
          <c:val>
            <c:numRef>
              <c:f>'Løp 11'!$AC$21:$AC$42</c:f>
              <c:numCache>
                <c:formatCode>General</c:formatCode>
                <c:ptCount val="22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5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4D-6A47-9340-076B067CF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1186687"/>
        <c:axId val="1741189375"/>
      </c:barChart>
      <c:catAx>
        <c:axId val="174118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9375"/>
        <c:crosses val="autoZero"/>
        <c:auto val="1"/>
        <c:lblAlgn val="ctr"/>
        <c:lblOffset val="100"/>
        <c:noMultiLvlLbl val="0"/>
      </c:catAx>
      <c:valAx>
        <c:axId val="174118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6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Aldersfordeling løp 12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'Løp 12'!$AB$21:$AB$42</c:f>
              <c:numCache>
                <c:formatCode>General</c:formatCode>
                <c:ptCount val="22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</c:numCache>
            </c:numRef>
          </c:cat>
          <c:val>
            <c:numRef>
              <c:f>'Løp 12'!$AC$21:$AC$42</c:f>
              <c:numCache>
                <c:formatCode>General</c:formatCode>
                <c:ptCount val="2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5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E5-6843-BACC-27FFD53B2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1186687"/>
        <c:axId val="1741189375"/>
      </c:barChart>
      <c:catAx>
        <c:axId val="174118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9375"/>
        <c:crosses val="autoZero"/>
        <c:auto val="1"/>
        <c:lblAlgn val="ctr"/>
        <c:lblOffset val="100"/>
        <c:noMultiLvlLbl val="0"/>
      </c:catAx>
      <c:valAx>
        <c:axId val="174118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6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Aldersfordeling løp 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'Løp 13'!$AB$21:$AB$42</c:f>
              <c:numCache>
                <c:formatCode>General</c:formatCode>
                <c:ptCount val="22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</c:numCache>
            </c:numRef>
          </c:cat>
          <c:val>
            <c:numRef>
              <c:f>'Løp 13'!$AC$21:$AC$42</c:f>
              <c:numCache>
                <c:formatCode>General</c:formatCode>
                <c:ptCount val="2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B5-4E4C-82AD-30D3F4A83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1186687"/>
        <c:axId val="1741189375"/>
      </c:barChart>
      <c:catAx>
        <c:axId val="174118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9375"/>
        <c:crosses val="autoZero"/>
        <c:auto val="1"/>
        <c:lblAlgn val="ctr"/>
        <c:lblOffset val="100"/>
        <c:noMultiLvlLbl val="0"/>
      </c:catAx>
      <c:valAx>
        <c:axId val="174118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6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Aldersfordeling løp 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'Løp 13'!$AB$21:$AB$42</c:f>
              <c:numCache>
                <c:formatCode>General</c:formatCode>
                <c:ptCount val="22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</c:numCache>
            </c:numRef>
          </c:cat>
          <c:val>
            <c:numRef>
              <c:f>'Løp 13'!$AC$21:$AC$42</c:f>
              <c:numCache>
                <c:formatCode>General</c:formatCode>
                <c:ptCount val="2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48-1A4B-B919-036D8A2DE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1186687"/>
        <c:axId val="1741189375"/>
      </c:barChart>
      <c:catAx>
        <c:axId val="174118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9375"/>
        <c:crosses val="autoZero"/>
        <c:auto val="1"/>
        <c:lblAlgn val="ctr"/>
        <c:lblOffset val="100"/>
        <c:noMultiLvlLbl val="0"/>
      </c:catAx>
      <c:valAx>
        <c:axId val="174118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6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Aldersfordeling løp 14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'Løp 14'!$AB$21:$AB$42</c:f>
              <c:numCache>
                <c:formatCode>General</c:formatCode>
                <c:ptCount val="22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</c:numCache>
            </c:numRef>
          </c:cat>
          <c:val>
            <c:numRef>
              <c:f>'Løp 14'!$AC$21:$AC$42</c:f>
              <c:numCache>
                <c:formatCode>General</c:formatCode>
                <c:ptCount val="2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E6-7C48-A2B7-9638717B7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1186687"/>
        <c:axId val="1741189375"/>
      </c:barChart>
      <c:catAx>
        <c:axId val="174118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9375"/>
        <c:crosses val="autoZero"/>
        <c:auto val="1"/>
        <c:lblAlgn val="ctr"/>
        <c:lblOffset val="100"/>
        <c:noMultiLvlLbl val="0"/>
      </c:catAx>
      <c:valAx>
        <c:axId val="174118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6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Aldersfordeling løp 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'Løp 13'!$AB$21:$AB$42</c:f>
              <c:numCache>
                <c:formatCode>General</c:formatCode>
                <c:ptCount val="22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</c:numCache>
            </c:numRef>
          </c:cat>
          <c:val>
            <c:numRef>
              <c:f>'Løp 13'!$AC$21:$AC$42</c:f>
              <c:numCache>
                <c:formatCode>General</c:formatCode>
                <c:ptCount val="2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D8-9340-88BE-B1F2EE896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1186687"/>
        <c:axId val="1741189375"/>
      </c:barChart>
      <c:catAx>
        <c:axId val="174118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9375"/>
        <c:crosses val="autoZero"/>
        <c:auto val="1"/>
        <c:lblAlgn val="ctr"/>
        <c:lblOffset val="100"/>
        <c:noMultiLvlLbl val="0"/>
      </c:catAx>
      <c:valAx>
        <c:axId val="174118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6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Aldersfordeling løp 15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'Løp 15'!$AB$21:$AB$42</c:f>
              <c:numCache>
                <c:formatCode>General</c:formatCode>
                <c:ptCount val="22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</c:numCache>
            </c:numRef>
          </c:cat>
          <c:val>
            <c:numRef>
              <c:f>'Løp 15'!$AC$21:$AC$42</c:f>
              <c:numCache>
                <c:formatCode>General</c:formatCode>
                <c:ptCount val="22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5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3F-444B-BBF5-7F8820700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1186687"/>
        <c:axId val="1741189375"/>
      </c:barChart>
      <c:catAx>
        <c:axId val="174118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9375"/>
        <c:crosses val="autoZero"/>
        <c:auto val="1"/>
        <c:lblAlgn val="ctr"/>
        <c:lblOffset val="100"/>
        <c:noMultiLvlLbl val="0"/>
      </c:catAx>
      <c:valAx>
        <c:axId val="174118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6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Aldersfordeling, prosent</a:t>
            </a:r>
            <a:r>
              <a:rPr lang="en-US" baseline="0"/>
              <a:t> 25/26</a:t>
            </a:r>
            <a:endParaRPr lang="en-US"/>
          </a:p>
        </c:rich>
      </c:tx>
      <c:layout>
        <c:manualLayout>
          <c:xMode val="edge"/>
          <c:yMode val="edge"/>
          <c:x val="0.28663268228726557"/>
          <c:y val="4.10887726708112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Poengsammendrag!$Y$123</c:f>
              <c:strCache>
                <c:ptCount val="1"/>
                <c:pt idx="0">
                  <c:v>Prosent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Poengsammendrag!$V$124:$V$164</c:f>
              <c:numCache>
                <c:formatCode>General</c:formatCode>
                <c:ptCount val="41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  <c:pt idx="30">
                  <c:v>85</c:v>
                </c:pt>
                <c:pt idx="31">
                  <c:v>86</c:v>
                </c:pt>
                <c:pt idx="32">
                  <c:v>87</c:v>
                </c:pt>
                <c:pt idx="33">
                  <c:v>88</c:v>
                </c:pt>
                <c:pt idx="34">
                  <c:v>89</c:v>
                </c:pt>
                <c:pt idx="35">
                  <c:v>90</c:v>
                </c:pt>
                <c:pt idx="36">
                  <c:v>91</c:v>
                </c:pt>
                <c:pt idx="37">
                  <c:v>92</c:v>
                </c:pt>
                <c:pt idx="38">
                  <c:v>93</c:v>
                </c:pt>
                <c:pt idx="39">
                  <c:v>94</c:v>
                </c:pt>
                <c:pt idx="40">
                  <c:v>95</c:v>
                </c:pt>
              </c:numCache>
            </c:numRef>
          </c:cat>
          <c:val>
            <c:numRef>
              <c:f>Poengsammendrag!$Y$124:$Y$164</c:f>
              <c:numCache>
                <c:formatCode>0.0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8.8573959255978746E-2</c:v>
                </c:pt>
                <c:pt idx="3">
                  <c:v>8.8573959255978746E-2</c:v>
                </c:pt>
                <c:pt idx="4">
                  <c:v>0.97431355181576618</c:v>
                </c:pt>
                <c:pt idx="5">
                  <c:v>1.2400354295837024</c:v>
                </c:pt>
                <c:pt idx="6">
                  <c:v>1.2400354295837024</c:v>
                </c:pt>
                <c:pt idx="7">
                  <c:v>0.17714791851195749</c:v>
                </c:pt>
                <c:pt idx="8">
                  <c:v>0.17714791851195749</c:v>
                </c:pt>
                <c:pt idx="9">
                  <c:v>8.8573959255978746E-2</c:v>
                </c:pt>
                <c:pt idx="10">
                  <c:v>0.53144375553587242</c:v>
                </c:pt>
                <c:pt idx="11">
                  <c:v>2.8343666961913199</c:v>
                </c:pt>
                <c:pt idx="12">
                  <c:v>2.8343666961913199</c:v>
                </c:pt>
                <c:pt idx="13">
                  <c:v>0.97431355181576618</c:v>
                </c:pt>
                <c:pt idx="14">
                  <c:v>2.5686448184233837</c:v>
                </c:pt>
                <c:pt idx="15">
                  <c:v>3.4543844109831707</c:v>
                </c:pt>
                <c:pt idx="16">
                  <c:v>4.4286979627989371</c:v>
                </c:pt>
                <c:pt idx="17">
                  <c:v>7.9716563330380872</c:v>
                </c:pt>
                <c:pt idx="18">
                  <c:v>8.0602302922940652</c:v>
                </c:pt>
                <c:pt idx="19">
                  <c:v>7.0859167404782992</c:v>
                </c:pt>
                <c:pt idx="20">
                  <c:v>7.7059344552701505</c:v>
                </c:pt>
                <c:pt idx="21">
                  <c:v>4.517271922054916</c:v>
                </c:pt>
                <c:pt idx="22">
                  <c:v>6.2001771479185122</c:v>
                </c:pt>
                <c:pt idx="23">
                  <c:v>5.8458813108945966</c:v>
                </c:pt>
                <c:pt idx="24">
                  <c:v>6.6430469441984057</c:v>
                </c:pt>
                <c:pt idx="25">
                  <c:v>3.7201062887511074</c:v>
                </c:pt>
                <c:pt idx="26">
                  <c:v>3.8086802480070858</c:v>
                </c:pt>
                <c:pt idx="27">
                  <c:v>3.9858281665190436</c:v>
                </c:pt>
                <c:pt idx="28">
                  <c:v>2.5686448184233837</c:v>
                </c:pt>
                <c:pt idx="29">
                  <c:v>1.8600531443755537</c:v>
                </c:pt>
                <c:pt idx="30">
                  <c:v>2.3914968999114259</c:v>
                </c:pt>
                <c:pt idx="31">
                  <c:v>3.6315323294951285</c:v>
                </c:pt>
                <c:pt idx="32">
                  <c:v>1.8600531443755537</c:v>
                </c:pt>
                <c:pt idx="33">
                  <c:v>0</c:v>
                </c:pt>
                <c:pt idx="34">
                  <c:v>8.8573959255978746E-2</c:v>
                </c:pt>
                <c:pt idx="35">
                  <c:v>8.8573959255978746E-2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8.8573959255978746E-2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38-034A-9F0B-D6471E8C1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overlap val="-18"/>
        <c:axId val="1820593663"/>
        <c:axId val="1837432831"/>
      </c:barChart>
      <c:catAx>
        <c:axId val="18205936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Alder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37432831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837432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205936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2225" cap="flat" cmpd="sng" algn="ctr">
      <a:solidFill>
        <a:schemeClr val="accent1"/>
      </a:solidFill>
      <a:round/>
    </a:ln>
    <a:effectLst/>
  </c:spPr>
  <c:txPr>
    <a:bodyPr/>
    <a:lstStyle/>
    <a:p>
      <a:pPr>
        <a:defRPr sz="14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Aldersfordeling løp 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'Løp 13'!$AB$21:$AB$42</c:f>
              <c:numCache>
                <c:formatCode>General</c:formatCode>
                <c:ptCount val="22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</c:numCache>
            </c:numRef>
          </c:cat>
          <c:val>
            <c:numRef>
              <c:f>'Løp 13'!$AC$21:$AC$42</c:f>
              <c:numCache>
                <c:formatCode>General</c:formatCode>
                <c:ptCount val="2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08-D643-8E73-BCACACCA6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1186687"/>
        <c:axId val="1741189375"/>
      </c:barChart>
      <c:catAx>
        <c:axId val="174118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9375"/>
        <c:crosses val="autoZero"/>
        <c:auto val="1"/>
        <c:lblAlgn val="ctr"/>
        <c:lblOffset val="100"/>
        <c:noMultiLvlLbl val="0"/>
      </c:catAx>
      <c:valAx>
        <c:axId val="174118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6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Aldersfordeling løp 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'Løp 16'!$AB$21:$AB$42</c:f>
              <c:numCache>
                <c:formatCode>General</c:formatCode>
                <c:ptCount val="22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</c:numCache>
            </c:numRef>
          </c:cat>
          <c:val>
            <c:numRef>
              <c:f>'Løp 16'!$AC$21:$AC$42</c:f>
              <c:numCache>
                <c:formatCode>General</c:formatCode>
                <c:ptCount val="22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5</c:v>
                </c:pt>
                <c:pt idx="8">
                  <c:v>2</c:v>
                </c:pt>
                <c:pt idx="9">
                  <c:v>6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41-A04A-9E0D-CE5EDBC3E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1186687"/>
        <c:axId val="1741189375"/>
      </c:barChart>
      <c:catAx>
        <c:axId val="174118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9375"/>
        <c:crosses val="autoZero"/>
        <c:auto val="1"/>
        <c:lblAlgn val="ctr"/>
        <c:lblOffset val="100"/>
        <c:noMultiLvlLbl val="0"/>
      </c:catAx>
      <c:valAx>
        <c:axId val="174118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6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Aldersfordeling løp 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'Løp 13'!$AB$21:$AB$42</c:f>
              <c:numCache>
                <c:formatCode>General</c:formatCode>
                <c:ptCount val="22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</c:numCache>
            </c:numRef>
          </c:cat>
          <c:val>
            <c:numRef>
              <c:f>'Løp 13'!$AC$21:$AC$42</c:f>
              <c:numCache>
                <c:formatCode>General</c:formatCode>
                <c:ptCount val="2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A-DB4C-A36D-BE51D8744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1186687"/>
        <c:axId val="1741189375"/>
      </c:barChart>
      <c:catAx>
        <c:axId val="174118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9375"/>
        <c:crosses val="autoZero"/>
        <c:auto val="1"/>
        <c:lblAlgn val="ctr"/>
        <c:lblOffset val="100"/>
        <c:noMultiLvlLbl val="0"/>
      </c:catAx>
      <c:valAx>
        <c:axId val="174118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6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Aldersfordeling løp 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'Løp 17'!$AB$21:$AB$42</c:f>
              <c:numCache>
                <c:formatCode>General</c:formatCode>
                <c:ptCount val="22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</c:numCache>
            </c:numRef>
          </c:cat>
          <c:val>
            <c:numRef>
              <c:f>'Løp 17'!$AC$21:$AC$42</c:f>
              <c:numCache>
                <c:formatCode>General</c:formatCode>
                <c:ptCount val="2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6E-6045-A3A8-3EA041DDD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1186687"/>
        <c:axId val="1741189375"/>
      </c:barChart>
      <c:catAx>
        <c:axId val="174118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9375"/>
        <c:crosses val="autoZero"/>
        <c:auto val="1"/>
        <c:lblAlgn val="ctr"/>
        <c:lblOffset val="100"/>
        <c:noMultiLvlLbl val="0"/>
      </c:catAx>
      <c:valAx>
        <c:axId val="174118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6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Aldersfordeling løp 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'Løp 13'!$AB$21:$AB$42</c:f>
              <c:numCache>
                <c:formatCode>General</c:formatCode>
                <c:ptCount val="22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</c:numCache>
            </c:numRef>
          </c:cat>
          <c:val>
            <c:numRef>
              <c:f>'Løp 13'!$AC$21:$AC$42</c:f>
              <c:numCache>
                <c:formatCode>General</c:formatCode>
                <c:ptCount val="2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29-0E4B-9E90-5CE67CACB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1186687"/>
        <c:axId val="1741189375"/>
      </c:barChart>
      <c:catAx>
        <c:axId val="174118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9375"/>
        <c:crosses val="autoZero"/>
        <c:auto val="1"/>
        <c:lblAlgn val="ctr"/>
        <c:lblOffset val="100"/>
        <c:noMultiLvlLbl val="0"/>
      </c:catAx>
      <c:valAx>
        <c:axId val="174118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6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Aldersfordeling løp 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'Løp 18'!$AB$21:$AB$42</c:f>
              <c:numCache>
                <c:formatCode>General</c:formatCode>
                <c:ptCount val="22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</c:numCache>
            </c:numRef>
          </c:cat>
          <c:val>
            <c:numRef>
              <c:f>'Løp 18'!$AC$21:$AC$42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12-C748-BAEF-B7A44B360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1186687"/>
        <c:axId val="1741189375"/>
      </c:barChart>
      <c:catAx>
        <c:axId val="174118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9375"/>
        <c:crosses val="autoZero"/>
        <c:auto val="1"/>
        <c:lblAlgn val="ctr"/>
        <c:lblOffset val="100"/>
        <c:noMultiLvlLbl val="0"/>
      </c:catAx>
      <c:valAx>
        <c:axId val="174118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6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Aldersfordeling løp 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'Løp 13'!$AB$21:$AB$42</c:f>
              <c:numCache>
                <c:formatCode>General</c:formatCode>
                <c:ptCount val="22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</c:numCache>
            </c:numRef>
          </c:cat>
          <c:val>
            <c:numRef>
              <c:f>'Løp 13'!$AC$21:$AC$42</c:f>
              <c:numCache>
                <c:formatCode>General</c:formatCode>
                <c:ptCount val="2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8B-7E47-81E9-E9A14AA5D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1186687"/>
        <c:axId val="1741189375"/>
      </c:barChart>
      <c:catAx>
        <c:axId val="174118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9375"/>
        <c:crosses val="autoZero"/>
        <c:auto val="1"/>
        <c:lblAlgn val="ctr"/>
        <c:lblOffset val="100"/>
        <c:noMultiLvlLbl val="0"/>
      </c:catAx>
      <c:valAx>
        <c:axId val="174118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6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Aldersfordeling løp 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'Løp 19'!$AB$21:$AB$42</c:f>
              <c:numCache>
                <c:formatCode>General</c:formatCode>
                <c:ptCount val="22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</c:numCache>
            </c:numRef>
          </c:cat>
          <c:val>
            <c:numRef>
              <c:f>'Løp 19'!$AC$21:$AC$42</c:f>
              <c:numCache>
                <c:formatCode>General</c:formatCode>
                <c:ptCount val="2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D0-E544-A27F-98FA599B4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1186687"/>
        <c:axId val="1741189375"/>
      </c:barChart>
      <c:catAx>
        <c:axId val="174118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9375"/>
        <c:crosses val="autoZero"/>
        <c:auto val="1"/>
        <c:lblAlgn val="ctr"/>
        <c:lblOffset val="100"/>
        <c:noMultiLvlLbl val="0"/>
      </c:catAx>
      <c:valAx>
        <c:axId val="174118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6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Aldersfordeling løp 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'Løp 13'!$AB$21:$AB$42</c:f>
              <c:numCache>
                <c:formatCode>General</c:formatCode>
                <c:ptCount val="22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</c:numCache>
            </c:numRef>
          </c:cat>
          <c:val>
            <c:numRef>
              <c:f>'Løp 13'!$AC$21:$AC$42</c:f>
              <c:numCache>
                <c:formatCode>General</c:formatCode>
                <c:ptCount val="2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61-9F40-8D58-4182999A7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1186687"/>
        <c:axId val="1741189375"/>
      </c:barChart>
      <c:catAx>
        <c:axId val="174118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9375"/>
        <c:crosses val="autoZero"/>
        <c:auto val="1"/>
        <c:lblAlgn val="ctr"/>
        <c:lblOffset val="100"/>
        <c:noMultiLvlLbl val="0"/>
      </c:catAx>
      <c:valAx>
        <c:axId val="174118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6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Aldersfordeling løp 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'Løp 20'!$AB$21:$AB$42</c:f>
              <c:numCache>
                <c:formatCode>General</c:formatCode>
                <c:ptCount val="22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</c:numCache>
            </c:numRef>
          </c:cat>
          <c:val>
            <c:numRef>
              <c:f>'Løp 20'!$AC$21:$AC$42</c:f>
              <c:numCache>
                <c:formatCode>General</c:formatCode>
                <c:ptCount val="22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5</c:v>
                </c:pt>
                <c:pt idx="8">
                  <c:v>1</c:v>
                </c:pt>
                <c:pt idx="9">
                  <c:v>5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2A-4F4F-BCD7-D80B405E8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1186687"/>
        <c:axId val="1741189375"/>
      </c:barChart>
      <c:catAx>
        <c:axId val="174118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9375"/>
        <c:crosses val="autoZero"/>
        <c:auto val="1"/>
        <c:lblAlgn val="ctr"/>
        <c:lblOffset val="100"/>
        <c:noMultiLvlLbl val="0"/>
      </c:catAx>
      <c:valAx>
        <c:axId val="174118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6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1800" b="1"/>
              <a:t>Gjennomsnittsalder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Gjennomsnittsalder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Poengsammendrag!$S$107:$DA$107</c:f>
              <c:strCache>
                <c:ptCount val="57"/>
                <c:pt idx="0">
                  <c:v>Løp 1</c:v>
                </c:pt>
                <c:pt idx="2">
                  <c:v>Løp 2</c:v>
                </c:pt>
                <c:pt idx="4">
                  <c:v>Løp 3</c:v>
                </c:pt>
                <c:pt idx="6">
                  <c:v>Løp 4</c:v>
                </c:pt>
                <c:pt idx="8">
                  <c:v>Løp 5</c:v>
                </c:pt>
                <c:pt idx="10">
                  <c:v>Løp 6</c:v>
                </c:pt>
                <c:pt idx="12">
                  <c:v>Løp 7</c:v>
                </c:pt>
                <c:pt idx="14">
                  <c:v>Løp 8</c:v>
                </c:pt>
                <c:pt idx="16">
                  <c:v>Løp 9</c:v>
                </c:pt>
                <c:pt idx="18">
                  <c:v>Løp 10</c:v>
                </c:pt>
                <c:pt idx="20">
                  <c:v>Løp 11</c:v>
                </c:pt>
                <c:pt idx="22">
                  <c:v>Løp 12</c:v>
                </c:pt>
                <c:pt idx="24">
                  <c:v>Løp 13</c:v>
                </c:pt>
                <c:pt idx="26">
                  <c:v>Løp 14</c:v>
                </c:pt>
                <c:pt idx="28">
                  <c:v>Løp 15</c:v>
                </c:pt>
                <c:pt idx="30">
                  <c:v>Løp 16</c:v>
                </c:pt>
                <c:pt idx="32">
                  <c:v>Løp 17</c:v>
                </c:pt>
                <c:pt idx="34">
                  <c:v>Løp 18</c:v>
                </c:pt>
                <c:pt idx="36">
                  <c:v>Løp 19</c:v>
                </c:pt>
                <c:pt idx="38">
                  <c:v>Løp 20</c:v>
                </c:pt>
                <c:pt idx="40">
                  <c:v>Løp 21</c:v>
                </c:pt>
                <c:pt idx="42">
                  <c:v>Løp 22</c:v>
                </c:pt>
                <c:pt idx="44">
                  <c:v>Løp 23</c:v>
                </c:pt>
                <c:pt idx="46">
                  <c:v>Løp 24</c:v>
                </c:pt>
                <c:pt idx="48">
                  <c:v>Løp 25</c:v>
                </c:pt>
                <c:pt idx="50">
                  <c:v>Løp 26</c:v>
                </c:pt>
                <c:pt idx="52">
                  <c:v>Løp 27</c:v>
                </c:pt>
                <c:pt idx="54">
                  <c:v>Løp 28</c:v>
                </c:pt>
                <c:pt idx="56">
                  <c:v>Løp 29</c:v>
                </c:pt>
              </c:strCache>
            </c:strRef>
          </c:cat>
          <c:val>
            <c:numRef>
              <c:f>Poengsammendrag!$S$112:$DA$112</c:f>
              <c:numCache>
                <c:formatCode>General</c:formatCode>
                <c:ptCount val="59"/>
                <c:pt idx="0" formatCode="0.0">
                  <c:v>75.607142857142861</c:v>
                </c:pt>
                <c:pt idx="2" formatCode="0.0">
                  <c:v>75.825000000000003</c:v>
                </c:pt>
                <c:pt idx="4" formatCode="0.0">
                  <c:v>75.2</c:v>
                </c:pt>
                <c:pt idx="6" formatCode="0.0">
                  <c:v>75.227272727272734</c:v>
                </c:pt>
                <c:pt idx="8" formatCode="0.0">
                  <c:v>74.75</c:v>
                </c:pt>
                <c:pt idx="10" formatCode="0.0">
                  <c:v>75.58536585365853</c:v>
                </c:pt>
                <c:pt idx="12" formatCode="0.0">
                  <c:v>75.033333333333331</c:v>
                </c:pt>
                <c:pt idx="14" formatCode="0.0">
                  <c:v>74.428571428571431</c:v>
                </c:pt>
                <c:pt idx="16" formatCode="0.0">
                  <c:v>76.266666666666666</c:v>
                </c:pt>
                <c:pt idx="18" formatCode="0.0">
                  <c:v>75.529411764705884</c:v>
                </c:pt>
                <c:pt idx="20" formatCode="0.0">
                  <c:v>74.714285714285708</c:v>
                </c:pt>
                <c:pt idx="22" formatCode="0.0">
                  <c:v>72.8</c:v>
                </c:pt>
                <c:pt idx="24" formatCode="0.0">
                  <c:v>72.266666666666666</c:v>
                </c:pt>
                <c:pt idx="26" formatCode="0.0">
                  <c:v>74.964285714285708</c:v>
                </c:pt>
                <c:pt idx="28" formatCode="0.0">
                  <c:v>75.102564102564102</c:v>
                </c:pt>
                <c:pt idx="30" formatCode="0.0">
                  <c:v>75.589743589743591</c:v>
                </c:pt>
                <c:pt idx="32" formatCode="0.0">
                  <c:v>75.400000000000006</c:v>
                </c:pt>
                <c:pt idx="34" formatCode="0.0">
                  <c:v>76.8</c:v>
                </c:pt>
                <c:pt idx="36" formatCode="0.0">
                  <c:v>76.128205128205124</c:v>
                </c:pt>
                <c:pt idx="38" formatCode="0.0">
                  <c:v>74.62222222222222</c:v>
                </c:pt>
                <c:pt idx="40" formatCode="0.0">
                  <c:v>76.131578947368425</c:v>
                </c:pt>
                <c:pt idx="42" formatCode="0.0">
                  <c:v>75.073170731707322</c:v>
                </c:pt>
                <c:pt idx="44" formatCode="0.0">
                  <c:v>74.833333333333329</c:v>
                </c:pt>
                <c:pt idx="46" formatCode="0.0">
                  <c:v>76.061224489795919</c:v>
                </c:pt>
                <c:pt idx="48" formatCode="0.0">
                  <c:v>76.270833333333329</c:v>
                </c:pt>
                <c:pt idx="50" formatCode="0.0">
                  <c:v>76.441176470588232</c:v>
                </c:pt>
                <c:pt idx="52" formatCode="0.0">
                  <c:v>75.146341463414629</c:v>
                </c:pt>
                <c:pt idx="54" formatCode="0.0">
                  <c:v>76.510204081632651</c:v>
                </c:pt>
                <c:pt idx="56" formatCode="0.0">
                  <c:v>76.240740740740748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54-4347-BBEB-1D05593E3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13993984"/>
        <c:axId val="613997120"/>
      </c:barChart>
      <c:catAx>
        <c:axId val="61399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13997120"/>
        <c:crosses val="autoZero"/>
        <c:auto val="1"/>
        <c:lblAlgn val="ctr"/>
        <c:lblOffset val="100"/>
        <c:noMultiLvlLbl val="0"/>
      </c:catAx>
      <c:valAx>
        <c:axId val="613997120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400" b="1"/>
                  <a:t>Alder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13993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22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Aldersfordeling løp 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'Løp 13'!$AB$21:$AB$42</c:f>
              <c:numCache>
                <c:formatCode>General</c:formatCode>
                <c:ptCount val="22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</c:numCache>
            </c:numRef>
          </c:cat>
          <c:val>
            <c:numRef>
              <c:f>'Løp 13'!$AC$21:$AC$42</c:f>
              <c:numCache>
                <c:formatCode>General</c:formatCode>
                <c:ptCount val="2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16-0D4D-AD78-F5582F54B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1186687"/>
        <c:axId val="1741189375"/>
      </c:barChart>
      <c:catAx>
        <c:axId val="174118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9375"/>
        <c:crosses val="autoZero"/>
        <c:auto val="1"/>
        <c:lblAlgn val="ctr"/>
        <c:lblOffset val="100"/>
        <c:noMultiLvlLbl val="0"/>
      </c:catAx>
      <c:valAx>
        <c:axId val="174118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6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Aldersfordeling løp 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'Løp 21'!$AB$21:$AB$42</c:f>
              <c:numCache>
                <c:formatCode>General</c:formatCode>
                <c:ptCount val="22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</c:numCache>
            </c:numRef>
          </c:cat>
          <c:val>
            <c:numRef>
              <c:f>'Løp 21'!$AC$21:$AC$42</c:f>
              <c:numCache>
                <c:formatCode>General</c:formatCode>
                <c:ptCount val="2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8B-EA4F-BF66-2660814FB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1186687"/>
        <c:axId val="1741189375"/>
      </c:barChart>
      <c:catAx>
        <c:axId val="174118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9375"/>
        <c:crosses val="autoZero"/>
        <c:auto val="1"/>
        <c:lblAlgn val="ctr"/>
        <c:lblOffset val="100"/>
        <c:noMultiLvlLbl val="0"/>
      </c:catAx>
      <c:valAx>
        <c:axId val="174118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6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Aldersfordeling løp 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'Løp 13'!$AB$21:$AB$42</c:f>
              <c:numCache>
                <c:formatCode>General</c:formatCode>
                <c:ptCount val="22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</c:numCache>
            </c:numRef>
          </c:cat>
          <c:val>
            <c:numRef>
              <c:f>'Løp 13'!$AC$21:$AC$42</c:f>
              <c:numCache>
                <c:formatCode>General</c:formatCode>
                <c:ptCount val="2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3E-1A4A-9E73-037C46152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1186687"/>
        <c:axId val="1741189375"/>
      </c:barChart>
      <c:catAx>
        <c:axId val="174118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9375"/>
        <c:crosses val="autoZero"/>
        <c:auto val="1"/>
        <c:lblAlgn val="ctr"/>
        <c:lblOffset val="100"/>
        <c:noMultiLvlLbl val="0"/>
      </c:catAx>
      <c:valAx>
        <c:axId val="174118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6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Aldersfordeling løp 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'Løp 22'!$AB$21:$AB$42</c:f>
              <c:numCache>
                <c:formatCode>General</c:formatCode>
                <c:ptCount val="22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</c:numCache>
            </c:numRef>
          </c:cat>
          <c:val>
            <c:numRef>
              <c:f>'Løp 22'!$AC$21:$AC$42</c:f>
              <c:numCache>
                <c:formatCode>General</c:formatCode>
                <c:ptCount val="22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6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B1-5041-BB77-84E5C2887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1186687"/>
        <c:axId val="1741189375"/>
      </c:barChart>
      <c:catAx>
        <c:axId val="174118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9375"/>
        <c:crosses val="autoZero"/>
        <c:auto val="1"/>
        <c:lblAlgn val="ctr"/>
        <c:lblOffset val="100"/>
        <c:noMultiLvlLbl val="0"/>
      </c:catAx>
      <c:valAx>
        <c:axId val="174118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6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Aldersfordeling løp 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'Løp 13'!$AB$21:$AB$42</c:f>
              <c:numCache>
                <c:formatCode>General</c:formatCode>
                <c:ptCount val="22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</c:numCache>
            </c:numRef>
          </c:cat>
          <c:val>
            <c:numRef>
              <c:f>'Løp 13'!$AC$21:$AC$42</c:f>
              <c:numCache>
                <c:formatCode>General</c:formatCode>
                <c:ptCount val="2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38-6A40-80EA-107B3465B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1186687"/>
        <c:axId val="1741189375"/>
      </c:barChart>
      <c:catAx>
        <c:axId val="174118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9375"/>
        <c:crosses val="autoZero"/>
        <c:auto val="1"/>
        <c:lblAlgn val="ctr"/>
        <c:lblOffset val="100"/>
        <c:noMultiLvlLbl val="0"/>
      </c:catAx>
      <c:valAx>
        <c:axId val="174118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6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Aldersfordeling løp 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'Løp 23'!$AB$21:$AB$42</c:f>
              <c:numCache>
                <c:formatCode>General</c:formatCode>
                <c:ptCount val="22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</c:numCache>
            </c:numRef>
          </c:cat>
          <c:val>
            <c:numRef>
              <c:f>'Løp 23'!$AC$21:$AC$42</c:f>
              <c:numCache>
                <c:formatCode>General</c:formatCode>
                <c:ptCount val="22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4</c:v>
                </c:pt>
                <c:pt idx="7">
                  <c:v>5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5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BF-CD4C-8E69-5E0FDF514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1186687"/>
        <c:axId val="1741189375"/>
      </c:barChart>
      <c:catAx>
        <c:axId val="174118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9375"/>
        <c:crosses val="autoZero"/>
        <c:auto val="1"/>
        <c:lblAlgn val="ctr"/>
        <c:lblOffset val="100"/>
        <c:noMultiLvlLbl val="0"/>
      </c:catAx>
      <c:valAx>
        <c:axId val="174118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6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Aldersfordeling løp 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'Løp 13'!$AB$21:$AB$42</c:f>
              <c:numCache>
                <c:formatCode>General</c:formatCode>
                <c:ptCount val="22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</c:numCache>
            </c:numRef>
          </c:cat>
          <c:val>
            <c:numRef>
              <c:f>'Løp 13'!$AC$21:$AC$42</c:f>
              <c:numCache>
                <c:formatCode>General</c:formatCode>
                <c:ptCount val="2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2A-3D4E-AFDF-5833758B0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1186687"/>
        <c:axId val="1741189375"/>
      </c:barChart>
      <c:catAx>
        <c:axId val="174118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9375"/>
        <c:crosses val="autoZero"/>
        <c:auto val="1"/>
        <c:lblAlgn val="ctr"/>
        <c:lblOffset val="100"/>
        <c:noMultiLvlLbl val="0"/>
      </c:catAx>
      <c:valAx>
        <c:axId val="174118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6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Aldersfordeling løp 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'Løp 24'!$AB$21:$AB$42</c:f>
              <c:numCache>
                <c:formatCode>General</c:formatCode>
                <c:ptCount val="22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</c:numCache>
            </c:numRef>
          </c:cat>
          <c:val>
            <c:numRef>
              <c:f>'Løp 24'!$AC$21:$AC$42</c:f>
              <c:numCache>
                <c:formatCode>General</c:formatCode>
                <c:ptCount val="2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5</c:v>
                </c:pt>
                <c:pt idx="8">
                  <c:v>2</c:v>
                </c:pt>
                <c:pt idx="9">
                  <c:v>5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04-134F-9707-34E77CA70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1186687"/>
        <c:axId val="1741189375"/>
      </c:barChart>
      <c:catAx>
        <c:axId val="174118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9375"/>
        <c:crosses val="autoZero"/>
        <c:auto val="1"/>
        <c:lblAlgn val="ctr"/>
        <c:lblOffset val="100"/>
        <c:noMultiLvlLbl val="0"/>
      </c:catAx>
      <c:valAx>
        <c:axId val="174118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6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Aldersfordeling løp 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'Løp 13'!$AB$21:$AB$42</c:f>
              <c:numCache>
                <c:formatCode>General</c:formatCode>
                <c:ptCount val="22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</c:numCache>
            </c:numRef>
          </c:cat>
          <c:val>
            <c:numRef>
              <c:f>'Løp 13'!$AC$21:$AC$42</c:f>
              <c:numCache>
                <c:formatCode>General</c:formatCode>
                <c:ptCount val="2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D7-D04B-9DBA-250E52076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1186687"/>
        <c:axId val="1741189375"/>
      </c:barChart>
      <c:catAx>
        <c:axId val="174118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9375"/>
        <c:crosses val="autoZero"/>
        <c:auto val="1"/>
        <c:lblAlgn val="ctr"/>
        <c:lblOffset val="100"/>
        <c:noMultiLvlLbl val="0"/>
      </c:catAx>
      <c:valAx>
        <c:axId val="174118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6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Aldersfordeling løp 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'Løp 25'!$AB$21:$AB$42</c:f>
              <c:numCache>
                <c:formatCode>General</c:formatCode>
                <c:ptCount val="22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</c:numCache>
            </c:numRef>
          </c:cat>
          <c:val>
            <c:numRef>
              <c:f>'Løp 25'!$AC$21:$AC$42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2</c:v>
                </c:pt>
                <c:pt idx="9">
                  <c:v>6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1-2944-B438-8A42A3228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1186687"/>
        <c:axId val="1741189375"/>
      </c:barChart>
      <c:catAx>
        <c:axId val="174118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9375"/>
        <c:crosses val="autoZero"/>
        <c:auto val="1"/>
        <c:lblAlgn val="ctr"/>
        <c:lblOffset val="100"/>
        <c:noMultiLvlLbl val="0"/>
      </c:catAx>
      <c:valAx>
        <c:axId val="174118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6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Alderskurver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11190359849878578"/>
          <c:y val="0.11681705327374618"/>
          <c:w val="0.85617116785635439"/>
          <c:h val="0.6830179240415460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Deltakerliste!$Q$5</c:f>
              <c:strCache>
                <c:ptCount val="1"/>
                <c:pt idx="0">
                  <c:v>Herrer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Deltakerliste!$P$6:$P$85</c:f>
              <c:numCache>
                <c:formatCode>General</c:formatCode>
                <c:ptCount val="80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55</c:v>
                </c:pt>
                <c:pt idx="40">
                  <c:v>56</c:v>
                </c:pt>
                <c:pt idx="41">
                  <c:v>57</c:v>
                </c:pt>
                <c:pt idx="42">
                  <c:v>58</c:v>
                </c:pt>
                <c:pt idx="43">
                  <c:v>59</c:v>
                </c:pt>
                <c:pt idx="44">
                  <c:v>60</c:v>
                </c:pt>
                <c:pt idx="45">
                  <c:v>61</c:v>
                </c:pt>
                <c:pt idx="46">
                  <c:v>62</c:v>
                </c:pt>
                <c:pt idx="47">
                  <c:v>63</c:v>
                </c:pt>
                <c:pt idx="48">
                  <c:v>64</c:v>
                </c:pt>
                <c:pt idx="49">
                  <c:v>65</c:v>
                </c:pt>
                <c:pt idx="50">
                  <c:v>66</c:v>
                </c:pt>
                <c:pt idx="51">
                  <c:v>67</c:v>
                </c:pt>
                <c:pt idx="52">
                  <c:v>68</c:v>
                </c:pt>
                <c:pt idx="53">
                  <c:v>69</c:v>
                </c:pt>
                <c:pt idx="54">
                  <c:v>70</c:v>
                </c:pt>
                <c:pt idx="55">
                  <c:v>71</c:v>
                </c:pt>
                <c:pt idx="56">
                  <c:v>72</c:v>
                </c:pt>
                <c:pt idx="57">
                  <c:v>73</c:v>
                </c:pt>
                <c:pt idx="58">
                  <c:v>74</c:v>
                </c:pt>
                <c:pt idx="59">
                  <c:v>75</c:v>
                </c:pt>
                <c:pt idx="60">
                  <c:v>76</c:v>
                </c:pt>
                <c:pt idx="61">
                  <c:v>77</c:v>
                </c:pt>
                <c:pt idx="62">
                  <c:v>78</c:v>
                </c:pt>
                <c:pt idx="63">
                  <c:v>79</c:v>
                </c:pt>
                <c:pt idx="64">
                  <c:v>80</c:v>
                </c:pt>
                <c:pt idx="65">
                  <c:v>81</c:v>
                </c:pt>
                <c:pt idx="66">
                  <c:v>82</c:v>
                </c:pt>
                <c:pt idx="67">
                  <c:v>83</c:v>
                </c:pt>
                <c:pt idx="68">
                  <c:v>84</c:v>
                </c:pt>
                <c:pt idx="69">
                  <c:v>85</c:v>
                </c:pt>
                <c:pt idx="70">
                  <c:v>86</c:v>
                </c:pt>
                <c:pt idx="71">
                  <c:v>87</c:v>
                </c:pt>
                <c:pt idx="72">
                  <c:v>88</c:v>
                </c:pt>
                <c:pt idx="73">
                  <c:v>89</c:v>
                </c:pt>
                <c:pt idx="74">
                  <c:v>90</c:v>
                </c:pt>
                <c:pt idx="75">
                  <c:v>91</c:v>
                </c:pt>
                <c:pt idx="76">
                  <c:v>92</c:v>
                </c:pt>
                <c:pt idx="77">
                  <c:v>93</c:v>
                </c:pt>
                <c:pt idx="78">
                  <c:v>94</c:v>
                </c:pt>
                <c:pt idx="79">
                  <c:v>95</c:v>
                </c:pt>
              </c:numCache>
            </c:numRef>
          </c:xVal>
          <c:yVal>
            <c:numRef>
              <c:f>Deltakerliste!$Q$6:$Q$85</c:f>
              <c:numCache>
                <c:formatCode>0.000</c:formatCode>
                <c:ptCount val="80"/>
                <c:pt idx="0">
                  <c:v>1.0201999591920017</c:v>
                </c:pt>
                <c:pt idx="1">
                  <c:v>1.0078613182826044</c:v>
                </c:pt>
                <c:pt idx="2">
                  <c:v>1.0004001600640255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1.0009999999999999</c:v>
                </c:pt>
                <c:pt idx="16">
                  <c:v>1.0019999999999998</c:v>
                </c:pt>
                <c:pt idx="17">
                  <c:v>1.0029999999999997</c:v>
                </c:pt>
                <c:pt idx="18">
                  <c:v>1.0039999999999996</c:v>
                </c:pt>
                <c:pt idx="19">
                  <c:v>1.0049999999999994</c:v>
                </c:pt>
                <c:pt idx="20">
                  <c:v>1.0079999999999996</c:v>
                </c:pt>
                <c:pt idx="21">
                  <c:v>1.0109999999999997</c:v>
                </c:pt>
                <c:pt idx="22">
                  <c:v>1.0139999999999998</c:v>
                </c:pt>
                <c:pt idx="23">
                  <c:v>1.0169999999999999</c:v>
                </c:pt>
                <c:pt idx="24">
                  <c:v>1.02</c:v>
                </c:pt>
                <c:pt idx="25">
                  <c:v>1.0249999999999999</c:v>
                </c:pt>
                <c:pt idx="26">
                  <c:v>1.0299999999999998</c:v>
                </c:pt>
                <c:pt idx="27">
                  <c:v>1.0349999999999997</c:v>
                </c:pt>
                <c:pt idx="28">
                  <c:v>1.0399999999999996</c:v>
                </c:pt>
                <c:pt idx="29">
                  <c:v>1.0449999999999995</c:v>
                </c:pt>
                <c:pt idx="30">
                  <c:v>1.0519999999999996</c:v>
                </c:pt>
                <c:pt idx="31">
                  <c:v>1.0589999999999997</c:v>
                </c:pt>
                <c:pt idx="32">
                  <c:v>1.0659999999999998</c:v>
                </c:pt>
                <c:pt idx="33">
                  <c:v>1.073</c:v>
                </c:pt>
                <c:pt idx="34">
                  <c:v>1.08</c:v>
                </c:pt>
                <c:pt idx="35">
                  <c:v>1.0900000000000001</c:v>
                </c:pt>
                <c:pt idx="36">
                  <c:v>1.1000000000000001</c:v>
                </c:pt>
                <c:pt idx="37">
                  <c:v>1.1100000000000001</c:v>
                </c:pt>
                <c:pt idx="38">
                  <c:v>1.1200000000000001</c:v>
                </c:pt>
                <c:pt idx="39">
                  <c:v>1.1300000000000001</c:v>
                </c:pt>
                <c:pt idx="40">
                  <c:v>1.1440000000000001</c:v>
                </c:pt>
                <c:pt idx="41">
                  <c:v>1.1580000000000001</c:v>
                </c:pt>
                <c:pt idx="42">
                  <c:v>1.1720000000000002</c:v>
                </c:pt>
                <c:pt idx="43">
                  <c:v>1.1860000000000002</c:v>
                </c:pt>
                <c:pt idx="44">
                  <c:v>1.2000000000000002</c:v>
                </c:pt>
                <c:pt idx="45">
                  <c:v>1.2190000000000001</c:v>
                </c:pt>
                <c:pt idx="46">
                  <c:v>1.238</c:v>
                </c:pt>
                <c:pt idx="47">
                  <c:v>1.2569999999999999</c:v>
                </c:pt>
                <c:pt idx="48">
                  <c:v>1.2759999999999998</c:v>
                </c:pt>
                <c:pt idx="49">
                  <c:v>1.2949999999999997</c:v>
                </c:pt>
                <c:pt idx="50">
                  <c:v>1.3209999999999997</c:v>
                </c:pt>
                <c:pt idx="51">
                  <c:v>1.3469999999999998</c:v>
                </c:pt>
                <c:pt idx="52">
                  <c:v>1.3729999999999998</c:v>
                </c:pt>
                <c:pt idx="53">
                  <c:v>1.3989999999999998</c:v>
                </c:pt>
                <c:pt idx="54">
                  <c:v>1.4249999999999998</c:v>
                </c:pt>
                <c:pt idx="55">
                  <c:v>1.4609999999999999</c:v>
                </c:pt>
                <c:pt idx="56">
                  <c:v>1.4969999999999999</c:v>
                </c:pt>
                <c:pt idx="57">
                  <c:v>1.5329999999999999</c:v>
                </c:pt>
                <c:pt idx="58">
                  <c:v>1.569</c:v>
                </c:pt>
                <c:pt idx="59">
                  <c:v>1.605</c:v>
                </c:pt>
                <c:pt idx="60">
                  <c:v>1.655</c:v>
                </c:pt>
                <c:pt idx="61">
                  <c:v>1.7050000000000001</c:v>
                </c:pt>
                <c:pt idx="62">
                  <c:v>1.7550000000000001</c:v>
                </c:pt>
                <c:pt idx="63">
                  <c:v>1.8050000000000002</c:v>
                </c:pt>
                <c:pt idx="64">
                  <c:v>1.8550000000000002</c:v>
                </c:pt>
                <c:pt idx="65">
                  <c:v>1.9290000000000003</c:v>
                </c:pt>
                <c:pt idx="66">
                  <c:v>2.0030000000000001</c:v>
                </c:pt>
                <c:pt idx="67">
                  <c:v>2.077</c:v>
                </c:pt>
                <c:pt idx="68">
                  <c:v>2.1509999999999998</c:v>
                </c:pt>
                <c:pt idx="69">
                  <c:v>2.2249999999999996</c:v>
                </c:pt>
                <c:pt idx="70">
                  <c:v>2.3089999999999997</c:v>
                </c:pt>
                <c:pt idx="71">
                  <c:v>2.3929999999999998</c:v>
                </c:pt>
                <c:pt idx="72">
                  <c:v>2.4769999999999999</c:v>
                </c:pt>
                <c:pt idx="73">
                  <c:v>2.5609999999999999</c:v>
                </c:pt>
                <c:pt idx="74">
                  <c:v>2.645</c:v>
                </c:pt>
                <c:pt idx="75">
                  <c:v>2.7290000000000001</c:v>
                </c:pt>
                <c:pt idx="76">
                  <c:v>2.8130000000000002</c:v>
                </c:pt>
                <c:pt idx="77">
                  <c:v>2.8970000000000002</c:v>
                </c:pt>
                <c:pt idx="78">
                  <c:v>2.9810000000000003</c:v>
                </c:pt>
                <c:pt idx="79">
                  <c:v>3.0650000000000004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399-FC41-A60D-ED56145E60D0}"/>
            </c:ext>
          </c:extLst>
        </c:ser>
        <c:ser>
          <c:idx val="1"/>
          <c:order val="1"/>
          <c:tx>
            <c:strRef>
              <c:f>Deltakerliste!$S$5</c:f>
              <c:strCache>
                <c:ptCount val="1"/>
                <c:pt idx="0">
                  <c:v>Damer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Deltakerliste!$P$6:$P$85</c:f>
              <c:numCache>
                <c:formatCode>General</c:formatCode>
                <c:ptCount val="80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55</c:v>
                </c:pt>
                <c:pt idx="40">
                  <c:v>56</c:v>
                </c:pt>
                <c:pt idx="41">
                  <c:v>57</c:v>
                </c:pt>
                <c:pt idx="42">
                  <c:v>58</c:v>
                </c:pt>
                <c:pt idx="43">
                  <c:v>59</c:v>
                </c:pt>
                <c:pt idx="44">
                  <c:v>60</c:v>
                </c:pt>
                <c:pt idx="45">
                  <c:v>61</c:v>
                </c:pt>
                <c:pt idx="46">
                  <c:v>62</c:v>
                </c:pt>
                <c:pt idx="47">
                  <c:v>63</c:v>
                </c:pt>
                <c:pt idx="48">
                  <c:v>64</c:v>
                </c:pt>
                <c:pt idx="49">
                  <c:v>65</c:v>
                </c:pt>
                <c:pt idx="50">
                  <c:v>66</c:v>
                </c:pt>
                <c:pt idx="51">
                  <c:v>67</c:v>
                </c:pt>
                <c:pt idx="52">
                  <c:v>68</c:v>
                </c:pt>
                <c:pt idx="53">
                  <c:v>69</c:v>
                </c:pt>
                <c:pt idx="54">
                  <c:v>70</c:v>
                </c:pt>
                <c:pt idx="55">
                  <c:v>71</c:v>
                </c:pt>
                <c:pt idx="56">
                  <c:v>72</c:v>
                </c:pt>
                <c:pt idx="57">
                  <c:v>73</c:v>
                </c:pt>
                <c:pt idx="58">
                  <c:v>74</c:v>
                </c:pt>
                <c:pt idx="59">
                  <c:v>75</c:v>
                </c:pt>
                <c:pt idx="60">
                  <c:v>76</c:v>
                </c:pt>
                <c:pt idx="61">
                  <c:v>77</c:v>
                </c:pt>
                <c:pt idx="62">
                  <c:v>78</c:v>
                </c:pt>
                <c:pt idx="63">
                  <c:v>79</c:v>
                </c:pt>
                <c:pt idx="64">
                  <c:v>80</c:v>
                </c:pt>
                <c:pt idx="65">
                  <c:v>81</c:v>
                </c:pt>
                <c:pt idx="66">
                  <c:v>82</c:v>
                </c:pt>
                <c:pt idx="67">
                  <c:v>83</c:v>
                </c:pt>
                <c:pt idx="68">
                  <c:v>84</c:v>
                </c:pt>
                <c:pt idx="69">
                  <c:v>85</c:v>
                </c:pt>
                <c:pt idx="70">
                  <c:v>86</c:v>
                </c:pt>
                <c:pt idx="71">
                  <c:v>87</c:v>
                </c:pt>
                <c:pt idx="72">
                  <c:v>88</c:v>
                </c:pt>
                <c:pt idx="73">
                  <c:v>89</c:v>
                </c:pt>
                <c:pt idx="74">
                  <c:v>90</c:v>
                </c:pt>
                <c:pt idx="75">
                  <c:v>91</c:v>
                </c:pt>
                <c:pt idx="76">
                  <c:v>92</c:v>
                </c:pt>
                <c:pt idx="77">
                  <c:v>93</c:v>
                </c:pt>
                <c:pt idx="78">
                  <c:v>94</c:v>
                </c:pt>
                <c:pt idx="79">
                  <c:v>95</c:v>
                </c:pt>
              </c:numCache>
            </c:numRef>
          </c:xVal>
          <c:yVal>
            <c:numRef>
              <c:f>Deltakerliste!$S$6:$S$85</c:f>
              <c:numCache>
                <c:formatCode>0.000</c:formatCode>
                <c:ptCount val="80"/>
                <c:pt idx="0">
                  <c:v>1.3080578512396694</c:v>
                </c:pt>
                <c:pt idx="1">
                  <c:v>1.291260162601626</c:v>
                </c:pt>
                <c:pt idx="2">
                  <c:v>1.2790160642570281</c:v>
                </c:pt>
                <c:pt idx="3" formatCode="General">
                  <c:v>1.2749999999999999</c:v>
                </c:pt>
                <c:pt idx="4" formatCode="General">
                  <c:v>1.2749999999999999</c:v>
                </c:pt>
                <c:pt idx="5" formatCode="General">
                  <c:v>1.2749999999999999</c:v>
                </c:pt>
                <c:pt idx="6" formatCode="General">
                  <c:v>1.2749999999999999</c:v>
                </c:pt>
                <c:pt idx="7" formatCode="General">
                  <c:v>1.2749999999999999</c:v>
                </c:pt>
                <c:pt idx="8" formatCode="General">
                  <c:v>1.2749999999999999</c:v>
                </c:pt>
                <c:pt idx="9" formatCode="General">
                  <c:v>1.2749999999999999</c:v>
                </c:pt>
                <c:pt idx="10" formatCode="General">
                  <c:v>1.2749999999999999</c:v>
                </c:pt>
                <c:pt idx="11" formatCode="General">
                  <c:v>1.2749999999999999</c:v>
                </c:pt>
                <c:pt idx="12" formatCode="General">
                  <c:v>1.2749999999999999</c:v>
                </c:pt>
                <c:pt idx="13" formatCode="General">
                  <c:v>1.2749999999999999</c:v>
                </c:pt>
                <c:pt idx="14" formatCode="General">
                  <c:v>1.2749999999999999</c:v>
                </c:pt>
                <c:pt idx="15">
                  <c:v>1.2789999999999999</c:v>
                </c:pt>
                <c:pt idx="16">
                  <c:v>1.2829999999999999</c:v>
                </c:pt>
                <c:pt idx="17">
                  <c:v>1.2869999999999999</c:v>
                </c:pt>
                <c:pt idx="18">
                  <c:v>1.2909999999999999</c:v>
                </c:pt>
                <c:pt idx="19">
                  <c:v>1.2949999999999999</c:v>
                </c:pt>
                <c:pt idx="20">
                  <c:v>1.3009999999999999</c:v>
                </c:pt>
                <c:pt idx="21">
                  <c:v>1.3069999999999999</c:v>
                </c:pt>
                <c:pt idx="22">
                  <c:v>1.3129999999999999</c:v>
                </c:pt>
                <c:pt idx="23">
                  <c:v>1.319</c:v>
                </c:pt>
                <c:pt idx="24">
                  <c:v>1.325</c:v>
                </c:pt>
                <c:pt idx="25">
                  <c:v>1.333</c:v>
                </c:pt>
                <c:pt idx="26">
                  <c:v>1.341</c:v>
                </c:pt>
                <c:pt idx="27">
                  <c:v>1.349</c:v>
                </c:pt>
                <c:pt idx="28">
                  <c:v>1.357</c:v>
                </c:pt>
                <c:pt idx="29">
                  <c:v>1.365</c:v>
                </c:pt>
                <c:pt idx="30">
                  <c:v>1.377</c:v>
                </c:pt>
                <c:pt idx="31">
                  <c:v>1.389</c:v>
                </c:pt>
                <c:pt idx="32">
                  <c:v>1.401</c:v>
                </c:pt>
                <c:pt idx="33">
                  <c:v>1.413</c:v>
                </c:pt>
                <c:pt idx="34">
                  <c:v>1.425</c:v>
                </c:pt>
                <c:pt idx="35">
                  <c:v>1.4419999999999999</c:v>
                </c:pt>
                <c:pt idx="36">
                  <c:v>1.4589999999999999</c:v>
                </c:pt>
                <c:pt idx="37">
                  <c:v>1.4759999999999998</c:v>
                </c:pt>
                <c:pt idx="38">
                  <c:v>1.4929999999999997</c:v>
                </c:pt>
                <c:pt idx="39">
                  <c:v>1.5099999999999996</c:v>
                </c:pt>
                <c:pt idx="40">
                  <c:v>1.5329999999999997</c:v>
                </c:pt>
                <c:pt idx="41">
                  <c:v>1.5559999999999998</c:v>
                </c:pt>
                <c:pt idx="42">
                  <c:v>1.579</c:v>
                </c:pt>
                <c:pt idx="43">
                  <c:v>1.6020000000000001</c:v>
                </c:pt>
                <c:pt idx="44">
                  <c:v>1.6250000000000002</c:v>
                </c:pt>
                <c:pt idx="45">
                  <c:v>1.6542000000000003</c:v>
                </c:pt>
                <c:pt idx="46">
                  <c:v>1.6834000000000005</c:v>
                </c:pt>
                <c:pt idx="47">
                  <c:v>1.7126000000000006</c:v>
                </c:pt>
                <c:pt idx="48">
                  <c:v>1.7418000000000007</c:v>
                </c:pt>
                <c:pt idx="49">
                  <c:v>1.7710000000000008</c:v>
                </c:pt>
                <c:pt idx="50">
                  <c:v>1.8066000000000009</c:v>
                </c:pt>
                <c:pt idx="51">
                  <c:v>1.8422000000000009</c:v>
                </c:pt>
                <c:pt idx="52">
                  <c:v>1.877800000000001</c:v>
                </c:pt>
                <c:pt idx="53">
                  <c:v>1.9134000000000011</c:v>
                </c:pt>
                <c:pt idx="54">
                  <c:v>1.9490000000000012</c:v>
                </c:pt>
                <c:pt idx="55">
                  <c:v>1.9926000000000013</c:v>
                </c:pt>
                <c:pt idx="56">
                  <c:v>2.0362000000000013</c:v>
                </c:pt>
                <c:pt idx="57">
                  <c:v>2.0798000000000014</c:v>
                </c:pt>
                <c:pt idx="58">
                  <c:v>2.1234000000000015</c:v>
                </c:pt>
                <c:pt idx="59">
                  <c:v>2.1670000000000016</c:v>
                </c:pt>
                <c:pt idx="60">
                  <c:v>2.2246000000000015</c:v>
                </c:pt>
                <c:pt idx="61">
                  <c:v>2.2822000000000013</c:v>
                </c:pt>
                <c:pt idx="62">
                  <c:v>2.3398000000000012</c:v>
                </c:pt>
                <c:pt idx="63">
                  <c:v>2.3974000000000011</c:v>
                </c:pt>
                <c:pt idx="64">
                  <c:v>2.455000000000001</c:v>
                </c:pt>
                <c:pt idx="65">
                  <c:v>2.5366000000000009</c:v>
                </c:pt>
                <c:pt idx="66">
                  <c:v>2.6182000000000007</c:v>
                </c:pt>
                <c:pt idx="67">
                  <c:v>2.6998000000000006</c:v>
                </c:pt>
                <c:pt idx="68">
                  <c:v>2.7814000000000005</c:v>
                </c:pt>
                <c:pt idx="69">
                  <c:v>2.8630000000000004</c:v>
                </c:pt>
                <c:pt idx="70">
                  <c:v>2.9530000000000003</c:v>
                </c:pt>
                <c:pt idx="71">
                  <c:v>3.0430000000000001</c:v>
                </c:pt>
                <c:pt idx="72">
                  <c:v>3.133</c:v>
                </c:pt>
                <c:pt idx="73">
                  <c:v>3.2229999999999999</c:v>
                </c:pt>
                <c:pt idx="74">
                  <c:v>3.3129999999999997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399-FC41-A60D-ED56145E6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016096"/>
        <c:axId val="1537801391"/>
      </c:scatterChart>
      <c:valAx>
        <c:axId val="425016096"/>
        <c:scaling>
          <c:orientation val="minMax"/>
          <c:max val="95"/>
          <c:min val="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Alder</a:t>
                </a:r>
              </a:p>
            </c:rich>
          </c:tx>
          <c:layout>
            <c:manualLayout>
              <c:xMode val="edge"/>
              <c:yMode val="edge"/>
              <c:x val="0.47554051070718961"/>
              <c:y val="0.856150481189851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37801391"/>
        <c:crosses val="autoZero"/>
        <c:crossBetween val="midCat"/>
      </c:valAx>
      <c:valAx>
        <c:axId val="1537801391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25016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sz="1200" b="1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Aldersfordeling løp 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'Løp 13'!$AB$21:$AB$42</c:f>
              <c:numCache>
                <c:formatCode>General</c:formatCode>
                <c:ptCount val="22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</c:numCache>
            </c:numRef>
          </c:cat>
          <c:val>
            <c:numRef>
              <c:f>'Løp 13'!$AC$21:$AC$42</c:f>
              <c:numCache>
                <c:formatCode>General</c:formatCode>
                <c:ptCount val="2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40-3F4A-9508-ACADB2DBB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1186687"/>
        <c:axId val="1741189375"/>
      </c:barChart>
      <c:catAx>
        <c:axId val="174118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9375"/>
        <c:crosses val="autoZero"/>
        <c:auto val="1"/>
        <c:lblAlgn val="ctr"/>
        <c:lblOffset val="100"/>
        <c:noMultiLvlLbl val="0"/>
      </c:catAx>
      <c:valAx>
        <c:axId val="174118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6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Aldersfordeling løp 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'Løp 26'!$AB$21:$AB$42</c:f>
              <c:numCache>
                <c:formatCode>General</c:formatCode>
                <c:ptCount val="22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</c:numCache>
            </c:numRef>
          </c:cat>
          <c:val>
            <c:numRef>
              <c:f>'Løp 26'!$AC$21:$AC$42</c:f>
              <c:numCache>
                <c:formatCode>General</c:formatCode>
                <c:ptCount val="2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76-C040-85DF-4C294E041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1186687"/>
        <c:axId val="1741189375"/>
      </c:barChart>
      <c:catAx>
        <c:axId val="174118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9375"/>
        <c:crosses val="autoZero"/>
        <c:auto val="1"/>
        <c:lblAlgn val="ctr"/>
        <c:lblOffset val="100"/>
        <c:noMultiLvlLbl val="0"/>
      </c:catAx>
      <c:valAx>
        <c:axId val="174118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6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Aldersfordeling løp 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'Løp 13'!$AB$21:$AB$42</c:f>
              <c:numCache>
                <c:formatCode>General</c:formatCode>
                <c:ptCount val="22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</c:numCache>
            </c:numRef>
          </c:cat>
          <c:val>
            <c:numRef>
              <c:f>'Løp 13'!$AC$21:$AC$42</c:f>
              <c:numCache>
                <c:formatCode>General</c:formatCode>
                <c:ptCount val="2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FB-5C4C-B574-F5F8A6CC9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1186687"/>
        <c:axId val="1741189375"/>
      </c:barChart>
      <c:catAx>
        <c:axId val="174118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9375"/>
        <c:crosses val="autoZero"/>
        <c:auto val="1"/>
        <c:lblAlgn val="ctr"/>
        <c:lblOffset val="100"/>
        <c:noMultiLvlLbl val="0"/>
      </c:catAx>
      <c:valAx>
        <c:axId val="174118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6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Aldersfordeling løp 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'Løp 26'!$AB$21:$AB$42</c:f>
              <c:numCache>
                <c:formatCode>General</c:formatCode>
                <c:ptCount val="22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</c:numCache>
            </c:numRef>
          </c:cat>
          <c:val>
            <c:numRef>
              <c:f>'Løp 26'!$AC$21:$AC$42</c:f>
              <c:numCache>
                <c:formatCode>General</c:formatCode>
                <c:ptCount val="2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90-854A-A0BC-6ADA6DFAC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1186687"/>
        <c:axId val="1741189375"/>
      </c:barChart>
      <c:catAx>
        <c:axId val="174118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9375"/>
        <c:crosses val="autoZero"/>
        <c:auto val="1"/>
        <c:lblAlgn val="ctr"/>
        <c:lblOffset val="100"/>
        <c:noMultiLvlLbl val="0"/>
      </c:catAx>
      <c:valAx>
        <c:axId val="174118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6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Aldersfordeling løp 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'Løp 13'!$AB$21:$AB$42</c:f>
              <c:numCache>
                <c:formatCode>General</c:formatCode>
                <c:ptCount val="22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</c:numCache>
            </c:numRef>
          </c:cat>
          <c:val>
            <c:numRef>
              <c:f>'Løp 13'!$AC$21:$AC$42</c:f>
              <c:numCache>
                <c:formatCode>General</c:formatCode>
                <c:ptCount val="2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A7-D34A-9F92-02A5BB6E8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1186687"/>
        <c:axId val="1741189375"/>
      </c:barChart>
      <c:catAx>
        <c:axId val="174118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9375"/>
        <c:crosses val="autoZero"/>
        <c:auto val="1"/>
        <c:lblAlgn val="ctr"/>
        <c:lblOffset val="100"/>
        <c:noMultiLvlLbl val="0"/>
      </c:catAx>
      <c:valAx>
        <c:axId val="174118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6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Aldersfordeling løp 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'Løp 26'!$AB$21:$AB$42</c:f>
              <c:numCache>
                <c:formatCode>General</c:formatCode>
                <c:ptCount val="22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</c:numCache>
            </c:numRef>
          </c:cat>
          <c:val>
            <c:numRef>
              <c:f>'Løp 26'!$AC$21:$AC$42</c:f>
              <c:numCache>
                <c:formatCode>General</c:formatCode>
                <c:ptCount val="2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48-BD46-A3FD-6120C6273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1186687"/>
        <c:axId val="1741189375"/>
      </c:barChart>
      <c:catAx>
        <c:axId val="174118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9375"/>
        <c:crosses val="autoZero"/>
        <c:auto val="1"/>
        <c:lblAlgn val="ctr"/>
        <c:lblOffset val="100"/>
        <c:noMultiLvlLbl val="0"/>
      </c:catAx>
      <c:valAx>
        <c:axId val="174118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6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Aldersfordeling løp 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'Løp 13'!$AB$21:$AB$42</c:f>
              <c:numCache>
                <c:formatCode>General</c:formatCode>
                <c:ptCount val="22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</c:numCache>
            </c:numRef>
          </c:cat>
          <c:val>
            <c:numRef>
              <c:f>'Løp 13'!$AC$21:$AC$42</c:f>
              <c:numCache>
                <c:formatCode>General</c:formatCode>
                <c:ptCount val="2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28-5D42-A604-CD0A1338D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1186687"/>
        <c:axId val="1741189375"/>
      </c:barChart>
      <c:catAx>
        <c:axId val="174118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9375"/>
        <c:crosses val="autoZero"/>
        <c:auto val="1"/>
        <c:lblAlgn val="ctr"/>
        <c:lblOffset val="100"/>
        <c:noMultiLvlLbl val="0"/>
      </c:catAx>
      <c:valAx>
        <c:axId val="174118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6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Aldersfordeling løp 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'Løp 26'!$AB$21:$AB$42</c:f>
              <c:numCache>
                <c:formatCode>General</c:formatCode>
                <c:ptCount val="22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</c:numCache>
            </c:numRef>
          </c:cat>
          <c:val>
            <c:numRef>
              <c:f>'Løp 26'!$AC$21:$AC$42</c:f>
              <c:numCache>
                <c:formatCode>General</c:formatCode>
                <c:ptCount val="2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C-DE4B-9B19-33D223611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1186687"/>
        <c:axId val="1741189375"/>
      </c:barChart>
      <c:catAx>
        <c:axId val="174118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9375"/>
        <c:crosses val="autoZero"/>
        <c:auto val="1"/>
        <c:lblAlgn val="ctr"/>
        <c:lblOffset val="100"/>
        <c:noMultiLvlLbl val="0"/>
      </c:catAx>
      <c:valAx>
        <c:axId val="174118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6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Alderskurver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11190359849878578"/>
          <c:y val="0.11681705327374618"/>
          <c:w val="0.85617116785635439"/>
          <c:h val="0.6830179240415460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'Liste for tidtaking'!$Q$5</c:f>
              <c:strCache>
                <c:ptCount val="1"/>
                <c:pt idx="0">
                  <c:v>Herrer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'Liste for tidtaking'!$P$6:$P$92</c:f>
            </c:numRef>
          </c:xVal>
          <c:yVal>
            <c:numRef>
              <c:f>'Liste for tidtaking'!$Q$6:$Q$92</c:f>
            </c:numRef>
          </c:yVal>
          <c:smooth val="1"/>
          <c:extLst>
            <c:ext xmlns:c16="http://schemas.microsoft.com/office/drawing/2014/chart" uri="{C3380CC4-5D6E-409C-BE32-E72D297353CC}">
              <c16:uniqueId val="{00000000-FABF-0745-9711-9F951D318129}"/>
            </c:ext>
          </c:extLst>
        </c:ser>
        <c:ser>
          <c:idx val="1"/>
          <c:order val="1"/>
          <c:tx>
            <c:strRef>
              <c:f>'Liste for tidtaking'!$S$5</c:f>
              <c:strCache>
                <c:ptCount val="1"/>
                <c:pt idx="0">
                  <c:v>Damer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'Liste for tidtaking'!$P$6:$P$92</c:f>
            </c:numRef>
          </c:xVal>
          <c:yVal>
            <c:numRef>
              <c:f>'Liste for tidtaking'!$S$6:$S$92</c:f>
            </c:numRef>
          </c:yVal>
          <c:smooth val="1"/>
          <c:extLst>
            <c:ext xmlns:c16="http://schemas.microsoft.com/office/drawing/2014/chart" uri="{C3380CC4-5D6E-409C-BE32-E72D297353CC}">
              <c16:uniqueId val="{00000001-FABF-0745-9711-9F951D318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016096"/>
        <c:axId val="1537801391"/>
      </c:scatterChart>
      <c:valAx>
        <c:axId val="425016096"/>
        <c:scaling>
          <c:orientation val="minMax"/>
          <c:max val="95"/>
          <c:min val="3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Alder</a:t>
                </a:r>
              </a:p>
            </c:rich>
          </c:tx>
          <c:layout>
            <c:manualLayout>
              <c:xMode val="edge"/>
              <c:yMode val="edge"/>
              <c:x val="0.47554051070718961"/>
              <c:y val="0.856150481189851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37801391"/>
        <c:crosses val="autoZero"/>
        <c:crossBetween val="midCat"/>
      </c:valAx>
      <c:valAx>
        <c:axId val="1537801391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25016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sz="1200" b="1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Aldersfordeling løp 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'Løp 4'!$AB$21:$AB$42</c:f>
              <c:numCache>
                <c:formatCode>General</c:formatCode>
                <c:ptCount val="22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</c:numCache>
            </c:numRef>
          </c:cat>
          <c:val>
            <c:numRef>
              <c:f>'Løp 4'!$AC$21:$AC$42</c:f>
              <c:numCache>
                <c:formatCode>General</c:formatCode>
                <c:ptCount val="22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5</c:v>
                </c:pt>
                <c:pt idx="7">
                  <c:v>1</c:v>
                </c:pt>
                <c:pt idx="8">
                  <c:v>6</c:v>
                </c:pt>
                <c:pt idx="9">
                  <c:v>1</c:v>
                </c:pt>
                <c:pt idx="10">
                  <c:v>4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CF-884C-815B-8C9AA7129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1186687"/>
        <c:axId val="1741189375"/>
      </c:barChart>
      <c:catAx>
        <c:axId val="174118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9375"/>
        <c:crosses val="autoZero"/>
        <c:auto val="1"/>
        <c:lblAlgn val="ctr"/>
        <c:lblOffset val="100"/>
        <c:noMultiLvlLbl val="0"/>
      </c:catAx>
      <c:valAx>
        <c:axId val="174118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6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Aldersfordeling løp 5</a:t>
            </a:r>
          </a:p>
          <a:p>
            <a:pPr>
              <a:defRPr/>
            </a:pPr>
            <a:endParaRPr lang="nb-N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'Løp 5'!$AB$21:$AB$42</c:f>
              <c:numCache>
                <c:formatCode>General</c:formatCode>
                <c:ptCount val="22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</c:numCache>
            </c:numRef>
          </c:cat>
          <c:val>
            <c:numRef>
              <c:f>'Løp 5'!$AC$21:$AC$42</c:f>
              <c:numCache>
                <c:formatCode>General</c:formatCode>
                <c:ptCount val="22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5</c:v>
                </c:pt>
                <c:pt idx="7">
                  <c:v>2</c:v>
                </c:pt>
                <c:pt idx="8">
                  <c:v>6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08-E549-B603-EE1F46D29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1186687"/>
        <c:axId val="1741189375"/>
      </c:barChart>
      <c:catAx>
        <c:axId val="174118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9375"/>
        <c:crosses val="autoZero"/>
        <c:auto val="1"/>
        <c:lblAlgn val="ctr"/>
        <c:lblOffset val="100"/>
        <c:noMultiLvlLbl val="0"/>
      </c:catAx>
      <c:valAx>
        <c:axId val="174118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6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Aldersfordeling løp 6</a:t>
            </a:r>
          </a:p>
          <a:p>
            <a:pPr>
              <a:defRPr/>
            </a:pPr>
            <a:endParaRPr lang="nb-N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'Løp 6'!$AB$21:$AB$42</c:f>
              <c:numCache>
                <c:formatCode>General</c:formatCode>
                <c:ptCount val="22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</c:numCache>
            </c:numRef>
          </c:cat>
          <c:val>
            <c:numRef>
              <c:f>'Løp 6'!$AC$21:$AC$42</c:f>
              <c:numCache>
                <c:formatCode>General</c:formatCode>
                <c:ptCount val="2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5</c:v>
                </c:pt>
                <c:pt idx="7">
                  <c:v>2</c:v>
                </c:pt>
                <c:pt idx="8">
                  <c:v>4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12-CB4E-ABC0-796699002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1186687"/>
        <c:axId val="1741189375"/>
      </c:barChart>
      <c:catAx>
        <c:axId val="174118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9375"/>
        <c:crosses val="autoZero"/>
        <c:auto val="1"/>
        <c:lblAlgn val="ctr"/>
        <c:lblOffset val="100"/>
        <c:noMultiLvlLbl val="0"/>
      </c:catAx>
      <c:valAx>
        <c:axId val="174118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6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Aldersfordeling løp 7</a:t>
            </a:r>
          </a:p>
          <a:p>
            <a:pPr>
              <a:defRPr/>
            </a:pPr>
            <a:endParaRPr lang="nb-N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'Løp 7'!$AB$21:$AB$42</c:f>
              <c:numCache>
                <c:formatCode>General</c:formatCode>
                <c:ptCount val="22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</c:numCache>
            </c:numRef>
          </c:cat>
          <c:val>
            <c:numRef>
              <c:f>'Løp 7'!$AC$21:$AC$42</c:f>
              <c:numCache>
                <c:formatCode>General</c:formatCode>
                <c:ptCount val="2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2E-0F44-9A82-EE7C0A514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1186687"/>
        <c:axId val="1741189375"/>
      </c:barChart>
      <c:catAx>
        <c:axId val="174118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9375"/>
        <c:crosses val="autoZero"/>
        <c:auto val="1"/>
        <c:lblAlgn val="ctr"/>
        <c:lblOffset val="100"/>
        <c:noMultiLvlLbl val="0"/>
      </c:catAx>
      <c:valAx>
        <c:axId val="174118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1186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3.xml"/><Relationship Id="rId1" Type="http://schemas.openxmlformats.org/officeDocument/2006/relationships/chart" Target="../charts/chart42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355600</xdr:colOff>
      <xdr:row>122</xdr:row>
      <xdr:rowOff>158750</xdr:rowOff>
    </xdr:from>
    <xdr:to>
      <xdr:col>37</xdr:col>
      <xdr:colOff>444500</xdr:colOff>
      <xdr:row>142</xdr:row>
      <xdr:rowOff>114300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3112A15-83D3-6948-ABB4-D429BF422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342900</xdr:colOff>
      <xdr:row>143</xdr:row>
      <xdr:rowOff>190500</xdr:rowOff>
    </xdr:from>
    <xdr:to>
      <xdr:col>39</xdr:col>
      <xdr:colOff>226165</xdr:colOff>
      <xdr:row>165</xdr:row>
      <xdr:rowOff>173973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807AAE4-A48D-EE4F-B3D8-A16ECFA40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39</xdr:col>
      <xdr:colOff>574110</xdr:colOff>
      <xdr:row>131</xdr:row>
      <xdr:rowOff>89769</xdr:rowOff>
    </xdr:from>
    <xdr:to>
      <xdr:col>58</xdr:col>
      <xdr:colOff>191370</xdr:colOff>
      <xdr:row>156</xdr:row>
      <xdr:rowOff>86986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5FBB9609-A3CF-9010-48D9-79D0BA40D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488950</xdr:colOff>
      <xdr:row>13</xdr:row>
      <xdr:rowOff>133350</xdr:rowOff>
    </xdr:from>
    <xdr:to>
      <xdr:col>38</xdr:col>
      <xdr:colOff>304800</xdr:colOff>
      <xdr:row>27</xdr:row>
      <xdr:rowOff>101600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C60EC97-2C06-1A43-93AC-BC8A18743A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488950</xdr:colOff>
      <xdr:row>13</xdr:row>
      <xdr:rowOff>133350</xdr:rowOff>
    </xdr:from>
    <xdr:to>
      <xdr:col>38</xdr:col>
      <xdr:colOff>304800</xdr:colOff>
      <xdr:row>27</xdr:row>
      <xdr:rowOff>101600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4D284E8-EE1D-8540-9425-D8BC6CE31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488950</xdr:colOff>
      <xdr:row>13</xdr:row>
      <xdr:rowOff>133350</xdr:rowOff>
    </xdr:from>
    <xdr:to>
      <xdr:col>38</xdr:col>
      <xdr:colOff>304800</xdr:colOff>
      <xdr:row>27</xdr:row>
      <xdr:rowOff>101600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A650BD1-FA64-A944-BF1A-E21ACCCE45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488950</xdr:colOff>
      <xdr:row>13</xdr:row>
      <xdr:rowOff>133350</xdr:rowOff>
    </xdr:from>
    <xdr:to>
      <xdr:col>38</xdr:col>
      <xdr:colOff>304800</xdr:colOff>
      <xdr:row>27</xdr:row>
      <xdr:rowOff>101600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27A68ED-56C7-2C47-8FF8-81B413027B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488950</xdr:colOff>
      <xdr:row>13</xdr:row>
      <xdr:rowOff>133350</xdr:rowOff>
    </xdr:from>
    <xdr:to>
      <xdr:col>38</xdr:col>
      <xdr:colOff>304800</xdr:colOff>
      <xdr:row>27</xdr:row>
      <xdr:rowOff>101600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F15E21E-E250-A242-A73F-84A12B8E0F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488950</xdr:colOff>
      <xdr:row>13</xdr:row>
      <xdr:rowOff>133350</xdr:rowOff>
    </xdr:from>
    <xdr:to>
      <xdr:col>38</xdr:col>
      <xdr:colOff>304800</xdr:colOff>
      <xdr:row>27</xdr:row>
      <xdr:rowOff>101600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46D6BE9-3A2D-7C47-A32C-CFB49D7B00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488950</xdr:colOff>
      <xdr:row>13</xdr:row>
      <xdr:rowOff>133350</xdr:rowOff>
    </xdr:from>
    <xdr:to>
      <xdr:col>38</xdr:col>
      <xdr:colOff>304800</xdr:colOff>
      <xdr:row>27</xdr:row>
      <xdr:rowOff>101600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0558621-BE1A-FD48-9630-2FF0D6417F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488950</xdr:colOff>
      <xdr:row>13</xdr:row>
      <xdr:rowOff>133350</xdr:rowOff>
    </xdr:from>
    <xdr:to>
      <xdr:col>38</xdr:col>
      <xdr:colOff>304800</xdr:colOff>
      <xdr:row>27</xdr:row>
      <xdr:rowOff>101600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DFB95DF-A7A3-D74C-8819-5BE461D8C0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488950</xdr:colOff>
      <xdr:row>13</xdr:row>
      <xdr:rowOff>133350</xdr:rowOff>
    </xdr:from>
    <xdr:to>
      <xdr:col>38</xdr:col>
      <xdr:colOff>304800</xdr:colOff>
      <xdr:row>27</xdr:row>
      <xdr:rowOff>101600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C79F2CE-5D80-1340-B3D9-15C632E367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488950</xdr:colOff>
      <xdr:row>13</xdr:row>
      <xdr:rowOff>133350</xdr:rowOff>
    </xdr:from>
    <xdr:to>
      <xdr:col>38</xdr:col>
      <xdr:colOff>304800</xdr:colOff>
      <xdr:row>27</xdr:row>
      <xdr:rowOff>101600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2C491C9-BBB0-BB49-85D2-4E3073AEEA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488950</xdr:colOff>
      <xdr:row>13</xdr:row>
      <xdr:rowOff>133350</xdr:rowOff>
    </xdr:from>
    <xdr:to>
      <xdr:col>38</xdr:col>
      <xdr:colOff>304800</xdr:colOff>
      <xdr:row>27</xdr:row>
      <xdr:rowOff>101600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C9F9DD3-887C-444E-BD1D-D8AE66AE46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488950</xdr:colOff>
      <xdr:row>13</xdr:row>
      <xdr:rowOff>133350</xdr:rowOff>
    </xdr:from>
    <xdr:to>
      <xdr:col>38</xdr:col>
      <xdr:colOff>304800</xdr:colOff>
      <xdr:row>27</xdr:row>
      <xdr:rowOff>101600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F662073-2C2F-424C-9867-9C0C329092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488950</xdr:colOff>
      <xdr:row>13</xdr:row>
      <xdr:rowOff>133350</xdr:rowOff>
    </xdr:from>
    <xdr:to>
      <xdr:col>38</xdr:col>
      <xdr:colOff>304800</xdr:colOff>
      <xdr:row>27</xdr:row>
      <xdr:rowOff>101600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60030B6-4AFC-5C43-823C-03357502C6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488950</xdr:colOff>
      <xdr:row>13</xdr:row>
      <xdr:rowOff>133350</xdr:rowOff>
    </xdr:from>
    <xdr:to>
      <xdr:col>38</xdr:col>
      <xdr:colOff>304800</xdr:colOff>
      <xdr:row>27</xdr:row>
      <xdr:rowOff>101600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143F537-AADA-C444-A3EF-4B3F2AE8B8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488950</xdr:colOff>
      <xdr:row>13</xdr:row>
      <xdr:rowOff>133350</xdr:rowOff>
    </xdr:from>
    <xdr:to>
      <xdr:col>38</xdr:col>
      <xdr:colOff>304800</xdr:colOff>
      <xdr:row>27</xdr:row>
      <xdr:rowOff>101600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17AC498-2310-6A40-9A29-9D48482FB5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0.07301</cdr:x>
      <cdr:y>0.37283</cdr:y>
    </cdr:from>
    <cdr:to>
      <cdr:x>0.96774</cdr:x>
      <cdr:y>0.37283</cdr:y>
    </cdr:to>
    <cdr:cxnSp macro="">
      <cdr:nvCxnSpPr>
        <cdr:cNvPr id="3" name="Rett linje 2">
          <a:extLst xmlns:a="http://schemas.openxmlformats.org/drawingml/2006/main">
            <a:ext uri="{FF2B5EF4-FFF2-40B4-BE49-F238E27FC236}">
              <a16:creationId xmlns:a16="http://schemas.microsoft.com/office/drawing/2014/main" id="{E4A4026D-1A6A-4521-9FD2-1E7CB2B49E56}"/>
            </a:ext>
          </a:extLst>
        </cdr:cNvPr>
        <cdr:cNvCxnSpPr/>
      </cdr:nvCxnSpPr>
      <cdr:spPr>
        <a:xfrm xmlns:a="http://schemas.openxmlformats.org/drawingml/2006/main">
          <a:off x="748082" y="2171874"/>
          <a:ext cx="9168356" cy="0"/>
        </a:xfrm>
        <a:prstGeom xmlns:a="http://schemas.openxmlformats.org/drawingml/2006/main" prst="line">
          <a:avLst/>
        </a:prstGeom>
        <a:ln xmlns:a="http://schemas.openxmlformats.org/drawingml/2006/main" w="25400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488950</xdr:colOff>
      <xdr:row>13</xdr:row>
      <xdr:rowOff>133350</xdr:rowOff>
    </xdr:from>
    <xdr:to>
      <xdr:col>38</xdr:col>
      <xdr:colOff>304800</xdr:colOff>
      <xdr:row>27</xdr:row>
      <xdr:rowOff>101600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58D9FD0-3E05-CC4B-BCC8-6B8FF132AC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488950</xdr:colOff>
      <xdr:row>13</xdr:row>
      <xdr:rowOff>133350</xdr:rowOff>
    </xdr:from>
    <xdr:to>
      <xdr:col>38</xdr:col>
      <xdr:colOff>304800</xdr:colOff>
      <xdr:row>27</xdr:row>
      <xdr:rowOff>101600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EF83B62-DC44-E84F-8374-8D0BFE5212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488950</xdr:colOff>
      <xdr:row>13</xdr:row>
      <xdr:rowOff>133350</xdr:rowOff>
    </xdr:from>
    <xdr:to>
      <xdr:col>38</xdr:col>
      <xdr:colOff>304800</xdr:colOff>
      <xdr:row>27</xdr:row>
      <xdr:rowOff>101600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F955CFF-003C-BB43-89FC-E99A63857D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488950</xdr:colOff>
      <xdr:row>13</xdr:row>
      <xdr:rowOff>133350</xdr:rowOff>
    </xdr:from>
    <xdr:to>
      <xdr:col>38</xdr:col>
      <xdr:colOff>304800</xdr:colOff>
      <xdr:row>27</xdr:row>
      <xdr:rowOff>101600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D32236F-BF55-7F4D-BE16-BC436FBC06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488950</xdr:colOff>
      <xdr:row>13</xdr:row>
      <xdr:rowOff>133350</xdr:rowOff>
    </xdr:from>
    <xdr:to>
      <xdr:col>38</xdr:col>
      <xdr:colOff>304800</xdr:colOff>
      <xdr:row>27</xdr:row>
      <xdr:rowOff>101600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0B2F636-43BF-884E-BF1E-C32B1A0554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488950</xdr:colOff>
      <xdr:row>13</xdr:row>
      <xdr:rowOff>133350</xdr:rowOff>
    </xdr:from>
    <xdr:to>
      <xdr:col>38</xdr:col>
      <xdr:colOff>304800</xdr:colOff>
      <xdr:row>27</xdr:row>
      <xdr:rowOff>101600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E9B6DDA-05CD-F846-BB4D-B0FB31973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488950</xdr:colOff>
      <xdr:row>13</xdr:row>
      <xdr:rowOff>133350</xdr:rowOff>
    </xdr:from>
    <xdr:to>
      <xdr:col>38</xdr:col>
      <xdr:colOff>304800</xdr:colOff>
      <xdr:row>27</xdr:row>
      <xdr:rowOff>101600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BFC626F-0C8B-AF4F-8573-DC3B59717A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488950</xdr:colOff>
      <xdr:row>13</xdr:row>
      <xdr:rowOff>133350</xdr:rowOff>
    </xdr:from>
    <xdr:to>
      <xdr:col>38</xdr:col>
      <xdr:colOff>304800</xdr:colOff>
      <xdr:row>27</xdr:row>
      <xdr:rowOff>101600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84A03EE-7085-4D4C-80D5-5DBC50BE2A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488950</xdr:colOff>
      <xdr:row>13</xdr:row>
      <xdr:rowOff>133350</xdr:rowOff>
    </xdr:from>
    <xdr:to>
      <xdr:col>38</xdr:col>
      <xdr:colOff>304800</xdr:colOff>
      <xdr:row>27</xdr:row>
      <xdr:rowOff>101600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6443FB0-B96A-1440-9A94-30DE2B0B2B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488950</xdr:colOff>
      <xdr:row>13</xdr:row>
      <xdr:rowOff>133350</xdr:rowOff>
    </xdr:from>
    <xdr:to>
      <xdr:col>38</xdr:col>
      <xdr:colOff>304800</xdr:colOff>
      <xdr:row>27</xdr:row>
      <xdr:rowOff>101600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205DDD1-BFDF-F54E-BA8A-55DF1CA21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488950</xdr:colOff>
      <xdr:row>13</xdr:row>
      <xdr:rowOff>133350</xdr:rowOff>
    </xdr:from>
    <xdr:to>
      <xdr:col>38</xdr:col>
      <xdr:colOff>304800</xdr:colOff>
      <xdr:row>27</xdr:row>
      <xdr:rowOff>101600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A1080DF-3C24-6C40-989E-A428E8E8C8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488950</xdr:colOff>
      <xdr:row>13</xdr:row>
      <xdr:rowOff>133350</xdr:rowOff>
    </xdr:from>
    <xdr:to>
      <xdr:col>38</xdr:col>
      <xdr:colOff>304800</xdr:colOff>
      <xdr:row>27</xdr:row>
      <xdr:rowOff>101600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A977E76-6A49-C041-AAF0-340777D0AD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488950</xdr:colOff>
      <xdr:row>13</xdr:row>
      <xdr:rowOff>133350</xdr:rowOff>
    </xdr:from>
    <xdr:to>
      <xdr:col>38</xdr:col>
      <xdr:colOff>304800</xdr:colOff>
      <xdr:row>27</xdr:row>
      <xdr:rowOff>101600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D384950-26A8-2A4A-82DA-3A01F05D77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488950</xdr:colOff>
      <xdr:row>13</xdr:row>
      <xdr:rowOff>133350</xdr:rowOff>
    </xdr:from>
    <xdr:to>
      <xdr:col>38</xdr:col>
      <xdr:colOff>304800</xdr:colOff>
      <xdr:row>27</xdr:row>
      <xdr:rowOff>101600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0745712-7C79-014F-AAE1-D023B24FB5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488950</xdr:colOff>
      <xdr:row>13</xdr:row>
      <xdr:rowOff>133350</xdr:rowOff>
    </xdr:from>
    <xdr:to>
      <xdr:col>38</xdr:col>
      <xdr:colOff>304800</xdr:colOff>
      <xdr:row>27</xdr:row>
      <xdr:rowOff>101600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706198F-5141-C743-A7CA-E8AE7C9171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488950</xdr:colOff>
      <xdr:row>13</xdr:row>
      <xdr:rowOff>133350</xdr:rowOff>
    </xdr:from>
    <xdr:to>
      <xdr:col>38</xdr:col>
      <xdr:colOff>304800</xdr:colOff>
      <xdr:row>27</xdr:row>
      <xdr:rowOff>101600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4C86CBC-AC93-5247-B002-3CC06A33E7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488950</xdr:colOff>
      <xdr:row>13</xdr:row>
      <xdr:rowOff>133350</xdr:rowOff>
    </xdr:from>
    <xdr:to>
      <xdr:col>38</xdr:col>
      <xdr:colOff>304800</xdr:colOff>
      <xdr:row>27</xdr:row>
      <xdr:rowOff>101600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14F6F77-DD78-CB4D-949E-0DB5F6AEE6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488950</xdr:colOff>
      <xdr:row>13</xdr:row>
      <xdr:rowOff>133350</xdr:rowOff>
    </xdr:from>
    <xdr:to>
      <xdr:col>38</xdr:col>
      <xdr:colOff>304800</xdr:colOff>
      <xdr:row>27</xdr:row>
      <xdr:rowOff>101600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3F5C579-2216-9643-AB67-2665AE2020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488950</xdr:colOff>
      <xdr:row>13</xdr:row>
      <xdr:rowOff>133350</xdr:rowOff>
    </xdr:from>
    <xdr:to>
      <xdr:col>38</xdr:col>
      <xdr:colOff>304800</xdr:colOff>
      <xdr:row>27</xdr:row>
      <xdr:rowOff>101600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0FF02E8-4400-1846-A9F6-72F73245D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488950</xdr:colOff>
      <xdr:row>13</xdr:row>
      <xdr:rowOff>133350</xdr:rowOff>
    </xdr:from>
    <xdr:to>
      <xdr:col>38</xdr:col>
      <xdr:colOff>304800</xdr:colOff>
      <xdr:row>27</xdr:row>
      <xdr:rowOff>101600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0FBAD12-F143-EE48-BEFD-3549B03E43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685800</xdr:colOff>
      <xdr:row>6</xdr:row>
      <xdr:rowOff>177800</xdr:rowOff>
    </xdr:from>
    <xdr:to>
      <xdr:col>29</xdr:col>
      <xdr:colOff>50800</xdr:colOff>
      <xdr:row>19</xdr:row>
      <xdr:rowOff>12700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475ABB0-FEDE-C6D3-F711-CCB1D81968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488950</xdr:colOff>
      <xdr:row>13</xdr:row>
      <xdr:rowOff>133350</xdr:rowOff>
    </xdr:from>
    <xdr:to>
      <xdr:col>38</xdr:col>
      <xdr:colOff>304800</xdr:colOff>
      <xdr:row>27</xdr:row>
      <xdr:rowOff>101600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D95F8D4-9F3A-D748-9306-A3275DA2AC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488950</xdr:colOff>
      <xdr:row>13</xdr:row>
      <xdr:rowOff>133350</xdr:rowOff>
    </xdr:from>
    <xdr:to>
      <xdr:col>38</xdr:col>
      <xdr:colOff>304800</xdr:colOff>
      <xdr:row>27</xdr:row>
      <xdr:rowOff>101600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C29BEE5-75D2-3546-8EA7-5D042CDF43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685800</xdr:colOff>
      <xdr:row>6</xdr:row>
      <xdr:rowOff>177800</xdr:rowOff>
    </xdr:from>
    <xdr:to>
      <xdr:col>29</xdr:col>
      <xdr:colOff>50800</xdr:colOff>
      <xdr:row>23</xdr:row>
      <xdr:rowOff>12700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86B4C16-8A83-1540-8AF8-C2B810014E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787722</xdr:colOff>
      <xdr:row>5</xdr:row>
      <xdr:rowOff>16076</xdr:rowOff>
    </xdr:from>
    <xdr:to>
      <xdr:col>41</xdr:col>
      <xdr:colOff>16076</xdr:colOff>
      <xdr:row>48</xdr:row>
      <xdr:rowOff>48228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D27CDEC-AB0D-9F7D-5605-15D0904C7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25950" y="1382532"/>
          <a:ext cx="7346708" cy="922759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488950</xdr:colOff>
      <xdr:row>13</xdr:row>
      <xdr:rowOff>133350</xdr:rowOff>
    </xdr:from>
    <xdr:to>
      <xdr:col>38</xdr:col>
      <xdr:colOff>304800</xdr:colOff>
      <xdr:row>27</xdr:row>
      <xdr:rowOff>101600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5D64995-C8FC-2B14-58A8-2541E3D99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488950</xdr:colOff>
      <xdr:row>13</xdr:row>
      <xdr:rowOff>133350</xdr:rowOff>
    </xdr:from>
    <xdr:to>
      <xdr:col>38</xdr:col>
      <xdr:colOff>304800</xdr:colOff>
      <xdr:row>27</xdr:row>
      <xdr:rowOff>101600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F171D92-32A6-2D4B-9961-9F945C2BAB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488950</xdr:colOff>
      <xdr:row>13</xdr:row>
      <xdr:rowOff>133350</xdr:rowOff>
    </xdr:from>
    <xdr:to>
      <xdr:col>38</xdr:col>
      <xdr:colOff>304800</xdr:colOff>
      <xdr:row>27</xdr:row>
      <xdr:rowOff>101600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01207E4-C0A1-BB49-AFDA-DEEDE83A14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488950</xdr:colOff>
      <xdr:row>13</xdr:row>
      <xdr:rowOff>133350</xdr:rowOff>
    </xdr:from>
    <xdr:to>
      <xdr:col>38</xdr:col>
      <xdr:colOff>304800</xdr:colOff>
      <xdr:row>27</xdr:row>
      <xdr:rowOff>101600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94EC69E-4931-B74A-9972-FE0996D842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488950</xdr:colOff>
      <xdr:row>13</xdr:row>
      <xdr:rowOff>133350</xdr:rowOff>
    </xdr:from>
    <xdr:to>
      <xdr:col>38</xdr:col>
      <xdr:colOff>304800</xdr:colOff>
      <xdr:row>27</xdr:row>
      <xdr:rowOff>101600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C16EE25-8C6A-EF4C-BA0E-B9523C881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dgar Furuholt" id="{8B68D85A-B1A3-B24B-8061-847453E400F5}" userId="5a0437e78647c985" providerId="Windows Live"/>
</personList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128" dT="2026-04-17T18:38:09.72" personId="{8B68D85A-B1A3-B24B-8061-847453E400F5}" id="{9E46B7E0-B1C0-4048-A598-D350D390AC86}">
    <text>To løp har 49 deltakere</text>
  </threadedComment>
  <threadedComment ref="W167" dT="2026-04-17T18:25:44.23" personId="{8B68D85A-B1A3-B24B-8061-847453E400F5}" id="{6AC4BF44-C4BC-7240-B3CF-8B06730DF796}">
    <text xml:space="preserve">Har ikke alder på Randi Nesje Myhr, som har deltatt to ganger </text>
  </threadedComment>
</ThreadedComment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A05B6-F91E-0F48-9E5E-939F8971BA45}">
  <sheetPr>
    <tabColor rgb="FFFF0000"/>
  </sheetPr>
  <dimension ref="B1:FK133"/>
  <sheetViews>
    <sheetView topLeftCell="A2" zoomScale="93" zoomScaleNormal="93" workbookViewId="0">
      <pane xSplit="4" topLeftCell="U1" activePane="topRight" state="frozen"/>
      <selection activeCell="A10" sqref="A10"/>
      <selection pane="topRight" activeCell="K121" sqref="K121"/>
    </sheetView>
  </sheetViews>
  <sheetFormatPr baseColWidth="10" defaultColWidth="10.83203125" defaultRowHeight="16" x14ac:dyDescent="0.2"/>
  <cols>
    <col min="2" max="2" width="11.5" customWidth="1"/>
    <col min="3" max="3" width="13.83203125" customWidth="1"/>
    <col min="4" max="4" width="14.5" hidden="1" customWidth="1"/>
    <col min="5" max="8" width="12.1640625" customWidth="1"/>
    <col min="9" max="9" width="11.33203125" hidden="1" customWidth="1"/>
    <col min="11" max="13" width="10.83203125" customWidth="1"/>
    <col min="14" max="14" width="10.83203125" hidden="1" customWidth="1"/>
    <col min="16" max="18" width="10.83203125" customWidth="1"/>
    <col min="19" max="19" width="10.83203125" hidden="1" customWidth="1"/>
    <col min="21" max="23" width="10.83203125" customWidth="1"/>
    <col min="24" max="24" width="10.83203125" hidden="1" customWidth="1"/>
    <col min="27" max="28" width="10.83203125" customWidth="1"/>
    <col min="29" max="29" width="10.83203125" hidden="1" customWidth="1"/>
    <col min="32" max="33" width="10.83203125" customWidth="1"/>
    <col min="34" max="34" width="10.83203125" hidden="1" customWidth="1"/>
    <col min="37" max="38" width="10.83203125" customWidth="1"/>
    <col min="39" max="39" width="10.83203125" hidden="1" customWidth="1"/>
    <col min="42" max="43" width="10.83203125" customWidth="1"/>
    <col min="44" max="44" width="10.83203125" hidden="1" customWidth="1"/>
    <col min="47" max="48" width="10.83203125" customWidth="1"/>
    <col min="49" max="49" width="10.83203125" hidden="1" customWidth="1"/>
    <col min="52" max="53" width="10.83203125" customWidth="1"/>
    <col min="54" max="54" width="10.83203125" hidden="1" customWidth="1"/>
    <col min="57" max="58" width="10.83203125" customWidth="1"/>
    <col min="59" max="59" width="10.83203125" hidden="1" customWidth="1"/>
    <col min="62" max="63" width="10.83203125" customWidth="1"/>
    <col min="64" max="64" width="10.83203125" hidden="1" customWidth="1"/>
    <col min="65" max="68" width="10.83203125" customWidth="1"/>
    <col min="69" max="69" width="10.83203125" hidden="1" customWidth="1"/>
    <col min="70" max="73" width="10.83203125" customWidth="1"/>
    <col min="74" max="74" width="10.83203125" hidden="1" customWidth="1"/>
    <col min="75" max="78" width="10.83203125" customWidth="1"/>
    <col min="79" max="79" width="10.83203125" hidden="1" customWidth="1"/>
    <col min="80" max="83" width="10.83203125" customWidth="1"/>
    <col min="84" max="84" width="10.83203125" hidden="1" customWidth="1"/>
    <col min="85" max="88" width="10.83203125" customWidth="1"/>
    <col min="89" max="89" width="10.83203125" hidden="1" customWidth="1"/>
    <col min="90" max="93" width="10.83203125" customWidth="1"/>
    <col min="94" max="94" width="10.83203125" hidden="1" customWidth="1"/>
    <col min="95" max="98" width="10.83203125" customWidth="1"/>
    <col min="99" max="99" width="10.83203125" hidden="1" customWidth="1"/>
    <col min="100" max="103" width="10.83203125" customWidth="1"/>
    <col min="104" max="104" width="10.83203125" hidden="1" customWidth="1"/>
    <col min="105" max="108" width="10.83203125" customWidth="1"/>
    <col min="109" max="109" width="10.83203125" hidden="1" customWidth="1"/>
    <col min="110" max="113" width="10.83203125" customWidth="1"/>
    <col min="114" max="114" width="10.83203125" hidden="1" customWidth="1"/>
    <col min="115" max="118" width="10.83203125" customWidth="1"/>
    <col min="119" max="119" width="10.83203125" hidden="1" customWidth="1"/>
    <col min="120" max="123" width="10.83203125" customWidth="1"/>
    <col min="124" max="124" width="10.83203125" hidden="1" customWidth="1"/>
    <col min="127" max="128" width="10.83203125" customWidth="1"/>
    <col min="129" max="129" width="10.83203125" hidden="1" customWidth="1"/>
    <col min="132" max="133" width="10.83203125" customWidth="1"/>
    <col min="134" max="134" width="10.83203125" hidden="1" customWidth="1"/>
    <col min="135" max="138" width="10.83203125" customWidth="1"/>
    <col min="139" max="139" width="10.83203125" hidden="1" customWidth="1"/>
    <col min="140" max="141" width="10.83203125" customWidth="1"/>
    <col min="142" max="145" width="11.6640625" customWidth="1"/>
    <col min="147" max="147" width="12.6640625" customWidth="1"/>
    <col min="149" max="150" width="14.6640625" customWidth="1"/>
    <col min="151" max="151" width="12" customWidth="1"/>
    <col min="152" max="152" width="13.6640625" customWidth="1"/>
    <col min="153" max="153" width="17.83203125" customWidth="1"/>
    <col min="154" max="154" width="14.6640625" customWidth="1"/>
    <col min="155" max="156" width="16.1640625" customWidth="1"/>
    <col min="157" max="158" width="12.83203125" customWidth="1"/>
    <col min="159" max="162" width="16.1640625" customWidth="1"/>
  </cols>
  <sheetData>
    <row r="1" spans="2:36" ht="15.75" thickBot="1" x14ac:dyDescent="0.25"/>
    <row r="2" spans="2:36" x14ac:dyDescent="0.2">
      <c r="B2" s="233" t="s">
        <v>0</v>
      </c>
      <c r="C2" s="1"/>
      <c r="D2" s="1"/>
      <c r="E2" s="1" t="s">
        <v>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23"/>
      <c r="U2" s="228"/>
      <c r="V2" s="239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2"/>
    </row>
    <row r="3" spans="2:36" x14ac:dyDescent="0.2">
      <c r="B3" s="234"/>
      <c r="E3" t="s">
        <v>2</v>
      </c>
      <c r="F3" t="s">
        <v>3</v>
      </c>
      <c r="T3" s="224"/>
      <c r="U3" s="229"/>
      <c r="AJ3" s="3"/>
    </row>
    <row r="4" spans="2:36" x14ac:dyDescent="0.2">
      <c r="B4" s="234"/>
      <c r="E4" s="80" t="s">
        <v>4</v>
      </c>
      <c r="F4" s="80" t="s">
        <v>5</v>
      </c>
      <c r="G4" s="80"/>
      <c r="H4" s="80"/>
      <c r="I4" s="80" t="s">
        <v>6</v>
      </c>
      <c r="J4" s="80"/>
      <c r="O4" s="10">
        <v>1</v>
      </c>
      <c r="T4" s="224"/>
      <c r="U4" s="229"/>
      <c r="AJ4" s="3"/>
    </row>
    <row r="5" spans="2:36" x14ac:dyDescent="0.2">
      <c r="B5" s="234"/>
      <c r="E5" s="80" t="s">
        <v>7</v>
      </c>
      <c r="F5" s="80" t="s">
        <v>8</v>
      </c>
      <c r="G5" s="80"/>
      <c r="H5" s="80"/>
      <c r="I5" s="80" t="s">
        <v>9</v>
      </c>
      <c r="O5" s="10">
        <v>4</v>
      </c>
      <c r="P5" s="10"/>
      <c r="Q5" s="10"/>
      <c r="R5" s="10"/>
      <c r="T5" s="224"/>
      <c r="U5" s="229"/>
      <c r="AJ5" s="3"/>
    </row>
    <row r="6" spans="2:36" x14ac:dyDescent="0.2">
      <c r="B6" s="234"/>
      <c r="E6" t="s">
        <v>10</v>
      </c>
      <c r="I6" t="s">
        <v>11</v>
      </c>
      <c r="T6" s="224"/>
      <c r="U6" s="229"/>
      <c r="AJ6" s="3"/>
    </row>
    <row r="7" spans="2:36" x14ac:dyDescent="0.2">
      <c r="B7" s="234" t="s">
        <v>12</v>
      </c>
      <c r="E7" t="s">
        <v>13</v>
      </c>
      <c r="T7" s="224"/>
      <c r="U7" s="229"/>
      <c r="AJ7" s="3"/>
    </row>
    <row r="8" spans="2:36" x14ac:dyDescent="0.2">
      <c r="B8" s="234" t="s">
        <v>14</v>
      </c>
      <c r="E8" t="s">
        <v>15</v>
      </c>
      <c r="T8" s="224"/>
      <c r="U8" s="229"/>
      <c r="AJ8" s="3"/>
    </row>
    <row r="9" spans="2:36" ht="17" thickBot="1" x14ac:dyDescent="0.25">
      <c r="B9" s="234" t="s">
        <v>14</v>
      </c>
      <c r="E9" t="s">
        <v>15</v>
      </c>
      <c r="T9" s="224"/>
      <c r="U9" s="229"/>
      <c r="AJ9" s="3"/>
    </row>
    <row r="10" spans="2:36" x14ac:dyDescent="0.2">
      <c r="B10" s="235" t="s">
        <v>16</v>
      </c>
      <c r="C10" s="6"/>
      <c r="D10" s="6"/>
      <c r="E10" s="7" t="s">
        <v>17</v>
      </c>
      <c r="F10" s="7"/>
      <c r="G10" s="7"/>
      <c r="H10" s="7"/>
      <c r="I10" s="6"/>
      <c r="J10" s="6"/>
      <c r="K10" s="6"/>
      <c r="L10" s="6"/>
      <c r="M10" s="6"/>
      <c r="N10" s="6"/>
      <c r="O10" s="6"/>
      <c r="P10" s="6"/>
      <c r="Q10" s="6"/>
      <c r="R10" s="6"/>
      <c r="S10" s="1"/>
      <c r="T10" s="223"/>
      <c r="U10" s="228"/>
      <c r="V10" s="239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2"/>
    </row>
    <row r="11" spans="2:36" x14ac:dyDescent="0.2">
      <c r="B11" s="236"/>
      <c r="C11" s="8"/>
      <c r="D11" s="8"/>
      <c r="E11" s="8" t="s">
        <v>18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T11" s="224"/>
      <c r="U11" s="229"/>
      <c r="AJ11" s="3"/>
    </row>
    <row r="12" spans="2:36" ht="17" thickBot="1" x14ac:dyDescent="0.25">
      <c r="B12" s="237" t="s">
        <v>19</v>
      </c>
      <c r="C12" s="9"/>
      <c r="D12" s="9"/>
      <c r="E12" s="9" t="s">
        <v>20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4"/>
      <c r="T12" s="225"/>
      <c r="U12" s="230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5"/>
    </row>
    <row r="13" spans="2:36" x14ac:dyDescent="0.2">
      <c r="B13" s="238" t="s">
        <v>21</v>
      </c>
      <c r="C13" s="218"/>
      <c r="D13" s="218"/>
      <c r="E13" s="218" t="s">
        <v>22</v>
      </c>
      <c r="F13" s="218"/>
      <c r="G13" s="218"/>
      <c r="H13" s="218"/>
      <c r="I13" s="218"/>
      <c r="J13" s="216"/>
      <c r="K13" s="216"/>
      <c r="L13" s="216"/>
      <c r="M13" s="216"/>
      <c r="N13" s="216"/>
      <c r="O13" s="216"/>
      <c r="P13" s="216"/>
      <c r="Q13" s="216"/>
      <c r="R13" s="216"/>
      <c r="S13" s="217"/>
      <c r="T13" s="226"/>
      <c r="U13" s="231"/>
      <c r="V13" s="239"/>
      <c r="W13" s="1"/>
      <c r="X13" s="1"/>
      <c r="AJ13" s="3"/>
    </row>
    <row r="14" spans="2:36" x14ac:dyDescent="0.2">
      <c r="B14" s="219"/>
      <c r="C14" s="220"/>
      <c r="D14" s="220"/>
      <c r="E14" s="220" t="s">
        <v>23</v>
      </c>
      <c r="F14" s="220"/>
      <c r="G14" s="220"/>
      <c r="H14" s="220"/>
      <c r="I14" s="220"/>
      <c r="J14" s="214"/>
      <c r="K14" s="214"/>
      <c r="L14" s="214"/>
      <c r="M14" s="214"/>
      <c r="N14" s="214"/>
      <c r="O14" s="214"/>
      <c r="P14" s="214"/>
      <c r="Q14" s="214"/>
      <c r="R14" s="214"/>
      <c r="S14" s="215"/>
      <c r="T14" s="227"/>
      <c r="U14" s="232"/>
      <c r="AJ14" s="3"/>
    </row>
    <row r="15" spans="2:36" ht="17" thickBot="1" x14ac:dyDescent="0.25">
      <c r="B15" s="221"/>
      <c r="C15" s="222"/>
      <c r="D15" s="222"/>
      <c r="E15" s="222" t="s">
        <v>24</v>
      </c>
      <c r="F15" s="222"/>
      <c r="G15" s="222"/>
      <c r="H15" s="222"/>
      <c r="I15" s="222"/>
      <c r="J15" s="9"/>
      <c r="K15" s="9"/>
      <c r="L15" s="9"/>
      <c r="M15" s="9"/>
      <c r="N15" s="9"/>
      <c r="O15" s="9"/>
      <c r="P15" s="9"/>
      <c r="Q15" s="9"/>
      <c r="R15" s="9"/>
      <c r="S15" s="4"/>
      <c r="T15" s="225"/>
      <c r="U15" s="230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5"/>
    </row>
    <row r="16" spans="2:36" ht="15" x14ac:dyDescent="0.2">
      <c r="V16" s="239"/>
      <c r="W16" s="1"/>
      <c r="X16" s="1"/>
    </row>
    <row r="17" spans="2:164" x14ac:dyDescent="0.2">
      <c r="B17" s="10" t="s">
        <v>25</v>
      </c>
    </row>
    <row r="18" spans="2:164" x14ac:dyDescent="0.2">
      <c r="B18" s="10" t="s">
        <v>245</v>
      </c>
    </row>
    <row r="19" spans="2:164" ht="15.75" thickBot="1" x14ac:dyDescent="0.25"/>
    <row r="20" spans="2:164" ht="26" thickTop="1" thickBot="1" x14ac:dyDescent="0.3">
      <c r="B20" s="277"/>
      <c r="C20" s="278"/>
      <c r="D20" s="136"/>
      <c r="E20" s="164">
        <v>45573</v>
      </c>
      <c r="F20" s="161"/>
      <c r="G20" s="161"/>
      <c r="H20" s="161"/>
      <c r="I20" s="159"/>
      <c r="J20" s="164">
        <v>45580</v>
      </c>
      <c r="K20" s="93"/>
      <c r="L20" s="93"/>
      <c r="M20" s="93"/>
      <c r="N20" s="93"/>
      <c r="O20" s="158">
        <v>45587</v>
      </c>
      <c r="P20" s="93"/>
      <c r="Q20" s="161"/>
      <c r="R20" s="161"/>
      <c r="S20" s="159"/>
      <c r="T20" s="169">
        <v>45594</v>
      </c>
      <c r="U20" s="93"/>
      <c r="V20" s="93"/>
      <c r="W20" s="93"/>
      <c r="X20" s="170"/>
      <c r="Y20" s="169">
        <v>45601</v>
      </c>
      <c r="Z20" s="93"/>
      <c r="AA20" s="93"/>
      <c r="AB20" s="93"/>
      <c r="AC20" s="170"/>
      <c r="AD20" s="169">
        <v>45608</v>
      </c>
      <c r="AE20" s="93"/>
      <c r="AF20" s="93"/>
      <c r="AG20" s="93"/>
      <c r="AH20" s="170"/>
      <c r="AI20" s="169">
        <v>45615</v>
      </c>
      <c r="AJ20" s="93"/>
      <c r="AK20" s="93"/>
      <c r="AL20" s="93"/>
      <c r="AM20" s="170"/>
      <c r="AN20" s="169">
        <v>45622</v>
      </c>
      <c r="AO20" s="93"/>
      <c r="AP20" s="93"/>
      <c r="AQ20" s="93"/>
      <c r="AR20" s="170"/>
      <c r="AS20" s="169">
        <v>45629</v>
      </c>
      <c r="AT20" s="93"/>
      <c r="AU20" s="93"/>
      <c r="AV20" s="93"/>
      <c r="AW20" s="170"/>
      <c r="AX20" s="169">
        <v>45636</v>
      </c>
      <c r="AY20" s="93"/>
      <c r="AZ20" s="93"/>
      <c r="BA20" s="93"/>
      <c r="BB20" s="170"/>
      <c r="BC20" s="169">
        <v>45643</v>
      </c>
      <c r="BD20" s="93"/>
      <c r="BE20" s="93"/>
      <c r="BF20" s="93"/>
      <c r="BG20" s="170"/>
      <c r="BH20" s="169">
        <v>45657</v>
      </c>
      <c r="BI20" s="93"/>
      <c r="BJ20" s="93"/>
      <c r="BK20" s="93"/>
      <c r="BL20" s="93"/>
      <c r="BM20" s="92">
        <v>45664</v>
      </c>
      <c r="BN20" s="93"/>
      <c r="BO20" s="93"/>
      <c r="BP20" s="93"/>
      <c r="BQ20" s="93"/>
      <c r="BR20" s="169">
        <v>45671</v>
      </c>
      <c r="BS20" s="93"/>
      <c r="BT20" s="93"/>
      <c r="BU20" s="93"/>
      <c r="BV20" s="170"/>
      <c r="BW20" s="169">
        <v>45678</v>
      </c>
      <c r="BX20" s="93"/>
      <c r="BY20" s="93"/>
      <c r="BZ20" s="93"/>
      <c r="CA20" s="170"/>
      <c r="CB20" s="169">
        <v>45685</v>
      </c>
      <c r="CC20" s="93"/>
      <c r="CD20" s="93"/>
      <c r="CE20" s="93"/>
      <c r="CF20" s="170"/>
      <c r="CG20" s="169">
        <v>45692</v>
      </c>
      <c r="CH20" s="93"/>
      <c r="CI20" s="93"/>
      <c r="CJ20" s="93"/>
      <c r="CK20" s="170"/>
      <c r="CL20" s="169">
        <v>45699</v>
      </c>
      <c r="CM20" s="93"/>
      <c r="CN20" s="93"/>
      <c r="CO20" s="93"/>
      <c r="CP20" s="170"/>
      <c r="CQ20" s="169">
        <v>45706</v>
      </c>
      <c r="CR20" s="93"/>
      <c r="CS20" s="93"/>
      <c r="CT20" s="93"/>
      <c r="CU20" s="170"/>
      <c r="CV20" s="169">
        <v>45713</v>
      </c>
      <c r="CW20" s="93"/>
      <c r="CX20" s="93"/>
      <c r="CY20" s="93"/>
      <c r="CZ20" s="170"/>
      <c r="DA20" s="169">
        <v>45720</v>
      </c>
      <c r="DB20" s="93"/>
      <c r="DC20" s="93"/>
      <c r="DD20" s="93"/>
      <c r="DE20" s="170"/>
      <c r="DF20" s="169">
        <v>45727</v>
      </c>
      <c r="DG20" s="93"/>
      <c r="DH20" s="93"/>
      <c r="DI20" s="93"/>
      <c r="DJ20" s="170"/>
      <c r="DK20" s="169">
        <v>45734</v>
      </c>
      <c r="DL20" s="93"/>
      <c r="DM20" s="93"/>
      <c r="DN20" s="93"/>
      <c r="DO20" s="170"/>
      <c r="DP20" s="169">
        <v>45741</v>
      </c>
      <c r="DQ20" s="93"/>
      <c r="DR20" s="93"/>
      <c r="DS20" s="93"/>
      <c r="DT20" s="170"/>
      <c r="DU20" s="169">
        <v>45748</v>
      </c>
      <c r="DV20" s="93"/>
      <c r="DW20" s="93"/>
      <c r="DX20" s="93"/>
      <c r="DY20" s="170"/>
      <c r="DZ20" s="169">
        <v>45755</v>
      </c>
      <c r="EA20" s="93"/>
      <c r="EB20" s="93"/>
      <c r="EC20" s="93"/>
      <c r="ED20" s="93"/>
      <c r="EE20" s="169">
        <v>45769</v>
      </c>
      <c r="EF20" s="93"/>
      <c r="EG20" s="93"/>
      <c r="EH20" s="93"/>
      <c r="EI20" s="93"/>
      <c r="EJ20" s="47"/>
      <c r="EK20" s="264"/>
      <c r="EL20" s="264"/>
      <c r="EM20" s="264"/>
      <c r="EN20" s="264"/>
      <c r="EO20" s="48"/>
      <c r="EP20" s="39"/>
      <c r="EQ20" s="53"/>
      <c r="ER20" s="54"/>
      <c r="ES20" s="55"/>
      <c r="ET20" s="56"/>
      <c r="EV20" s="64"/>
      <c r="EW20" s="65" t="s">
        <v>26</v>
      </c>
      <c r="EX20" s="87">
        <f>COUNTIF($E103:$EI103,"&gt;0")</f>
        <v>27</v>
      </c>
      <c r="EY20" s="66"/>
      <c r="EZ20" s="340"/>
      <c r="FA20" s="345"/>
      <c r="FB20" s="346"/>
      <c r="FC20" s="346" t="s">
        <v>224</v>
      </c>
      <c r="FD20" s="347">
        <f>COUNTIF($E103:$EI104,"&gt;0")</f>
        <v>27</v>
      </c>
      <c r="FE20" s="416" t="s">
        <v>31</v>
      </c>
      <c r="FF20" s="348"/>
    </row>
    <row r="21" spans="2:164" ht="23" customHeight="1" thickBot="1" x14ac:dyDescent="0.3">
      <c r="B21" s="279"/>
      <c r="C21" s="280"/>
      <c r="D21" s="137"/>
      <c r="E21" s="146">
        <v>1</v>
      </c>
      <c r="F21" s="95"/>
      <c r="G21" s="95"/>
      <c r="H21" s="95"/>
      <c r="I21" s="147"/>
      <c r="J21" s="146">
        <v>2</v>
      </c>
      <c r="K21" s="95"/>
      <c r="L21" s="95"/>
      <c r="M21" s="95"/>
      <c r="N21" s="95"/>
      <c r="O21" s="146">
        <v>3</v>
      </c>
      <c r="P21" s="95"/>
      <c r="Q21" s="95"/>
      <c r="R21" s="95"/>
      <c r="S21" s="95"/>
      <c r="T21" s="146">
        <v>4</v>
      </c>
      <c r="U21" s="95"/>
      <c r="V21" s="95"/>
      <c r="W21" s="95"/>
      <c r="X21" s="147"/>
      <c r="Y21" s="146">
        <v>5</v>
      </c>
      <c r="Z21" s="95"/>
      <c r="AA21" s="95"/>
      <c r="AB21" s="95"/>
      <c r="AC21" s="147"/>
      <c r="AD21" s="146">
        <v>6</v>
      </c>
      <c r="AE21" s="95"/>
      <c r="AF21" s="95"/>
      <c r="AG21" s="95"/>
      <c r="AH21" s="147"/>
      <c r="AI21" s="146">
        <v>7</v>
      </c>
      <c r="AJ21" s="95"/>
      <c r="AK21" s="95"/>
      <c r="AL21" s="95"/>
      <c r="AM21" s="147"/>
      <c r="AN21" s="146">
        <v>8</v>
      </c>
      <c r="AO21" s="95"/>
      <c r="AP21" s="95"/>
      <c r="AQ21" s="95"/>
      <c r="AR21" s="147"/>
      <c r="AS21" s="146">
        <v>9</v>
      </c>
      <c r="AT21" s="95"/>
      <c r="AU21" s="95"/>
      <c r="AV21" s="95"/>
      <c r="AW21" s="147"/>
      <c r="AX21" s="146">
        <v>10</v>
      </c>
      <c r="AY21" s="95"/>
      <c r="AZ21" s="95"/>
      <c r="BA21" s="95"/>
      <c r="BB21" s="147"/>
      <c r="BC21" s="146">
        <v>11</v>
      </c>
      <c r="BD21" s="95"/>
      <c r="BE21" s="95"/>
      <c r="BF21" s="95"/>
      <c r="BG21" s="147"/>
      <c r="BH21" s="146">
        <v>12</v>
      </c>
      <c r="BI21" s="95"/>
      <c r="BJ21" s="95"/>
      <c r="BK21" s="95"/>
      <c r="BL21" s="95"/>
      <c r="BM21" s="94">
        <v>13</v>
      </c>
      <c r="BN21" s="95"/>
      <c r="BO21" s="95"/>
      <c r="BP21" s="95"/>
      <c r="BQ21" s="95"/>
      <c r="BR21" s="146">
        <v>14</v>
      </c>
      <c r="BS21" s="95"/>
      <c r="BT21" s="95"/>
      <c r="BU21" s="95"/>
      <c r="BV21" s="147"/>
      <c r="BW21" s="146">
        <v>15</v>
      </c>
      <c r="BX21" s="95"/>
      <c r="BY21" s="95"/>
      <c r="BZ21" s="95"/>
      <c r="CA21" s="147"/>
      <c r="CB21" s="146">
        <v>16</v>
      </c>
      <c r="CC21" s="95"/>
      <c r="CD21" s="95"/>
      <c r="CE21" s="95"/>
      <c r="CF21" s="147"/>
      <c r="CG21" s="146">
        <v>17</v>
      </c>
      <c r="CH21" s="95"/>
      <c r="CI21" s="95"/>
      <c r="CJ21" s="95"/>
      <c r="CK21" s="147"/>
      <c r="CL21" s="146">
        <v>18</v>
      </c>
      <c r="CM21" s="95"/>
      <c r="CN21" s="95"/>
      <c r="CO21" s="95"/>
      <c r="CP21" s="147"/>
      <c r="CQ21" s="146">
        <v>19</v>
      </c>
      <c r="CR21" s="95"/>
      <c r="CS21" s="95"/>
      <c r="CT21" s="95"/>
      <c r="CU21" s="147"/>
      <c r="CV21" s="146">
        <v>20</v>
      </c>
      <c r="CW21" s="95"/>
      <c r="CX21" s="95"/>
      <c r="CY21" s="95"/>
      <c r="CZ21" s="147"/>
      <c r="DA21" s="146">
        <v>21</v>
      </c>
      <c r="DB21" s="95"/>
      <c r="DC21" s="95"/>
      <c r="DD21" s="95"/>
      <c r="DE21" s="147"/>
      <c r="DF21" s="146">
        <v>22</v>
      </c>
      <c r="DG21" s="95"/>
      <c r="DH21" s="95"/>
      <c r="DI21" s="95"/>
      <c r="DJ21" s="147"/>
      <c r="DK21" s="146">
        <v>23</v>
      </c>
      <c r="DL21" s="95"/>
      <c r="DM21" s="95"/>
      <c r="DN21" s="95"/>
      <c r="DO21" s="147"/>
      <c r="DP21" s="146">
        <v>24</v>
      </c>
      <c r="DQ21" s="95"/>
      <c r="DR21" s="95"/>
      <c r="DS21" s="95"/>
      <c r="DT21" s="147"/>
      <c r="DU21" s="146">
        <v>25</v>
      </c>
      <c r="DV21" s="95"/>
      <c r="DW21" s="95"/>
      <c r="DX21" s="95"/>
      <c r="DY21" s="147"/>
      <c r="DZ21" s="146">
        <v>26</v>
      </c>
      <c r="EA21" s="95"/>
      <c r="EB21" s="95"/>
      <c r="EC21" s="95"/>
      <c r="ED21" s="168"/>
      <c r="EE21" s="146">
        <v>27</v>
      </c>
      <c r="EF21" s="95"/>
      <c r="EG21" s="95"/>
      <c r="EH21" s="95"/>
      <c r="EI21" s="168"/>
      <c r="EJ21" s="49"/>
      <c r="EK21" s="520"/>
      <c r="EL21" s="263" t="s">
        <v>27</v>
      </c>
      <c r="EM21" s="263"/>
      <c r="EN21" s="263"/>
      <c r="EO21" s="50"/>
      <c r="EP21" s="39"/>
      <c r="EQ21" s="57" t="s">
        <v>28</v>
      </c>
      <c r="ER21" s="3"/>
      <c r="ES21" s="33" t="s">
        <v>29</v>
      </c>
      <c r="ET21" s="58"/>
      <c r="EV21" s="67"/>
      <c r="EW21" s="31" t="s">
        <v>30</v>
      </c>
      <c r="EX21" s="31"/>
      <c r="EY21" s="68"/>
      <c r="FA21" s="343" t="s">
        <v>225</v>
      </c>
      <c r="FB21" s="334"/>
      <c r="FC21" s="344" t="s">
        <v>226</v>
      </c>
      <c r="FD21" s="415"/>
      <c r="FE21" s="344" t="s">
        <v>244</v>
      </c>
      <c r="FF21" s="429"/>
    </row>
    <row r="22" spans="2:164" ht="35" customHeight="1" thickBot="1" x14ac:dyDescent="0.25">
      <c r="B22" s="281"/>
      <c r="C22" s="90"/>
      <c r="D22" s="90"/>
      <c r="E22" s="148" t="s">
        <v>32</v>
      </c>
      <c r="F22" s="206"/>
      <c r="G22" s="206"/>
      <c r="H22" s="206"/>
      <c r="I22" s="149"/>
      <c r="J22" s="160" t="s">
        <v>33</v>
      </c>
      <c r="K22" s="256"/>
      <c r="L22" s="256"/>
      <c r="M22" s="256"/>
      <c r="N22" s="98"/>
      <c r="O22" s="195" t="s">
        <v>34</v>
      </c>
      <c r="P22" s="98"/>
      <c r="Q22" s="98"/>
      <c r="R22" s="98"/>
      <c r="S22" s="98"/>
      <c r="T22" s="148" t="s">
        <v>35</v>
      </c>
      <c r="U22" s="98"/>
      <c r="V22" s="98"/>
      <c r="W22" s="98"/>
      <c r="X22" s="151"/>
      <c r="Y22" s="150" t="s">
        <v>36</v>
      </c>
      <c r="Z22" s="98"/>
      <c r="AA22" s="98"/>
      <c r="AB22" s="98"/>
      <c r="AC22" s="151"/>
      <c r="AD22" s="244" t="s">
        <v>37</v>
      </c>
      <c r="AE22" s="98"/>
      <c r="AF22" s="98"/>
      <c r="AG22" s="98"/>
      <c r="AH22" s="151"/>
      <c r="AI22" s="150" t="s">
        <v>38</v>
      </c>
      <c r="AJ22" s="98"/>
      <c r="AK22" s="98"/>
      <c r="AL22" s="98"/>
      <c r="AM22" s="151"/>
      <c r="AN22" s="150" t="s">
        <v>39</v>
      </c>
      <c r="AO22" s="98"/>
      <c r="AP22" s="98"/>
      <c r="AQ22" s="98"/>
      <c r="AR22" s="151"/>
      <c r="AS22" s="150" t="s">
        <v>40</v>
      </c>
      <c r="AT22" s="98"/>
      <c r="AU22" s="98"/>
      <c r="AV22" s="98"/>
      <c r="AW22" s="151"/>
      <c r="AX22" s="150" t="s">
        <v>41</v>
      </c>
      <c r="AY22" s="98"/>
      <c r="AZ22" s="98"/>
      <c r="BA22" s="98"/>
      <c r="BB22" s="151"/>
      <c r="BC22" s="150" t="s">
        <v>42</v>
      </c>
      <c r="BD22" s="98"/>
      <c r="BE22" s="98"/>
      <c r="BF22" s="98"/>
      <c r="BG22" s="151"/>
      <c r="BH22" s="150" t="s">
        <v>215</v>
      </c>
      <c r="BI22" s="98"/>
      <c r="BJ22" s="98"/>
      <c r="BK22" s="98"/>
      <c r="BL22" s="98"/>
      <c r="BM22" s="96" t="s">
        <v>218</v>
      </c>
      <c r="BN22" s="98"/>
      <c r="BO22" s="98"/>
      <c r="BP22" s="98"/>
      <c r="BQ22" s="98"/>
      <c r="BR22" s="150" t="s">
        <v>219</v>
      </c>
      <c r="BS22" s="98"/>
      <c r="BT22" s="98"/>
      <c r="BU22" s="98"/>
      <c r="BV22" s="151"/>
      <c r="BW22" s="349" t="s">
        <v>223</v>
      </c>
      <c r="BX22" s="98"/>
      <c r="BY22" s="98"/>
      <c r="BZ22" s="98"/>
      <c r="CA22" s="151"/>
      <c r="CB22" s="150" t="s">
        <v>227</v>
      </c>
      <c r="CC22" s="98"/>
      <c r="CD22" s="98"/>
      <c r="CE22" s="98"/>
      <c r="CF22" s="151"/>
      <c r="CG22" s="150" t="s">
        <v>243</v>
      </c>
      <c r="CH22" s="98"/>
      <c r="CI22" s="98"/>
      <c r="CJ22" s="98"/>
      <c r="CK22" s="151"/>
      <c r="CL22" s="150" t="s">
        <v>246</v>
      </c>
      <c r="CM22" s="98"/>
      <c r="CN22" s="98"/>
      <c r="CO22" s="98"/>
      <c r="CP22" s="151"/>
      <c r="CQ22" s="195" t="s">
        <v>247</v>
      </c>
      <c r="CR22" s="98"/>
      <c r="CS22" s="98"/>
      <c r="CT22" s="98"/>
      <c r="CU22" s="151"/>
      <c r="CV22" s="349" t="s">
        <v>279</v>
      </c>
      <c r="CW22" s="98"/>
      <c r="CX22" s="98"/>
      <c r="CY22" s="98"/>
      <c r="CZ22" s="151"/>
      <c r="DA22" s="150" t="s">
        <v>250</v>
      </c>
      <c r="DB22" s="98"/>
      <c r="DC22" s="98"/>
      <c r="DD22" s="98"/>
      <c r="DE22" s="151"/>
      <c r="DF22" s="150" t="s">
        <v>253</v>
      </c>
      <c r="DG22" s="98"/>
      <c r="DH22" s="98"/>
      <c r="DI22" s="98"/>
      <c r="DJ22" s="151"/>
      <c r="DK22" s="195" t="s">
        <v>260</v>
      </c>
      <c r="DL22" s="98"/>
      <c r="DM22" s="98"/>
      <c r="DN22" s="98"/>
      <c r="DO22" s="151"/>
      <c r="DP22" s="195" t="s">
        <v>261</v>
      </c>
      <c r="DQ22" s="98"/>
      <c r="DR22" s="98"/>
      <c r="DS22" s="98"/>
      <c r="DT22" s="151"/>
      <c r="DU22" s="150" t="s">
        <v>262</v>
      </c>
      <c r="DV22" s="98"/>
      <c r="DW22" s="98"/>
      <c r="DX22" s="98"/>
      <c r="DY22" s="151"/>
      <c r="DZ22" s="150" t="s">
        <v>117</v>
      </c>
      <c r="EA22" s="98"/>
      <c r="EB22" s="98"/>
      <c r="EC22" s="98"/>
      <c r="ED22" s="98"/>
      <c r="EE22" s="150" t="s">
        <v>268</v>
      </c>
      <c r="EF22" s="98"/>
      <c r="EG22" s="98"/>
      <c r="EH22" s="98"/>
      <c r="EI22" s="98"/>
      <c r="EJ22" s="51" t="s">
        <v>43</v>
      </c>
      <c r="EK22" s="265" t="s">
        <v>256</v>
      </c>
      <c r="EL22" s="265" t="s">
        <v>44</v>
      </c>
      <c r="EM22" s="265" t="s">
        <v>45</v>
      </c>
      <c r="EN22" s="265" t="s">
        <v>257</v>
      </c>
      <c r="EO22" s="449" t="s">
        <v>258</v>
      </c>
      <c r="EP22" s="52"/>
      <c r="EQ22" s="45" t="s">
        <v>43</v>
      </c>
      <c r="ER22" s="20" t="s">
        <v>44</v>
      </c>
      <c r="ES22" s="34" t="s">
        <v>43</v>
      </c>
      <c r="ET22" s="59" t="s">
        <v>44</v>
      </c>
      <c r="EU22" s="38"/>
      <c r="EV22" s="69" t="s">
        <v>46</v>
      </c>
      <c r="EW22" s="32" t="s">
        <v>47</v>
      </c>
      <c r="EX22" s="32" t="s">
        <v>48</v>
      </c>
      <c r="EY22" s="70" t="s">
        <v>49</v>
      </c>
      <c r="EZ22" s="52"/>
      <c r="FA22" s="51" t="s">
        <v>178</v>
      </c>
      <c r="FB22" s="449" t="s">
        <v>45</v>
      </c>
      <c r="FC22" s="450" t="s">
        <v>50</v>
      </c>
      <c r="FD22" s="451" t="s">
        <v>51</v>
      </c>
      <c r="FE22" s="430" t="s">
        <v>50</v>
      </c>
      <c r="FF22" s="431" t="s">
        <v>51</v>
      </c>
      <c r="FG22" s="15"/>
      <c r="FH22" s="36" t="s">
        <v>52</v>
      </c>
    </row>
    <row r="23" spans="2:164" ht="20" customHeight="1" thickBot="1" x14ac:dyDescent="0.25">
      <c r="B23" s="282" t="s">
        <v>53</v>
      </c>
      <c r="C23" s="90"/>
      <c r="D23" s="90"/>
      <c r="E23" s="150">
        <v>2.2000000000000002</v>
      </c>
      <c r="F23" s="98"/>
      <c r="G23" s="98"/>
      <c r="H23" s="98"/>
      <c r="I23" s="151"/>
      <c r="J23" s="150">
        <v>2.6</v>
      </c>
      <c r="K23" s="162"/>
      <c r="L23" s="162"/>
      <c r="M23" s="98"/>
      <c r="N23" s="98"/>
      <c r="O23" s="150">
        <v>2.8</v>
      </c>
      <c r="P23" s="98"/>
      <c r="Q23" s="98"/>
      <c r="R23" s="98"/>
      <c r="S23" s="98"/>
      <c r="T23" s="165">
        <v>2.2000000000000002</v>
      </c>
      <c r="U23" s="142"/>
      <c r="V23" s="98"/>
      <c r="W23" s="98"/>
      <c r="X23" s="151"/>
      <c r="Y23" s="165">
        <v>2.4</v>
      </c>
      <c r="Z23" s="97"/>
      <c r="AA23" s="209"/>
      <c r="AB23" s="209"/>
      <c r="AC23" s="171"/>
      <c r="AD23" s="165">
        <v>2.5</v>
      </c>
      <c r="AE23" s="97"/>
      <c r="AF23" s="209"/>
      <c r="AG23" s="209"/>
      <c r="AH23" s="171"/>
      <c r="AI23" s="165">
        <v>1.8</v>
      </c>
      <c r="AJ23" s="97"/>
      <c r="AK23" s="209"/>
      <c r="AL23" s="209"/>
      <c r="AM23" s="171"/>
      <c r="AN23" s="165">
        <v>1.7</v>
      </c>
      <c r="AO23" s="97"/>
      <c r="AP23" s="209"/>
      <c r="AQ23" s="209"/>
      <c r="AR23" s="171"/>
      <c r="AS23" s="165">
        <v>2.2999999999999998</v>
      </c>
      <c r="AT23" s="97"/>
      <c r="AU23" s="209"/>
      <c r="AV23" s="209"/>
      <c r="AW23" s="171"/>
      <c r="AX23" s="165">
        <v>1.5</v>
      </c>
      <c r="AY23" s="97"/>
      <c r="AZ23" s="209"/>
      <c r="BA23" s="209"/>
      <c r="BB23" s="171"/>
      <c r="BC23" s="165">
        <v>1.1000000000000001</v>
      </c>
      <c r="BD23" s="262"/>
      <c r="BE23" s="262"/>
      <c r="BF23" s="98"/>
      <c r="BG23" s="151"/>
      <c r="BH23" s="150">
        <v>1.7</v>
      </c>
      <c r="BI23" s="262"/>
      <c r="BJ23" s="262"/>
      <c r="BK23" s="98"/>
      <c r="BL23" s="98"/>
      <c r="BM23" s="96">
        <v>1.8</v>
      </c>
      <c r="BN23" s="262"/>
      <c r="BO23" s="262"/>
      <c r="BP23" s="98"/>
      <c r="BQ23" s="98"/>
      <c r="BR23" s="150">
        <v>1.9</v>
      </c>
      <c r="BS23" s="262"/>
      <c r="BT23" s="262"/>
      <c r="BU23" s="98"/>
      <c r="BV23" s="151"/>
      <c r="BW23" s="150">
        <v>1.5</v>
      </c>
      <c r="BX23" s="262"/>
      <c r="BY23" s="262"/>
      <c r="BZ23" s="98"/>
      <c r="CA23" s="151"/>
      <c r="CB23" s="150">
        <v>1.8</v>
      </c>
      <c r="CC23" s="262"/>
      <c r="CD23" s="262"/>
      <c r="CE23" s="98"/>
      <c r="CF23" s="151"/>
      <c r="CG23" s="150">
        <v>1.7</v>
      </c>
      <c r="CH23" s="262"/>
      <c r="CI23" s="262"/>
      <c r="CJ23" s="98"/>
      <c r="CK23" s="151"/>
      <c r="CL23" s="150">
        <v>1.6</v>
      </c>
      <c r="CM23" s="262"/>
      <c r="CN23" s="262"/>
      <c r="CO23" s="98"/>
      <c r="CP23" s="151"/>
      <c r="CQ23" s="150">
        <v>1.6</v>
      </c>
      <c r="CR23" s="262"/>
      <c r="CS23" s="262"/>
      <c r="CT23" s="98"/>
      <c r="CU23" s="151"/>
      <c r="CV23" s="150">
        <v>1.9</v>
      </c>
      <c r="CW23" s="262"/>
      <c r="CX23" s="262"/>
      <c r="CY23" s="98"/>
      <c r="CZ23" s="151"/>
      <c r="DA23" s="150">
        <v>1.8</v>
      </c>
      <c r="DB23" s="262"/>
      <c r="DC23" s="262"/>
      <c r="DD23" s="98"/>
      <c r="DE23" s="151"/>
      <c r="DF23" s="150">
        <v>1.7</v>
      </c>
      <c r="DG23" s="262"/>
      <c r="DH23" s="262"/>
      <c r="DI23" s="98"/>
      <c r="DJ23" s="151"/>
      <c r="DK23" s="150">
        <v>1.8</v>
      </c>
      <c r="DL23" s="262"/>
      <c r="DM23" s="262"/>
      <c r="DN23" s="98"/>
      <c r="DO23" s="151"/>
      <c r="DP23" s="150">
        <v>1.4</v>
      </c>
      <c r="DQ23" s="262"/>
      <c r="DR23" s="262"/>
      <c r="DS23" s="98"/>
      <c r="DT23" s="151"/>
      <c r="DU23" s="150">
        <v>1.7</v>
      </c>
      <c r="DV23" s="262"/>
      <c r="DW23" s="262"/>
      <c r="DX23" s="98"/>
      <c r="DY23" s="151"/>
      <c r="DZ23" s="150">
        <v>1.7</v>
      </c>
      <c r="EA23" s="262"/>
      <c r="EB23" s="262"/>
      <c r="EC23" s="98"/>
      <c r="ED23" s="98"/>
      <c r="EE23" s="150">
        <v>1.9</v>
      </c>
      <c r="EF23" s="262"/>
      <c r="EG23" s="262"/>
      <c r="EH23" s="98"/>
      <c r="EI23" s="98"/>
      <c r="EJ23" s="51"/>
      <c r="EK23" s="265"/>
      <c r="EL23" s="265"/>
      <c r="EM23" s="265"/>
      <c r="EN23" s="265"/>
      <c r="EO23" s="474"/>
      <c r="EP23" s="52"/>
      <c r="EQ23" s="45"/>
      <c r="ER23" s="20"/>
      <c r="ES23" s="34"/>
      <c r="ET23" s="59"/>
      <c r="EU23" s="38"/>
      <c r="EV23" s="69"/>
      <c r="EW23" s="32"/>
      <c r="EX23" s="32"/>
      <c r="EY23" s="70"/>
      <c r="EZ23" s="52"/>
      <c r="FA23" s="335"/>
      <c r="FB23" s="268"/>
      <c r="FC23" s="331"/>
      <c r="FD23" s="417"/>
      <c r="FE23" s="425"/>
      <c r="FF23" s="426"/>
      <c r="FG23" s="15"/>
      <c r="FH23" s="36"/>
    </row>
    <row r="24" spans="2:164" ht="31" customHeight="1" thickBot="1" x14ac:dyDescent="0.25">
      <c r="B24" s="282" t="s">
        <v>54</v>
      </c>
      <c r="C24" s="91"/>
      <c r="D24" s="90"/>
      <c r="E24" s="150"/>
      <c r="F24" s="151">
        <v>2.5</v>
      </c>
      <c r="G24" s="151" t="s">
        <v>55</v>
      </c>
      <c r="H24" s="151" t="s">
        <v>241</v>
      </c>
      <c r="I24" s="151" t="s">
        <v>56</v>
      </c>
      <c r="J24" s="98"/>
      <c r="K24" s="142">
        <v>3.2</v>
      </c>
      <c r="L24" s="151" t="s">
        <v>55</v>
      </c>
      <c r="M24" s="151" t="s">
        <v>241</v>
      </c>
      <c r="N24" s="151" t="s">
        <v>56</v>
      </c>
      <c r="O24" s="150"/>
      <c r="P24" s="98"/>
      <c r="Q24" s="151" t="s">
        <v>55</v>
      </c>
      <c r="R24" s="151" t="s">
        <v>241</v>
      </c>
      <c r="S24" s="151" t="s">
        <v>56</v>
      </c>
      <c r="T24" s="165"/>
      <c r="U24" s="142"/>
      <c r="V24" s="151" t="s">
        <v>55</v>
      </c>
      <c r="W24" s="151" t="s">
        <v>241</v>
      </c>
      <c r="X24" s="151" t="s">
        <v>56</v>
      </c>
      <c r="Y24" s="165"/>
      <c r="Z24" s="97">
        <v>2.8</v>
      </c>
      <c r="AA24" s="151" t="s">
        <v>55</v>
      </c>
      <c r="AB24" s="151" t="s">
        <v>241</v>
      </c>
      <c r="AC24" s="151" t="s">
        <v>56</v>
      </c>
      <c r="AD24" s="165"/>
      <c r="AE24" s="97">
        <v>2.9</v>
      </c>
      <c r="AF24" s="151" t="s">
        <v>55</v>
      </c>
      <c r="AG24" s="151" t="s">
        <v>241</v>
      </c>
      <c r="AH24" s="151" t="s">
        <v>56</v>
      </c>
      <c r="AI24" s="165"/>
      <c r="AJ24" s="97">
        <v>2.8</v>
      </c>
      <c r="AK24" s="151" t="s">
        <v>55</v>
      </c>
      <c r="AL24" s="151" t="s">
        <v>241</v>
      </c>
      <c r="AM24" s="151" t="s">
        <v>56</v>
      </c>
      <c r="AN24" s="165"/>
      <c r="AO24" s="97">
        <v>2.6</v>
      </c>
      <c r="AP24" s="151" t="s">
        <v>55</v>
      </c>
      <c r="AQ24" s="151" t="s">
        <v>241</v>
      </c>
      <c r="AR24" s="151" t="s">
        <v>56</v>
      </c>
      <c r="AS24" s="165"/>
      <c r="AT24" s="97">
        <v>2.9</v>
      </c>
      <c r="AU24" s="151" t="s">
        <v>55</v>
      </c>
      <c r="AV24" s="151" t="s">
        <v>241</v>
      </c>
      <c r="AW24" s="151" t="s">
        <v>56</v>
      </c>
      <c r="AX24" s="165"/>
      <c r="AY24" s="97">
        <v>2.6</v>
      </c>
      <c r="AZ24" s="151" t="s">
        <v>55</v>
      </c>
      <c r="BA24" s="151" t="s">
        <v>241</v>
      </c>
      <c r="BB24" s="151" t="s">
        <v>56</v>
      </c>
      <c r="BC24" s="165"/>
      <c r="BD24" s="97">
        <v>2.2000000000000002</v>
      </c>
      <c r="BE24" s="97" t="s">
        <v>55</v>
      </c>
      <c r="BF24" s="151" t="s">
        <v>241</v>
      </c>
      <c r="BG24" s="151" t="s">
        <v>56</v>
      </c>
      <c r="BH24" s="150"/>
      <c r="BI24" s="97">
        <v>2.7</v>
      </c>
      <c r="BJ24" s="97" t="s">
        <v>55</v>
      </c>
      <c r="BK24" s="151" t="s">
        <v>241</v>
      </c>
      <c r="BL24" s="151" t="s">
        <v>56</v>
      </c>
      <c r="BM24" s="184"/>
      <c r="BN24" s="271">
        <v>2.4</v>
      </c>
      <c r="BO24" s="97" t="s">
        <v>55</v>
      </c>
      <c r="BP24" s="151" t="s">
        <v>241</v>
      </c>
      <c r="BQ24" s="151" t="s">
        <v>56</v>
      </c>
      <c r="BR24" s="180"/>
      <c r="BS24" s="271">
        <v>2.7</v>
      </c>
      <c r="BT24" s="97" t="s">
        <v>55</v>
      </c>
      <c r="BU24" s="151" t="s">
        <v>241</v>
      </c>
      <c r="BV24" s="151" t="s">
        <v>56</v>
      </c>
      <c r="BW24" s="180"/>
      <c r="BX24" s="271">
        <v>2.4</v>
      </c>
      <c r="BY24" s="97" t="s">
        <v>55</v>
      </c>
      <c r="BZ24" s="151" t="s">
        <v>241</v>
      </c>
      <c r="CA24" s="151" t="s">
        <v>56</v>
      </c>
      <c r="CB24" s="180"/>
      <c r="CC24" s="271">
        <v>2.6</v>
      </c>
      <c r="CD24" s="97" t="s">
        <v>55</v>
      </c>
      <c r="CE24" s="151" t="s">
        <v>241</v>
      </c>
      <c r="CF24" s="151" t="s">
        <v>56</v>
      </c>
      <c r="CG24" s="180"/>
      <c r="CH24" s="271">
        <v>2.6</v>
      </c>
      <c r="CI24" s="97" t="s">
        <v>55</v>
      </c>
      <c r="CJ24" s="151" t="s">
        <v>241</v>
      </c>
      <c r="CK24" s="151" t="s">
        <v>56</v>
      </c>
      <c r="CL24" s="180"/>
      <c r="CM24" s="271">
        <v>2.4</v>
      </c>
      <c r="CN24" s="97" t="s">
        <v>55</v>
      </c>
      <c r="CO24" s="151" t="s">
        <v>241</v>
      </c>
      <c r="CP24" s="151" t="s">
        <v>56</v>
      </c>
      <c r="CQ24" s="180"/>
      <c r="CR24" s="271">
        <v>2.5</v>
      </c>
      <c r="CS24" s="97" t="s">
        <v>55</v>
      </c>
      <c r="CT24" s="151" t="s">
        <v>241</v>
      </c>
      <c r="CU24" s="151" t="s">
        <v>56</v>
      </c>
      <c r="CV24" s="180"/>
      <c r="CW24" s="271">
        <v>3.2</v>
      </c>
      <c r="CX24" s="97" t="s">
        <v>55</v>
      </c>
      <c r="CY24" s="151" t="s">
        <v>241</v>
      </c>
      <c r="CZ24" s="151" t="s">
        <v>56</v>
      </c>
      <c r="DA24" s="180"/>
      <c r="DB24" s="271">
        <v>2.8</v>
      </c>
      <c r="DC24" s="97" t="s">
        <v>55</v>
      </c>
      <c r="DD24" s="151" t="s">
        <v>241</v>
      </c>
      <c r="DE24" s="151" t="s">
        <v>56</v>
      </c>
      <c r="DF24" s="180"/>
      <c r="DG24" s="271">
        <v>2.5</v>
      </c>
      <c r="DH24" s="97" t="s">
        <v>55</v>
      </c>
      <c r="DI24" s="151" t="s">
        <v>241</v>
      </c>
      <c r="DJ24" s="151" t="s">
        <v>56</v>
      </c>
      <c r="DK24" s="180"/>
      <c r="DL24" s="271">
        <v>3.2</v>
      </c>
      <c r="DM24" s="97" t="s">
        <v>55</v>
      </c>
      <c r="DN24" s="151" t="s">
        <v>241</v>
      </c>
      <c r="DO24" s="151" t="s">
        <v>56</v>
      </c>
      <c r="DP24" s="180"/>
      <c r="DQ24" s="271">
        <v>2.7</v>
      </c>
      <c r="DR24" s="97" t="s">
        <v>55</v>
      </c>
      <c r="DS24" s="151" t="s">
        <v>241</v>
      </c>
      <c r="DT24" s="151" t="s">
        <v>56</v>
      </c>
      <c r="DU24" s="180"/>
      <c r="DV24" s="271">
        <v>2.5</v>
      </c>
      <c r="DW24" s="262" t="s">
        <v>55</v>
      </c>
      <c r="DX24" s="151" t="s">
        <v>241</v>
      </c>
      <c r="DY24" s="151" t="s">
        <v>56</v>
      </c>
      <c r="DZ24" s="180"/>
      <c r="EA24" s="271">
        <v>2.5</v>
      </c>
      <c r="EB24" s="97" t="s">
        <v>55</v>
      </c>
      <c r="EC24" s="151" t="s">
        <v>241</v>
      </c>
      <c r="ED24" s="151" t="s">
        <v>56</v>
      </c>
      <c r="EE24" s="180"/>
      <c r="EF24" s="271">
        <v>2.7</v>
      </c>
      <c r="EG24" s="97" t="s">
        <v>55</v>
      </c>
      <c r="EH24" s="151" t="s">
        <v>241</v>
      </c>
      <c r="EI24" s="151" t="s">
        <v>56</v>
      </c>
      <c r="EJ24" s="51"/>
      <c r="EK24" s="265"/>
      <c r="EL24" s="265"/>
      <c r="EM24" s="272"/>
      <c r="EN24" s="272"/>
      <c r="EO24" s="274"/>
      <c r="EP24" s="52"/>
      <c r="EQ24" s="45"/>
      <c r="ER24" s="20"/>
      <c r="ES24" s="34"/>
      <c r="ET24" s="59"/>
      <c r="EU24" s="38"/>
      <c r="EV24" s="69"/>
      <c r="EW24" s="32"/>
      <c r="EX24" s="32"/>
      <c r="EY24" s="70"/>
      <c r="EZ24" s="52"/>
      <c r="FA24" s="335"/>
      <c r="FB24" s="268"/>
      <c r="FC24" s="331"/>
      <c r="FD24" s="418"/>
      <c r="FE24" s="423"/>
      <c r="FF24" s="424"/>
      <c r="FG24" s="15"/>
      <c r="FH24" s="36"/>
    </row>
    <row r="25" spans="2:164" ht="20" customHeight="1" thickBot="1" x14ac:dyDescent="0.25">
      <c r="B25" s="283" t="s">
        <v>57</v>
      </c>
      <c r="C25" s="40" t="s">
        <v>58</v>
      </c>
      <c r="D25" s="138" t="s">
        <v>59</v>
      </c>
      <c r="E25" s="152"/>
      <c r="F25" s="153"/>
      <c r="G25" s="153"/>
      <c r="H25" s="153"/>
      <c r="I25" s="153"/>
      <c r="J25" s="83"/>
      <c r="K25" s="143"/>
      <c r="L25" s="83"/>
      <c r="M25" s="83"/>
      <c r="N25" s="83"/>
      <c r="O25" s="152"/>
      <c r="P25" s="83"/>
      <c r="Q25" s="83"/>
      <c r="R25" s="83"/>
      <c r="S25" s="83"/>
      <c r="T25" s="166"/>
      <c r="U25" s="143"/>
      <c r="V25" s="83"/>
      <c r="W25" s="83"/>
      <c r="X25" s="153"/>
      <c r="Y25" s="166"/>
      <c r="Z25" s="41"/>
      <c r="AA25" s="210"/>
      <c r="AB25" s="210"/>
      <c r="AC25" s="172"/>
      <c r="AD25" s="166"/>
      <c r="AE25" s="41"/>
      <c r="AF25" s="210"/>
      <c r="AG25" s="210"/>
      <c r="AH25" s="172"/>
      <c r="AI25" s="166"/>
      <c r="AJ25" s="41"/>
      <c r="AK25" s="210"/>
      <c r="AL25" s="210"/>
      <c r="AM25" s="172"/>
      <c r="AN25" s="166"/>
      <c r="AO25" s="41"/>
      <c r="AP25" s="210"/>
      <c r="AQ25" s="210"/>
      <c r="AR25" s="172"/>
      <c r="AS25" s="166"/>
      <c r="AT25" s="41"/>
      <c r="AU25" s="210"/>
      <c r="AV25" s="210"/>
      <c r="AW25" s="172"/>
      <c r="AX25" s="166"/>
      <c r="AY25" s="41"/>
      <c r="AZ25" s="210"/>
      <c r="BA25" s="210"/>
      <c r="BB25" s="172"/>
      <c r="BC25" s="166"/>
      <c r="BD25" s="41"/>
      <c r="BE25" s="41"/>
      <c r="BF25" s="83"/>
      <c r="BG25" s="153"/>
      <c r="BH25" s="152"/>
      <c r="BI25" s="41"/>
      <c r="BJ25" s="41"/>
      <c r="BK25" s="83"/>
      <c r="BL25" s="83"/>
      <c r="BM25" s="45"/>
      <c r="BN25" s="41"/>
      <c r="BO25" s="41"/>
      <c r="BP25" s="83"/>
      <c r="BQ25" s="83"/>
      <c r="BR25" s="152"/>
      <c r="BS25" s="41"/>
      <c r="BT25" s="41"/>
      <c r="BU25" s="83"/>
      <c r="BV25" s="153"/>
      <c r="BW25" s="152"/>
      <c r="BX25" s="41"/>
      <c r="BY25" s="41"/>
      <c r="BZ25" s="83"/>
      <c r="CA25" s="153"/>
      <c r="CB25" s="152"/>
      <c r="CC25" s="41"/>
      <c r="CD25" s="41"/>
      <c r="CE25" s="83"/>
      <c r="CF25" s="153"/>
      <c r="CG25" s="152"/>
      <c r="CH25" s="41"/>
      <c r="CI25" s="41"/>
      <c r="CJ25" s="83"/>
      <c r="CK25" s="153"/>
      <c r="CL25" s="152"/>
      <c r="CM25" s="41"/>
      <c r="CN25" s="41"/>
      <c r="CO25" s="83"/>
      <c r="CP25" s="153"/>
      <c r="CQ25" s="152"/>
      <c r="CR25" s="41"/>
      <c r="CS25" s="41"/>
      <c r="CT25" s="83"/>
      <c r="CU25" s="153"/>
      <c r="CV25" s="152"/>
      <c r="CW25" s="41"/>
      <c r="CX25" s="41"/>
      <c r="CY25" s="83"/>
      <c r="CZ25" s="153"/>
      <c r="DA25" s="152"/>
      <c r="DB25" s="41"/>
      <c r="DC25" s="41"/>
      <c r="DD25" s="83"/>
      <c r="DE25" s="153"/>
      <c r="DF25" s="152"/>
      <c r="DG25" s="41"/>
      <c r="DH25" s="41"/>
      <c r="DI25" s="83"/>
      <c r="DJ25" s="153"/>
      <c r="DK25" s="152"/>
      <c r="DL25" s="41"/>
      <c r="DM25" s="41"/>
      <c r="DN25" s="83"/>
      <c r="DO25" s="153"/>
      <c r="DP25" s="152"/>
      <c r="DQ25" s="41"/>
      <c r="DR25" s="41"/>
      <c r="DS25" s="83"/>
      <c r="DT25" s="153"/>
      <c r="DU25" s="152"/>
      <c r="DV25" s="41"/>
      <c r="DW25" s="41"/>
      <c r="DX25" s="83"/>
      <c r="DY25" s="153"/>
      <c r="DZ25" s="152"/>
      <c r="EA25" s="41"/>
      <c r="EB25" s="41"/>
      <c r="EC25" s="83"/>
      <c r="ED25" s="83"/>
      <c r="EE25" s="152"/>
      <c r="EF25" s="41"/>
      <c r="EG25" s="41"/>
      <c r="EH25" s="83"/>
      <c r="EI25" s="83"/>
      <c r="EJ25" s="51"/>
      <c r="EK25" s="265"/>
      <c r="EL25" s="265"/>
      <c r="EM25" s="272"/>
      <c r="EN25" s="272"/>
      <c r="EO25" s="274"/>
      <c r="EP25" s="52"/>
      <c r="EQ25" s="45"/>
      <c r="ER25" s="20"/>
      <c r="ES25" s="34"/>
      <c r="ET25" s="59"/>
      <c r="EU25" s="38"/>
      <c r="EV25" s="69"/>
      <c r="EW25" s="32"/>
      <c r="EX25" s="32"/>
      <c r="EY25" s="70"/>
      <c r="EZ25" s="52"/>
      <c r="FA25" s="335"/>
      <c r="FB25" s="268"/>
      <c r="FC25" s="331"/>
      <c r="FD25" s="418"/>
      <c r="FE25" s="423"/>
      <c r="FF25" s="424"/>
      <c r="FG25" s="15"/>
      <c r="FH25" s="36"/>
    </row>
    <row r="26" spans="2:164" ht="19.5" thickBot="1" x14ac:dyDescent="0.25">
      <c r="B26" s="258"/>
      <c r="C26" s="284"/>
      <c r="D26" s="139"/>
      <c r="E26" s="154"/>
      <c r="F26" s="155"/>
      <c r="G26" s="155"/>
      <c r="H26" s="155"/>
      <c r="I26" s="155"/>
      <c r="J26" s="140"/>
      <c r="K26" s="254"/>
      <c r="L26" s="255"/>
      <c r="M26" s="255"/>
      <c r="N26" s="140"/>
      <c r="O26" s="154"/>
      <c r="P26" s="140"/>
      <c r="Q26" s="140"/>
      <c r="R26" s="140"/>
      <c r="S26" s="140"/>
      <c r="T26" s="167"/>
      <c r="U26" s="144"/>
      <c r="V26" s="140"/>
      <c r="W26" s="140"/>
      <c r="X26" s="155"/>
      <c r="Y26" s="173"/>
      <c r="Z26" s="42"/>
      <c r="AA26" s="211"/>
      <c r="AB26" s="211"/>
      <c r="AC26" s="174"/>
      <c r="AD26" s="173"/>
      <c r="AE26" s="42"/>
      <c r="AF26" s="211"/>
      <c r="AG26" s="211"/>
      <c r="AH26" s="174"/>
      <c r="AI26" s="173"/>
      <c r="AJ26" s="42"/>
      <c r="AK26" s="211"/>
      <c r="AL26" s="211"/>
      <c r="AM26" s="174"/>
      <c r="AN26" s="173"/>
      <c r="AO26" s="42"/>
      <c r="AP26" s="211"/>
      <c r="AQ26" s="211"/>
      <c r="AR26" s="174"/>
      <c r="AS26" s="173"/>
      <c r="AT26" s="42"/>
      <c r="AU26" s="211"/>
      <c r="AV26" s="211"/>
      <c r="AW26" s="174"/>
      <c r="AX26" s="173"/>
      <c r="AY26" s="42"/>
      <c r="AZ26" s="211"/>
      <c r="BA26" s="211"/>
      <c r="BB26" s="174"/>
      <c r="BC26" s="173"/>
      <c r="BD26" s="42"/>
      <c r="BE26" s="42"/>
      <c r="BF26" s="84"/>
      <c r="BG26" s="179"/>
      <c r="BH26" s="181"/>
      <c r="BI26" s="42"/>
      <c r="BJ26" s="42"/>
      <c r="BK26" s="84"/>
      <c r="BL26" s="84"/>
      <c r="BM26" s="185"/>
      <c r="BN26" s="42"/>
      <c r="BO26" s="42"/>
      <c r="BP26" s="84"/>
      <c r="BQ26" s="84"/>
      <c r="BR26" s="181"/>
      <c r="BS26" s="42"/>
      <c r="BT26" s="42"/>
      <c r="BU26" s="84"/>
      <c r="BV26" s="179"/>
      <c r="BW26" s="181"/>
      <c r="BX26" s="42"/>
      <c r="BY26" s="42"/>
      <c r="BZ26" s="84"/>
      <c r="CA26" s="179"/>
      <c r="CB26" s="181"/>
      <c r="CC26" s="42"/>
      <c r="CD26" s="42"/>
      <c r="CE26" s="84"/>
      <c r="CF26" s="179"/>
      <c r="CG26" s="181"/>
      <c r="CH26" s="42"/>
      <c r="CI26" s="42"/>
      <c r="CJ26" s="84"/>
      <c r="CK26" s="179"/>
      <c r="CL26" s="181"/>
      <c r="CM26" s="42"/>
      <c r="CN26" s="42"/>
      <c r="CO26" s="84"/>
      <c r="CP26" s="179"/>
      <c r="CQ26" s="181"/>
      <c r="CR26" s="42"/>
      <c r="CS26" s="42"/>
      <c r="CT26" s="84"/>
      <c r="CU26" s="179"/>
      <c r="CV26" s="181"/>
      <c r="CW26" s="42"/>
      <c r="CX26" s="42"/>
      <c r="CY26" s="84"/>
      <c r="CZ26" s="179"/>
      <c r="DA26" s="181"/>
      <c r="DB26" s="42"/>
      <c r="DC26" s="42"/>
      <c r="DD26" s="84"/>
      <c r="DE26" s="179"/>
      <c r="DF26" s="181"/>
      <c r="DG26" s="42"/>
      <c r="DH26" s="42"/>
      <c r="DI26" s="84"/>
      <c r="DJ26" s="179"/>
      <c r="DK26" s="181"/>
      <c r="DL26" s="42"/>
      <c r="DM26" s="42"/>
      <c r="DN26" s="84"/>
      <c r="DO26" s="179"/>
      <c r="DP26" s="181"/>
      <c r="DQ26" s="42"/>
      <c r="DR26" s="42"/>
      <c r="DS26" s="84"/>
      <c r="DT26" s="179"/>
      <c r="DU26" s="181"/>
      <c r="DV26" s="42"/>
      <c r="DW26" s="42"/>
      <c r="DX26" s="84"/>
      <c r="DY26" s="179"/>
      <c r="DZ26" s="181"/>
      <c r="EA26" s="42"/>
      <c r="EB26" s="42"/>
      <c r="EC26" s="84"/>
      <c r="ED26" s="84"/>
      <c r="EE26" s="181"/>
      <c r="EF26" s="42"/>
      <c r="EG26" s="42"/>
      <c r="EH26" s="84"/>
      <c r="EI26" s="84"/>
      <c r="EJ26" s="496"/>
      <c r="EK26" s="266"/>
      <c r="EL26" s="266"/>
      <c r="EM26" s="275"/>
      <c r="EN26" s="518"/>
      <c r="EO26" s="519"/>
      <c r="EP26" s="39"/>
      <c r="EQ26" s="46"/>
      <c r="ER26" s="29"/>
      <c r="ES26" s="35"/>
      <c r="ET26" s="60"/>
      <c r="EU26" s="15"/>
      <c r="EV26" s="71"/>
      <c r="EW26" s="30"/>
      <c r="EX26" s="30"/>
      <c r="EY26" s="72"/>
      <c r="EZ26" s="15"/>
      <c r="FA26" s="341"/>
      <c r="FB26" s="342"/>
      <c r="FC26" s="332"/>
      <c r="FD26" s="332"/>
      <c r="FE26" s="427"/>
      <c r="FF26" s="428"/>
      <c r="FG26" s="27"/>
      <c r="FH26" s="82"/>
    </row>
    <row r="27" spans="2:164" ht="17" customHeight="1" thickBot="1" x14ac:dyDescent="0.25">
      <c r="B27" s="258" t="s">
        <v>136</v>
      </c>
      <c r="C27" s="259" t="s">
        <v>137</v>
      </c>
      <c r="D27" s="299">
        <v>527353</v>
      </c>
      <c r="E27" s="300"/>
      <c r="F27" s="285">
        <v>5</v>
      </c>
      <c r="G27" s="306">
        <v>0.7857142857142857</v>
      </c>
      <c r="H27" s="306">
        <v>0.7857142857142857</v>
      </c>
      <c r="I27" s="285">
        <f t="shared" ref="I27:I52" si="0">SUM(E27:F27)+IF(E27="B",1,0)*E$102+IF(F27="B",1,0)*F$102+IF(E27="Løype",1)*$O$4+IF(F27="Løype",1)*$O$4+IF(E27="Arr",1)*$O$5+IF(F27="Arr",1)*$O$5</f>
        <v>5</v>
      </c>
      <c r="J27" s="301"/>
      <c r="K27" s="527">
        <v>3</v>
      </c>
      <c r="L27" s="529">
        <v>0.89583333333333337</v>
      </c>
      <c r="M27" s="253">
        <v>0.77083333333333337</v>
      </c>
      <c r="N27" s="285">
        <f t="shared" ref="N27:N52" si="1">SUM(J27:K27)+IF(J27="B",1,0)*J$102+IF(K27="B",1,0)*K$102+IF(J27="Løype",1)*$O$4+IF(K27="Løype",1)*$O$4+IF(J27="Arr",1)*$O$5+IF(K27="Arr",1)*$O$5</f>
        <v>3</v>
      </c>
      <c r="O27" s="260">
        <v>3</v>
      </c>
      <c r="P27" s="302"/>
      <c r="Q27" s="253">
        <v>0.89583333333333337</v>
      </c>
      <c r="R27" s="253">
        <v>0.72916666666666674</v>
      </c>
      <c r="S27" s="285">
        <f t="shared" ref="S27:S52" si="2">SUM(O27:P27)+IF(O27="B",1,0)*O$102+IF(P27="B",1,0)*P$102+IF(O27="Løype",1)*$O$4+IF(P27="Løype",1)*$O$4+IF(O27="Arr",1)*$O$5+IF(P27="Arr",1)*$O$5</f>
        <v>3</v>
      </c>
      <c r="T27" s="163" t="s">
        <v>62</v>
      </c>
      <c r="U27" s="302"/>
      <c r="V27" s="253">
        <v>0.97916666666666663</v>
      </c>
      <c r="W27" s="253">
        <v>0.97916666666666663</v>
      </c>
      <c r="X27" s="285">
        <f t="shared" ref="X27:X52" si="3">SUM(T27:U27)+IF(T27="B",1,0)*T$102+IF(U27="B",1,0)*U$102+IF(T27="Løype",1)*$O$4+IF(U27="Løype",1)*$O$4+IF(T27="Arr",1)*$O$5+IF(U27="Arr",1)*$O$5</f>
        <v>1</v>
      </c>
      <c r="Y27" s="303"/>
      <c r="Z27" s="287">
        <v>2</v>
      </c>
      <c r="AA27" s="253">
        <v>0.95161290322580649</v>
      </c>
      <c r="AB27" s="253">
        <v>0.95161290322580649</v>
      </c>
      <c r="AC27" s="285">
        <f t="shared" ref="AC27:AC52" si="4">SUM(Y27:Z27)+IF(Y27="B",1,0)*Y$102+IF(Z27="B",1,0)*Z$102+IF(Y27="Løype",1)*$O$4+IF(Z27="Løype",1)*$O$4+IF(Y27="Arr",1)*$O$5+IF(Z27="Arr",1)*$O$5</f>
        <v>2</v>
      </c>
      <c r="AD27" s="303"/>
      <c r="AE27" s="287">
        <v>4</v>
      </c>
      <c r="AF27" s="253">
        <v>0.83333333333333337</v>
      </c>
      <c r="AG27" s="253">
        <v>0.83333333333333337</v>
      </c>
      <c r="AH27" s="285">
        <f t="shared" ref="AH27:AH52" si="5">SUM(AD27:AE27)+IF(AD27="B",1,0)*AD$102+IF(AE27="B",1,0)*AE$102+IF(AD27="Løype",1)*$O$4+IF(AE27="Løype",1)*$O$4+IF(AD27="Arr",1)*$O$5+IF(AE27="Arr",1)*$O$5</f>
        <v>4</v>
      </c>
      <c r="AI27" s="163"/>
      <c r="AJ27" s="43" t="s">
        <v>62</v>
      </c>
      <c r="AK27" s="253">
        <v>0.97619047619047616</v>
      </c>
      <c r="AL27" s="253">
        <v>0.97619047619047616</v>
      </c>
      <c r="AM27" s="285">
        <f t="shared" ref="AM27:AM52" si="6">SUM(AI27:AJ27)+IF(AI27="B",1,0)*AI$102+IF(AJ27="B",1,0)*AJ$102+IF(AI27="Løype",1)*$O$4+IF(AJ27="Løype",1)*$O$4+IF(AI27="Arr",1)*$O$5+IF(AJ27="Arr",1)*$O$5</f>
        <v>1</v>
      </c>
      <c r="AN27" s="303"/>
      <c r="AO27" s="287">
        <v>6</v>
      </c>
      <c r="AP27" s="253">
        <v>0.77083333333333337</v>
      </c>
      <c r="AQ27" s="253">
        <v>0.64583333333333326</v>
      </c>
      <c r="AR27" s="285">
        <f t="shared" ref="AR27:AR52" si="7">SUM(AN27:AO27)+IF(AN27="B",1,0)*AN$102+IF(AO27="B",1,0)*AO$102+IF(AN27="Løype",1)*$O$4+IF(AO27="Løype",1)*$O$4+IF(AN27="Arr",1)*$O$5+IF(AO27="Arr",1)*$O$5</f>
        <v>6</v>
      </c>
      <c r="AS27" s="303"/>
      <c r="AT27" s="287">
        <v>2</v>
      </c>
      <c r="AU27" s="253">
        <v>0.93478260869565222</v>
      </c>
      <c r="AV27" s="253">
        <v>0.84782608695652173</v>
      </c>
      <c r="AW27" s="285">
        <f t="shared" ref="AW27:AW52" si="8">SUM(AS27:AT27)+IF(AS27="B",1,0)*AS$102+IF(AT27="B",1,0)*AT$102+IF(AS27="Løype",1)*$O$4+IF(AT27="Løype",1)*$O$4+IF(AS27="Arr",1)*$O$5+IF(AT27="Arr",1)*$O$5</f>
        <v>2</v>
      </c>
      <c r="AX27" s="163"/>
      <c r="AY27" s="287">
        <v>4</v>
      </c>
      <c r="AZ27" s="253">
        <v>0.87037037037037035</v>
      </c>
      <c r="BA27" s="253">
        <v>0.79629629629629628</v>
      </c>
      <c r="BB27" s="285">
        <f t="shared" ref="BB27:BB52" si="9">SUM(AX27:AY27)+IF(AX27="B",1,0)*AX$102+IF(AY27="B",1,0)*AY$102+IF(AX27="Løype",1)*$O$4+IF(AY27="Løype",1)*$O$4+IF(AX27="Arr",1)*$O$5+IF(AY27="Arr",1)*$O$5</f>
        <v>4</v>
      </c>
      <c r="BC27" s="163"/>
      <c r="BD27" s="43" t="s">
        <v>62</v>
      </c>
      <c r="BE27" s="304">
        <v>0.98148148148148151</v>
      </c>
      <c r="BF27" s="253">
        <v>0.98148148148148151</v>
      </c>
      <c r="BG27" s="285">
        <f t="shared" ref="BG27:BG52" si="10">SUM(BC27:BD27)+IF(BC27="B",1,0)*BC$102+IF(BD27="B",1,0)*BD$102+IF(BC27="Løype",1)*$O$4+IF(BD27="Løype",1)*$O$4+IF(BC27="Arr",1)*$O$5+IF(BD27="Arr",1)*$O$5</f>
        <v>1</v>
      </c>
      <c r="BH27" s="156"/>
      <c r="BI27" s="43" t="s">
        <v>62</v>
      </c>
      <c r="BJ27" s="304">
        <v>0.96153846153846156</v>
      </c>
      <c r="BK27" s="253">
        <v>0.96153846153846156</v>
      </c>
      <c r="BL27" s="285">
        <f t="shared" ref="BL27:BL52" si="11">SUM(BH27:BI27)+IF(BH27="B",1,0)*BH$102+IF(BI27="B",1,0)*BI$102+IF(BH27="Løype",1)*$O$4+IF(BI27="Løype",1)*$O$4+IF(BH27="Arr",1)*$O$5+IF(BI27="Arr",1)*$O$5</f>
        <v>1</v>
      </c>
      <c r="BM27" s="313"/>
      <c r="BN27" s="257">
        <v>3</v>
      </c>
      <c r="BO27" s="506">
        <v>0.89583333333333337</v>
      </c>
      <c r="BP27" s="552">
        <v>0.64583333333333326</v>
      </c>
      <c r="BQ27" s="285">
        <f t="shared" ref="BQ27:BQ52" si="12">SUM(BM27:BN27)+IF(BM27="B",1,0)*BM$102+IF(BN27="B",1,0)*BN$102+IF(BM27="Løype",1)*$O$4+IF(BN27="Løype",1)*$O$4+IF(BM27="Arr",1)*$O$5+IF(BN27="Arr",1)*$O$5</f>
        <v>3</v>
      </c>
      <c r="BR27" s="298"/>
      <c r="BS27" s="257">
        <v>3</v>
      </c>
      <c r="BT27" s="304">
        <v>0.9</v>
      </c>
      <c r="BU27" s="253">
        <v>0.62</v>
      </c>
      <c r="BV27" s="285">
        <f t="shared" ref="BV27:BV52" si="13">SUM(BR27:BS27)+IF(BR27="B",1,0)*BR$102+IF(BS27="B",1,0)*BS$102+IF(BR27="Løype",1)*$O$4+IF(BS27="Løype",1)*$O$4+IF(BR27="Arr",1)*$O$5+IF(BS27="Arr",1)*$O$5</f>
        <v>3</v>
      </c>
      <c r="BW27" s="298"/>
      <c r="BX27" s="257">
        <v>8</v>
      </c>
      <c r="BY27" s="304">
        <v>0.75</v>
      </c>
      <c r="BZ27" s="253">
        <v>0.51666666666666661</v>
      </c>
      <c r="CA27" s="285">
        <f t="shared" ref="CA27:CA52" si="14">SUM(BW27:BX27)+IF(BW27="B",1,0)*BW$102+IF(BX27="B",1,0)*BX$102+IF(BW27="Løype",1)*$O$4+IF(BX27="Løype",1)*$O$4+IF(BW27="Arr",1)*$O$5+IF(BX27="Arr",1)*$O$5</f>
        <v>8</v>
      </c>
      <c r="CB27" s="298"/>
      <c r="CC27" s="257">
        <v>4</v>
      </c>
      <c r="CD27" s="304">
        <v>0.8833333333333333</v>
      </c>
      <c r="CE27" s="253">
        <v>0.85</v>
      </c>
      <c r="CF27" s="285">
        <f t="shared" ref="CF27:CF52" si="15">SUM(CB27:CC27)+IF(CB27="B",1,0)*CB$102+IF(CC27="B",1,0)*CC$102+IF(CB27="Løype",1)*$O$4+IF(CC27="Løype",1)*$O$4+IF(CB27="Arr",1)*$O$5+IF(CC27="Arr",1)*$O$5</f>
        <v>4</v>
      </c>
      <c r="CG27" s="182"/>
      <c r="CH27" s="81" t="s">
        <v>62</v>
      </c>
      <c r="CI27" s="304">
        <v>0.98333333333333328</v>
      </c>
      <c r="CJ27" s="251">
        <v>0.98333333333333328</v>
      </c>
      <c r="CK27" s="285">
        <f t="shared" ref="CK27:CK32" si="16">SUM(CG27:CH27)+IF(CG27="B",1,0)*CG$102+IF(CH27="B",1,0)*CH$102+IF(CG27="Løype",1)*$O$4+IF(CH27="Løype",1)*$O$4+IF(CG27="Arr",1)*$O$5+IF(CH27="Arr",1)*$O$5</f>
        <v>1</v>
      </c>
      <c r="CL27" s="298"/>
      <c r="CM27" s="257">
        <v>4</v>
      </c>
      <c r="CN27" s="304">
        <v>0.890625</v>
      </c>
      <c r="CO27" s="253">
        <v>0.859375</v>
      </c>
      <c r="CP27" s="285">
        <f t="shared" ref="CP27:CP52" si="17">SUM(CL27:CM27)+IF(CL27="B",1,0)*CL$102+IF(CM27="B",1,0)*CM$102+IF(CL27="Løype",1)*$O$4+IF(CM27="Løype",1)*$O$4+IF(CL27="Arr",1)*$O$5+IF(CM27="Arr",1)*$O$5</f>
        <v>4</v>
      </c>
      <c r="CQ27" s="182"/>
      <c r="CR27" s="456">
        <v>16</v>
      </c>
      <c r="CS27" s="457">
        <v>0.22499999999999998</v>
      </c>
      <c r="CT27" s="458">
        <v>7.4999999999999956E-2</v>
      </c>
      <c r="CU27" s="285">
        <f t="shared" ref="CU27:CU52" si="18">SUM(CQ27:CR27)+IF(CQ27="B",1,0)*CQ$102+IF(CR27="B",1,0)*CR$102+IF(CQ27="Løype",1)*$O$4+IF(CR27="Løype",1)*$O$4+IF(CQ27="Arr",1)*$O$5+IF(CR27="Arr",1)*$O$5</f>
        <v>16</v>
      </c>
      <c r="CV27" s="182"/>
      <c r="CW27" s="456">
        <v>20</v>
      </c>
      <c r="CX27" s="461">
        <v>0.40909090909090906</v>
      </c>
      <c r="CY27" s="463">
        <v>0.19696969696969702</v>
      </c>
      <c r="CZ27" s="285">
        <f t="shared" ref="CZ27:CZ73" si="19">SUM(CV27:CW27)+IF(CV27="B",1,0)*CV$102+IF(CW27="B",1,0)*CW$102+IF(CV27="Løype",1)*$O$4+IF(CW27="Løype",1)*$O$4+IF(CV27="Arr",1)*$O$5+IF(CW27="Arr",1)*$O$5</f>
        <v>20</v>
      </c>
      <c r="DA27" s="182"/>
      <c r="DB27" s="81" t="s">
        <v>62</v>
      </c>
      <c r="DC27" s="324">
        <v>0.97916666666666663</v>
      </c>
      <c r="DD27" s="329">
        <v>0.97916666666666663</v>
      </c>
      <c r="DE27" s="285">
        <f t="shared" ref="DE27:DE74" si="20">SUM(DA27:DB27)+IF(DA27="B",1,0)*DA$102+IF(DB27="B",1,0)*DB$102+IF(DA27="Løype",1)*$O$4+IF(DB27="Løype",1)*$O$4+IF(DA27="Arr",1)*$O$5+IF(DB27="Arr",1)*$O$5</f>
        <v>1</v>
      </c>
      <c r="DF27" s="182"/>
      <c r="DG27" s="510">
        <v>17</v>
      </c>
      <c r="DH27" s="563">
        <v>0.54166666666666674</v>
      </c>
      <c r="DI27" s="564">
        <v>0.29166666666666663</v>
      </c>
      <c r="DJ27" s="448">
        <f t="shared" ref="DJ27:DJ58" si="21">SUM(DF27:DG27)+IF(DF27="B",1,0)*DF$102+IF(DG27="B",1,0)*DG$102+IF(DF27="Løype",1)*$O$4+IF(DG27="Løype",1)*$O$4+IF(DF27="Arr",1)*$O$5+IF(DG27="Arr",1)*$O$5</f>
        <v>17</v>
      </c>
      <c r="DK27" s="555"/>
      <c r="DL27" s="554">
        <v>7</v>
      </c>
      <c r="DM27" s="506">
        <v>0.76785714285714279</v>
      </c>
      <c r="DN27" s="552">
        <v>0.6964285714285714</v>
      </c>
      <c r="DO27" s="285">
        <f t="shared" ref="DO27:DO58" si="22">SUM(DK27:DL27)+IF(DK27="B",1,0)*DK$102+IF(DL27="B",1,0)*DL$102+IF(DK27="Løype",1)*$O$4+IF(DL27="Løype",1)*$O$4+IF(DK27="Arr",1)*$O$5+IF(DL27="Arr",1)*$O$5</f>
        <v>7</v>
      </c>
      <c r="DP27" s="566"/>
      <c r="DQ27" s="456">
        <v>9</v>
      </c>
      <c r="DR27" s="461">
        <v>0.7068965517241379</v>
      </c>
      <c r="DS27" s="463">
        <v>0.56896551724137934</v>
      </c>
      <c r="DT27" s="285">
        <f t="shared" ref="DT27:DT58" si="23">SUM(DP27:DQ27)+IF(DP27="B",1,0)*DP$102+IF(DQ27="B",1,0)*DQ$102+IF(DP27="Løype",1)*$O$4+IF(DQ27="Løype",1)*$O$4+IF(DP27="Arr",1)*$O$5+IF(DQ27="Arr",1)*$O$5</f>
        <v>9</v>
      </c>
      <c r="DU27" s="298"/>
      <c r="DV27" s="257">
        <v>7</v>
      </c>
      <c r="DW27" s="461">
        <v>0.80303030303030298</v>
      </c>
      <c r="DX27" s="463">
        <v>0.65151515151515149</v>
      </c>
      <c r="DY27" s="285">
        <f t="shared" ref="DY27:DY58" si="24">SUM(DU27:DV27)+IF(DU27="B",1,0)*DU$102+IF(DV27="B",1,0)*DV$102+IF(DU27="Løype",1)*$O$4+IF(DV27="Løype",1)*$O$4+IF(DU27="Arr",1)*$O$5+IF(DV27="Arr",1)*$O$5</f>
        <v>7</v>
      </c>
      <c r="DZ27" s="475"/>
      <c r="EA27" s="81" t="s">
        <v>62</v>
      </c>
      <c r="EB27" s="461">
        <v>0.98888888888888893</v>
      </c>
      <c r="EC27" s="463">
        <v>0.98888888888888893</v>
      </c>
      <c r="ED27" s="285">
        <f t="shared" ref="ED27:ED58" si="25">SUM(DZ27:EA27)+IF(DZ27="B",1,0)*DZ$102+IF(EA27="B",1,0)*EA$102+IF(DZ27="Løype",1)*$O$4+IF(EA27="Løype",1)*$O$4+IF(DZ27="Arr",1)*$O$5+IF(EA27="Arr",1)*$O$5</f>
        <v>1</v>
      </c>
      <c r="EE27" s="475"/>
      <c r="EF27" s="81" t="s">
        <v>62</v>
      </c>
      <c r="EG27" s="461">
        <v>0.98717948717948723</v>
      </c>
      <c r="EH27" s="463">
        <v>0.98717948717948723</v>
      </c>
      <c r="EI27" s="285">
        <f t="shared" ref="EI27:EI58" si="26">SUM(EE27:EF27)+IF(EE27="B",1,0)*EE$102+IF(EF27="B",1,0)*EF$102+IF(EE27="Løype",1)*$O$4+IF(EF27="Løype",1)*$O$4+IF(EE27="Arr",1)*$O$5+IF(EF27="Arr",1)*$O$5</f>
        <v>1</v>
      </c>
      <c r="EJ27" s="467">
        <f t="shared" ref="EJ27:EJ58" si="27">COUNTIF($E27:$EI27,"&gt;0")/4+COUNTIF($E27:$EI27,"B")/4+COUNTIF($E27:$EI27,"Arr")/4+COUNTIF($E27:$EI27,"Løype")/4</f>
        <v>27</v>
      </c>
      <c r="EK27" s="521">
        <f t="shared" ref="EK27:EK58" si="28">COUNTIF($BH27:$EI27,"&gt;0")/4+COUNTIF($BH27:$EI27,"B")/4+COUNTIF($BH27:$EI27,"Arr")/4+COUNTIF($BH27:$EI27,"Løype")/4</f>
        <v>16</v>
      </c>
      <c r="EL27" s="267">
        <f t="shared" ref="EL27:EL58" si="29">COUNTIF($E27:$EI27,"&gt;0")/4+COUNTIF($E27:$EI27,"Arr")/4+COUNTIF($E27:$EI27,"Løype")/4-COUNTIF($E27:$EI27,"B")*3/4</f>
        <v>27</v>
      </c>
      <c r="EM27" s="512">
        <f t="shared" ref="EM27:EM58" si="30">COUNTIF(E27:EI27,"Arr")+COUNTIF(E27:EI27,"Løype")</f>
        <v>8</v>
      </c>
      <c r="EN27" s="515">
        <f t="shared" ref="EN27:EN58" si="31">COUNTIF(BH27:EI27,"Arr")+COUNTIF(BH27:EI27,"Løype")</f>
        <v>5</v>
      </c>
      <c r="EO27" s="276">
        <f t="shared" ref="EO27:EO58" si="32">EK27-EN27</f>
        <v>11</v>
      </c>
      <c r="EP27" s="15"/>
      <c r="EQ27" s="61">
        <f t="shared" ref="EQ27:EQ58" si="33">$I27+$N27+$S27+$X27+$AC27+$AH27+$AM27+$AR27+$AW27+$BB27+$BG27+$BL27+$BQ27+$BV27+$CA27+$CF27+$CK27+$CP27+$CU27+$CZ27+$DE27+$DJ27+$DO27+$DT27+$DY27+$ED27+$EI27</f>
        <v>135</v>
      </c>
      <c r="ER27" s="186">
        <f>IF(OR($E27="B",$F27="B"),0,$I27)+IF(OR($J27="B",$K27="B"),0,$N27)+IF(OR($O27="B",$P27="B"),0,$S27)+IF(OR($T27="B",$U27="B"),0,$X27)+IF(OR($Y27="B",$Z27="B"),0,$AC27)+IF(OR($AD27="B",$AE27="B"),0,$AH27)+IF(OR($AI27="B",$AJ27="B"),0,$AM27)+IF(OR($HP6="B",$AO27="B"),0,$AR27)+IF(OR($AS27="B",$AT27="B"),0,$AW27)+IF(OR($AX27="B",$AY27="B"),0,$BB27)+IF(OR($BC27="B",$BD27="B"),0,$BG27)+IF(OR($BH27="B",$BI27="B"),0,$BL27)+IF(OR($BM27="B",$BN27="B"),0,$BQ27)+IF(OR($BR27="B",$BS27="B"),0,$BV27)+IF(OR($BW27="B",$BX27="B"),0,$CA27)+IF(OR($CB27="B",$CC27="B"),0,$CF27)+IF(OR($CG27="B",$CH27="B"),0,$CK27)+IF(OR($CL27="B",$CM27="B"),0,$CP27)+IF(OR($CQ27="B",$CR27="B"),0,$CU27)+IF(OR($CV27="B",$CW27="B"),0,$CZ27)+IF(OR($DA27="B",$DB27="B"),0,$DE27)+IF(OR($DF27="B",$DG27="B"),0,$DJ27)+IF(OR($DK27="B",$DL27="B"),0,$DO27)+IF(OR($DP27="B",$DQ27="B"),0,$DT27)+IF(OR($DU27="B",$DV27="B"),0,$DY27)+IF(OR($DZ27="B",$EA27="B"),0,$ED27)+IF(OR($EE27="B",$EF27="B"),0,$EI27)</f>
        <v>135</v>
      </c>
      <c r="ES27" s="28">
        <f t="shared" ref="ES27:ES58" si="34">IF(EJ27&gt;0,EQ27/EJ27," " )</f>
        <v>5</v>
      </c>
      <c r="ET27" s="62">
        <f t="shared" ref="ET27:ET58" si="35">IF(EL27&gt;0,ER27/EL27," " )</f>
        <v>5</v>
      </c>
      <c r="EU27" s="63"/>
      <c r="EV27" s="247">
        <f t="shared" ref="EV27:EV58" si="36">EQ27+EX$20-EJ27</f>
        <v>135</v>
      </c>
      <c r="EW27" s="248">
        <f t="shared" ref="EW27:EW58" si="37">ER27+EX$20-EL27</f>
        <v>135</v>
      </c>
      <c r="EX27" s="23">
        <f t="shared" ref="EX27:EX58" si="38">IF(EJ27&gt;0,EV27/EJ27," " )</f>
        <v>5</v>
      </c>
      <c r="EY27" s="73">
        <f t="shared" ref="EY27:EY58" si="39">IF(EL27&gt;0,EW27/EL27," " )</f>
        <v>5</v>
      </c>
      <c r="EZ27" s="63"/>
      <c r="FA27" s="336">
        <f t="shared" ref="FA27:FA58" si="40">EJ27-EM27</f>
        <v>19</v>
      </c>
      <c r="FB27" s="337">
        <f t="shared" ref="FB27:FB58" si="41">EM27</f>
        <v>8</v>
      </c>
      <c r="FC27" s="333">
        <f t="shared" ref="FC27:FC58" si="42">G27+L27+Q27+V27+AA27+AF27+AK27+AP27+AU27+AZ27+BE27+BJ27+BO27+BT27+BY27+CD27+CI27+CN27+CS27+CX27+DC27+DH27+DM27+DR27+DW27+EB27+EG27</f>
        <v>22.548592203320744</v>
      </c>
      <c r="FD27" s="419">
        <f t="shared" ref="FD27:FD58" si="43">IF(EJ27&gt;0,FC27/EJ27," " )</f>
        <v>0.83513304456743498</v>
      </c>
      <c r="FE27" s="432">
        <f t="shared" ref="FE27:FE58" si="44">H27+M27+R27+W27+AB27+AG27+AL27+AQ27+AV27+BA27+BF27+BK27+BP27+BU27+BZ27+CE27+CJ27+CO27+CT27+CY27+DD27+DI27+DN27+DS27+DX27+EC27+EH27</f>
        <v>20.169982304626508</v>
      </c>
      <c r="FF27" s="434">
        <f t="shared" ref="FF27:FF58" si="45">IF(EJ27&gt;0,FE27/EJ27," " )</f>
        <v>0.74703638165283359</v>
      </c>
      <c r="FG27" s="15"/>
      <c r="FH27" s="37">
        <v>1</v>
      </c>
    </row>
    <row r="28" spans="2:164" ht="17" customHeight="1" thickBot="1" x14ac:dyDescent="0.25">
      <c r="B28" s="258" t="s">
        <v>63</v>
      </c>
      <c r="C28" s="259" t="s">
        <v>105</v>
      </c>
      <c r="D28" s="299">
        <v>521452</v>
      </c>
      <c r="E28" s="300"/>
      <c r="F28" s="285"/>
      <c r="G28" s="285"/>
      <c r="H28" s="285"/>
      <c r="I28" s="285">
        <f t="shared" si="0"/>
        <v>0</v>
      </c>
      <c r="J28" s="301"/>
      <c r="K28" s="145" t="s">
        <v>7</v>
      </c>
      <c r="L28" s="253">
        <v>0.85416666666666663</v>
      </c>
      <c r="M28" s="253">
        <v>0.85416666666666663</v>
      </c>
      <c r="N28" s="285">
        <f t="shared" si="1"/>
        <v>4</v>
      </c>
      <c r="O28" s="163" t="s">
        <v>7</v>
      </c>
      <c r="P28" s="302"/>
      <c r="Q28" s="253">
        <v>0.85416666666666663</v>
      </c>
      <c r="R28" s="253">
        <v>0.85416666666666663</v>
      </c>
      <c r="S28" s="285">
        <f t="shared" si="2"/>
        <v>4</v>
      </c>
      <c r="T28" s="303"/>
      <c r="U28" s="302"/>
      <c r="V28" s="301"/>
      <c r="W28" s="301"/>
      <c r="X28" s="285">
        <f t="shared" si="3"/>
        <v>0</v>
      </c>
      <c r="Y28" s="303"/>
      <c r="Z28" s="287"/>
      <c r="AA28" s="301"/>
      <c r="AB28" s="301"/>
      <c r="AC28" s="285">
        <f t="shared" si="4"/>
        <v>0</v>
      </c>
      <c r="AD28" s="303"/>
      <c r="AE28" s="287"/>
      <c r="AF28" s="253"/>
      <c r="AG28" s="253"/>
      <c r="AH28" s="285">
        <f t="shared" si="5"/>
        <v>0</v>
      </c>
      <c r="AI28" s="260"/>
      <c r="AJ28" s="257"/>
      <c r="AK28" s="301"/>
      <c r="AL28" s="301"/>
      <c r="AM28" s="285">
        <f t="shared" si="6"/>
        <v>0</v>
      </c>
      <c r="AN28" s="260"/>
      <c r="AO28" s="257"/>
      <c r="AP28" s="301"/>
      <c r="AQ28" s="301"/>
      <c r="AR28" s="285">
        <f t="shared" si="7"/>
        <v>0</v>
      </c>
      <c r="AS28" s="260"/>
      <c r="AT28" s="257"/>
      <c r="AU28" s="301"/>
      <c r="AV28" s="301"/>
      <c r="AW28" s="285">
        <f t="shared" si="8"/>
        <v>0</v>
      </c>
      <c r="AX28" s="260"/>
      <c r="AY28" s="257"/>
      <c r="AZ28" s="301"/>
      <c r="BA28" s="301"/>
      <c r="BB28" s="285">
        <f t="shared" si="9"/>
        <v>0</v>
      </c>
      <c r="BC28" s="260"/>
      <c r="BD28" s="257"/>
      <c r="BE28" s="287"/>
      <c r="BF28" s="301"/>
      <c r="BG28" s="285">
        <f t="shared" si="10"/>
        <v>0</v>
      </c>
      <c r="BH28" s="298"/>
      <c r="BI28" s="257"/>
      <c r="BJ28" s="287"/>
      <c r="BK28" s="301"/>
      <c r="BL28" s="285">
        <f t="shared" si="11"/>
        <v>0</v>
      </c>
      <c r="BM28" s="305"/>
      <c r="BN28" s="257"/>
      <c r="BO28" s="257"/>
      <c r="BP28" s="301"/>
      <c r="BQ28" s="285">
        <f t="shared" si="12"/>
        <v>0</v>
      </c>
      <c r="BR28" s="182"/>
      <c r="BS28" s="81"/>
      <c r="BT28" s="43"/>
      <c r="BU28" s="191"/>
      <c r="BV28" s="285">
        <f t="shared" si="13"/>
        <v>0</v>
      </c>
      <c r="BW28" s="298"/>
      <c r="BX28" s="257"/>
      <c r="BY28" s="287"/>
      <c r="BZ28" s="301"/>
      <c r="CA28" s="285">
        <f t="shared" si="14"/>
        <v>0</v>
      </c>
      <c r="CB28" s="182"/>
      <c r="CC28" s="81" t="s">
        <v>7</v>
      </c>
      <c r="CD28" s="304">
        <v>0.8833333333333333</v>
      </c>
      <c r="CE28" s="253">
        <v>0.81666666666666665</v>
      </c>
      <c r="CF28" s="285">
        <f t="shared" si="15"/>
        <v>4</v>
      </c>
      <c r="CG28" s="298"/>
      <c r="CH28" s="257"/>
      <c r="CI28" s="287"/>
      <c r="CJ28" s="301"/>
      <c r="CK28" s="285">
        <f t="shared" si="16"/>
        <v>0</v>
      </c>
      <c r="CL28" s="298"/>
      <c r="CM28" s="257" t="s">
        <v>7</v>
      </c>
      <c r="CN28" s="304">
        <v>0.890625</v>
      </c>
      <c r="CO28" s="253">
        <v>0.890625</v>
      </c>
      <c r="CP28" s="285">
        <f t="shared" si="17"/>
        <v>4</v>
      </c>
      <c r="CQ28" s="298"/>
      <c r="CR28" s="257" t="s">
        <v>7</v>
      </c>
      <c r="CS28" s="287">
        <v>0.82499999999999996</v>
      </c>
      <c r="CT28" s="301">
        <v>0.82499999999999996</v>
      </c>
      <c r="CU28" s="285">
        <f t="shared" si="18"/>
        <v>4</v>
      </c>
      <c r="CV28" s="298"/>
      <c r="CW28" s="479" t="s">
        <v>7</v>
      </c>
      <c r="CX28" s="304">
        <v>0.10606060606060608</v>
      </c>
      <c r="CY28" s="253">
        <v>0.10606060606060608</v>
      </c>
      <c r="CZ28" s="285">
        <f t="shared" si="19"/>
        <v>4</v>
      </c>
      <c r="DA28" s="298"/>
      <c r="DB28" s="257"/>
      <c r="DC28" s="287"/>
      <c r="DD28" s="301"/>
      <c r="DE28" s="285">
        <f t="shared" si="20"/>
        <v>0</v>
      </c>
      <c r="DF28" s="298"/>
      <c r="DG28" s="257"/>
      <c r="DH28" s="257"/>
      <c r="DI28" s="326"/>
      <c r="DJ28" s="310">
        <f t="shared" si="21"/>
        <v>0</v>
      </c>
      <c r="DK28" s="182"/>
      <c r="DL28" s="81"/>
      <c r="DM28" s="81"/>
      <c r="DN28" s="565"/>
      <c r="DO28" s="285">
        <f t="shared" si="22"/>
        <v>0</v>
      </c>
      <c r="DP28" s="298"/>
      <c r="DQ28" s="257"/>
      <c r="DR28" s="287"/>
      <c r="DS28" s="301"/>
      <c r="DT28" s="285">
        <f t="shared" si="23"/>
        <v>0</v>
      </c>
      <c r="DU28" s="298"/>
      <c r="DV28" s="479" t="s">
        <v>7</v>
      </c>
      <c r="DW28" s="304">
        <v>0.89393939393939392</v>
      </c>
      <c r="DX28" s="253">
        <v>0.89393939393939392</v>
      </c>
      <c r="DY28" s="285">
        <f t="shared" si="24"/>
        <v>4</v>
      </c>
      <c r="DZ28" s="475"/>
      <c r="EA28" s="456"/>
      <c r="EB28" s="43"/>
      <c r="EC28" s="191"/>
      <c r="ED28" s="285">
        <f t="shared" si="25"/>
        <v>0</v>
      </c>
      <c r="EE28" s="475"/>
      <c r="EF28" s="456"/>
      <c r="EG28" s="43"/>
      <c r="EH28" s="191"/>
      <c r="EI28" s="285">
        <f t="shared" si="26"/>
        <v>0</v>
      </c>
      <c r="EJ28" s="467">
        <f t="shared" si="27"/>
        <v>7</v>
      </c>
      <c r="EK28" s="522">
        <f t="shared" si="28"/>
        <v>5</v>
      </c>
      <c r="EL28" s="267">
        <f t="shared" si="29"/>
        <v>7</v>
      </c>
      <c r="EM28" s="267">
        <f t="shared" si="30"/>
        <v>7</v>
      </c>
      <c r="EN28" s="516">
        <f t="shared" si="31"/>
        <v>5</v>
      </c>
      <c r="EO28" s="273">
        <f t="shared" si="32"/>
        <v>0</v>
      </c>
      <c r="EP28" s="15"/>
      <c r="EQ28" s="61">
        <f t="shared" si="33"/>
        <v>28</v>
      </c>
      <c r="ER28" s="187">
        <f>IF(OR($E28="B",$F28="B"),0,$I28)+IF(OR($J28="B",$K28="B"),0,$N28)+IF(OR($O28="B",$P28="B"),0,$S28)+IF(OR($T28="B",$U28="B"),0,$X28)+IF(OR($Y28="B",$Z28="B"),0,$AC28)+IF(OR($AD28="B",$AE28="B"),0,$AH28)+IF(OR($AI28="B",$AJ28="B"),0,$AM28)+IF(OR($HP5="B",$AO28="B"),0,$AR28)+IF(OR($AS28="B",$AT28="B"),0,$AW28)+IF(OR($AX28="B",$AY28="B"),0,$BB28)+IF(OR($BC28="B",$BD28="B"),0,$BG28)+IF(OR($BH28="B",$BI28="B"),0,$BL28)+IF(OR($BM28="B",$BN28="B"),0,$BQ28)+IF(OR($BR28="B",$BS28="B"),0,$BV28)+IF(OR($BW28="B",$BX28="B"),0,$CA28)+IF(OR($CB28="B",$CC28="B"),0,$CF28)+IF(OR($CG28="B",$CH28="B"),0,$CK28)+IF(OR($CL28="B",$CM28="B"),0,$CP28)+IF(OR($CQ28="B",$CR28="B"),0,$CU28)+IF(OR($CV28="B",$CW28="B"),0,$CZ28)+IF(OR($DA28="B",$DB28="B"),0,$DE28)+IF(OR($DF28="B",$DG28="B"),0,$DJ28)+IF(OR($DK28="B",$DL28="B"),0,$DO28)+IF(OR($DP28="B",$DQ28="B"),0,$DT28)+IF(OR($DU28="B",$DV28="B"),0,$DY28)+IF(OR($DZ28="B",$EA28="B"),0,$ED28)+IF(OR($EE28="B",$EF28="B"),0,$EI28)</f>
        <v>28</v>
      </c>
      <c r="ES28" s="28">
        <f t="shared" si="34"/>
        <v>4</v>
      </c>
      <c r="ET28" s="62">
        <f t="shared" si="35"/>
        <v>4</v>
      </c>
      <c r="EU28" s="63"/>
      <c r="EV28" s="247">
        <f t="shared" si="36"/>
        <v>48</v>
      </c>
      <c r="EW28" s="249">
        <f t="shared" si="37"/>
        <v>48</v>
      </c>
      <c r="EX28" s="23">
        <f t="shared" si="38"/>
        <v>6.8571428571428568</v>
      </c>
      <c r="EY28" s="74">
        <f t="shared" si="39"/>
        <v>6.8571428571428568</v>
      </c>
      <c r="EZ28" s="63"/>
      <c r="FA28" s="336">
        <f t="shared" si="40"/>
        <v>0</v>
      </c>
      <c r="FB28" s="337">
        <f t="shared" si="41"/>
        <v>7</v>
      </c>
      <c r="FC28" s="333">
        <f t="shared" si="42"/>
        <v>5.307291666666667</v>
      </c>
      <c r="FD28" s="420">
        <f t="shared" si="43"/>
        <v>0.75818452380952384</v>
      </c>
      <c r="FE28" s="433">
        <f t="shared" si="44"/>
        <v>5.2406249999999996</v>
      </c>
      <c r="FF28" s="213">
        <f t="shared" si="45"/>
        <v>0.74866071428571423</v>
      </c>
      <c r="FG28" s="15"/>
      <c r="FH28" s="37">
        <f>FH27+1</f>
        <v>2</v>
      </c>
    </row>
    <row r="29" spans="2:164" ht="17" customHeight="1" thickBot="1" x14ac:dyDescent="0.25">
      <c r="B29" s="258" t="s">
        <v>142</v>
      </c>
      <c r="C29" s="259" t="s">
        <v>143</v>
      </c>
      <c r="D29" s="299">
        <v>520862</v>
      </c>
      <c r="E29" s="300"/>
      <c r="F29" s="285">
        <v>14</v>
      </c>
      <c r="G29" s="306">
        <v>0.3571428571428571</v>
      </c>
      <c r="H29" s="306">
        <v>0.45238095238095233</v>
      </c>
      <c r="I29" s="285">
        <f t="shared" si="0"/>
        <v>14</v>
      </c>
      <c r="J29" s="301"/>
      <c r="K29" s="145" t="s">
        <v>7</v>
      </c>
      <c r="L29" s="253">
        <v>0.85416666666666663</v>
      </c>
      <c r="M29" s="253">
        <v>0.85416666666666663</v>
      </c>
      <c r="N29" s="285">
        <f t="shared" si="1"/>
        <v>4</v>
      </c>
      <c r="O29" s="303">
        <v>23</v>
      </c>
      <c r="P29" s="302"/>
      <c r="Q29" s="253">
        <v>6.25E-2</v>
      </c>
      <c r="R29" s="253">
        <v>2.083333333333337E-2</v>
      </c>
      <c r="S29" s="285">
        <f t="shared" si="2"/>
        <v>23</v>
      </c>
      <c r="T29" s="163" t="s">
        <v>7</v>
      </c>
      <c r="U29" s="302"/>
      <c r="V29" s="253">
        <v>0.85416666666666663</v>
      </c>
      <c r="W29" s="253">
        <v>0.85416666666666663</v>
      </c>
      <c r="X29" s="285">
        <f t="shared" si="3"/>
        <v>4</v>
      </c>
      <c r="Y29" s="303"/>
      <c r="Z29" s="246" t="s">
        <v>7</v>
      </c>
      <c r="AA29" s="253">
        <v>0.88709677419354838</v>
      </c>
      <c r="AB29" s="253">
        <v>0.88709677419354838</v>
      </c>
      <c r="AC29" s="285">
        <f t="shared" si="4"/>
        <v>4</v>
      </c>
      <c r="AD29" s="303"/>
      <c r="AE29" s="287">
        <v>18</v>
      </c>
      <c r="AF29" s="253">
        <v>0.11904761904761907</v>
      </c>
      <c r="AG29" s="253">
        <v>0.11904761904761907</v>
      </c>
      <c r="AH29" s="285">
        <f t="shared" si="5"/>
        <v>18</v>
      </c>
      <c r="AI29" s="260">
        <v>1</v>
      </c>
      <c r="AJ29" s="257"/>
      <c r="AK29" s="253">
        <v>0.16666666666666663</v>
      </c>
      <c r="AL29" s="253">
        <v>0.11904761904761907</v>
      </c>
      <c r="AM29" s="285">
        <f t="shared" si="6"/>
        <v>1</v>
      </c>
      <c r="AN29" s="260">
        <v>1</v>
      </c>
      <c r="AO29" s="257"/>
      <c r="AP29" s="253">
        <v>0.22916666666666663</v>
      </c>
      <c r="AQ29" s="253">
        <v>0.22916666666666663</v>
      </c>
      <c r="AR29" s="285">
        <f t="shared" si="7"/>
        <v>1</v>
      </c>
      <c r="AS29" s="260">
        <v>2</v>
      </c>
      <c r="AT29" s="257"/>
      <c r="AU29" s="253">
        <v>0.23913043478260865</v>
      </c>
      <c r="AV29" s="253">
        <v>0.19565217391304346</v>
      </c>
      <c r="AW29" s="285">
        <f t="shared" si="8"/>
        <v>2</v>
      </c>
      <c r="AX29" s="260"/>
      <c r="AY29" s="257">
        <v>17</v>
      </c>
      <c r="AZ29" s="253">
        <v>0.38888888888888884</v>
      </c>
      <c r="BA29" s="253">
        <v>0.2407407407407407</v>
      </c>
      <c r="BB29" s="285">
        <f t="shared" si="9"/>
        <v>17</v>
      </c>
      <c r="BC29" s="260"/>
      <c r="BD29" s="257">
        <v>16</v>
      </c>
      <c r="BE29" s="304">
        <v>0.42592592592592593</v>
      </c>
      <c r="BF29" s="253">
        <v>0.61111111111111116</v>
      </c>
      <c r="BG29" s="285">
        <f t="shared" si="10"/>
        <v>16</v>
      </c>
      <c r="BH29" s="298"/>
      <c r="BI29" s="257"/>
      <c r="BJ29" s="287"/>
      <c r="BK29" s="301"/>
      <c r="BL29" s="285">
        <f t="shared" si="11"/>
        <v>0</v>
      </c>
      <c r="BM29" s="305"/>
      <c r="BN29" s="257">
        <v>22</v>
      </c>
      <c r="BO29" s="304">
        <v>6.25E-2</v>
      </c>
      <c r="BP29" s="253">
        <v>0.10416666666666663</v>
      </c>
      <c r="BQ29" s="285">
        <f t="shared" si="12"/>
        <v>22</v>
      </c>
      <c r="BR29" s="298"/>
      <c r="BS29" s="257">
        <v>18</v>
      </c>
      <c r="BT29" s="304">
        <v>0.26</v>
      </c>
      <c r="BU29" s="253">
        <v>0.38</v>
      </c>
      <c r="BV29" s="285">
        <f t="shared" si="13"/>
        <v>18</v>
      </c>
      <c r="BW29" s="298"/>
      <c r="BX29" s="257">
        <v>13</v>
      </c>
      <c r="BY29" s="304">
        <v>0.58333333333333326</v>
      </c>
      <c r="BZ29" s="253">
        <v>0.58333333333333326</v>
      </c>
      <c r="CA29" s="285">
        <f t="shared" si="14"/>
        <v>13</v>
      </c>
      <c r="CB29" s="298"/>
      <c r="CC29" s="257">
        <v>22</v>
      </c>
      <c r="CD29" s="304">
        <v>0.25</v>
      </c>
      <c r="CE29" s="253">
        <v>0.18333333333333335</v>
      </c>
      <c r="CF29" s="285">
        <f t="shared" si="15"/>
        <v>22</v>
      </c>
      <c r="CG29" s="298"/>
      <c r="CH29" s="257">
        <v>18</v>
      </c>
      <c r="CI29" s="304">
        <v>0.41666666666666663</v>
      </c>
      <c r="CJ29" s="253">
        <v>0.58333333333333326</v>
      </c>
      <c r="CK29" s="285">
        <f t="shared" si="16"/>
        <v>18</v>
      </c>
      <c r="CL29" s="298"/>
      <c r="CM29" s="257">
        <v>26</v>
      </c>
      <c r="CN29" s="304">
        <v>0.203125</v>
      </c>
      <c r="CO29" s="253">
        <v>0.359375</v>
      </c>
      <c r="CP29" s="285">
        <f t="shared" si="17"/>
        <v>26</v>
      </c>
      <c r="CQ29" s="298"/>
      <c r="CR29" s="257" t="s">
        <v>7</v>
      </c>
      <c r="CS29" s="287">
        <v>0.82499999999999996</v>
      </c>
      <c r="CT29" s="301">
        <v>0.82499999999999996</v>
      </c>
      <c r="CU29" s="285">
        <f t="shared" si="18"/>
        <v>4</v>
      </c>
      <c r="CV29" s="298"/>
      <c r="CW29" s="257">
        <v>22</v>
      </c>
      <c r="CX29" s="304">
        <v>0.34848484848484851</v>
      </c>
      <c r="CY29" s="253">
        <v>0.40909090909090906</v>
      </c>
      <c r="CZ29" s="285">
        <f t="shared" si="19"/>
        <v>22</v>
      </c>
      <c r="DA29" s="298"/>
      <c r="DB29" s="257">
        <v>12</v>
      </c>
      <c r="DC29" s="304">
        <v>0.52083333333333326</v>
      </c>
      <c r="DD29" s="253">
        <v>0.64583333333333326</v>
      </c>
      <c r="DE29" s="285">
        <f t="shared" si="20"/>
        <v>12</v>
      </c>
      <c r="DF29" s="298"/>
      <c r="DG29" s="257">
        <v>26</v>
      </c>
      <c r="DH29" s="304">
        <v>0.29166666666666663</v>
      </c>
      <c r="DI29" s="253">
        <v>0.31944444444444442</v>
      </c>
      <c r="DJ29" s="310">
        <f t="shared" si="21"/>
        <v>26</v>
      </c>
      <c r="DK29" s="298">
        <v>1</v>
      </c>
      <c r="DL29" s="257"/>
      <c r="DM29" s="304">
        <v>0.33928571428571402</v>
      </c>
      <c r="DN29" s="253">
        <v>0.4821428571428571</v>
      </c>
      <c r="DO29" s="285">
        <f t="shared" si="22"/>
        <v>1</v>
      </c>
      <c r="DP29" s="298"/>
      <c r="DQ29" s="81" t="s">
        <v>62</v>
      </c>
      <c r="DR29" s="304">
        <v>0.98275862068965514</v>
      </c>
      <c r="DS29" s="253">
        <v>0.98275862068965514</v>
      </c>
      <c r="DT29" s="285">
        <f t="shared" si="23"/>
        <v>1</v>
      </c>
      <c r="DU29" s="182"/>
      <c r="DV29" s="456">
        <v>21</v>
      </c>
      <c r="DW29" s="461">
        <v>0.37878787878787878</v>
      </c>
      <c r="DX29" s="463">
        <v>0.34848484848484851</v>
      </c>
      <c r="DY29" s="285">
        <f t="shared" si="24"/>
        <v>21</v>
      </c>
      <c r="DZ29" s="475">
        <v>2</v>
      </c>
      <c r="EA29" s="456"/>
      <c r="EB29" s="461">
        <v>0.38888888888888884</v>
      </c>
      <c r="EC29" s="463">
        <v>0.47777777777777775</v>
      </c>
      <c r="ED29" s="285">
        <f t="shared" si="25"/>
        <v>2</v>
      </c>
      <c r="EE29" s="475">
        <v>3</v>
      </c>
      <c r="EF29" s="456"/>
      <c r="EG29" s="461">
        <v>0.44871794871794868</v>
      </c>
      <c r="EH29" s="463">
        <v>0.32051282051282048</v>
      </c>
      <c r="EI29" s="285">
        <f t="shared" si="26"/>
        <v>3</v>
      </c>
      <c r="EJ29" s="467">
        <f t="shared" si="27"/>
        <v>26</v>
      </c>
      <c r="EK29" s="522">
        <f t="shared" si="28"/>
        <v>15</v>
      </c>
      <c r="EL29" s="267">
        <f t="shared" si="29"/>
        <v>26</v>
      </c>
      <c r="EM29" s="267">
        <f t="shared" si="30"/>
        <v>5</v>
      </c>
      <c r="EN29" s="516">
        <f t="shared" si="31"/>
        <v>2</v>
      </c>
      <c r="EO29" s="273">
        <f t="shared" si="32"/>
        <v>13</v>
      </c>
      <c r="EP29" s="15"/>
      <c r="EQ29" s="61">
        <f t="shared" si="33"/>
        <v>315</v>
      </c>
      <c r="ER29" s="187">
        <f>IF(OR($E29="B",$F29="B"),0,$I29)+IF(OR($J29="B",$K29="B"),0,$N29)+IF(OR($O29="B",$P29="B"),0,$S29)+IF(OR($T29="B",$U29="B"),0,$X29)+IF(OR($Y29="B",$Z29="B"),0,$AC29)+IF(OR($AD29="B",$AE29="B"),0,$AH29)+IF(OR($AI29="B",$AJ29="B"),0,$AM29)+IF(OR($HP8="B",$AO29="B"),0,$AR29)+IF(OR($AS29="B",$AT29="B"),0,$AW29)+IF(OR($AX29="B",$AY29="B"),0,$BB29)+IF(OR($BC29="B",$BD29="B"),0,$BG29)+IF(OR($BH29="B",$BI29="B"),0,$BL29)+IF(OR($BM29="B",$BN29="B"),0,$BQ29)+IF(OR($BR29="B",$BS29="B"),0,$BV29)+IF(OR($BW29="B",$BX29="B"),0,$CA29)+IF(OR($CB29="B",$CC29="B"),0,$CF29)+IF(OR($CG29="B",$CH29="B"),0,$CK29)+IF(OR($CL29="B",$CM29="B"),0,$CP29)+IF(OR($CQ29="B",$CR29="B"),0,$CU29)+IF(OR($CV29="B",$CW29="B"),0,$CZ29)+IF(OR($DA29="B",$DB29="B"),0,$DE29)+IF(OR($DF29="B",$DG29="B"),0,$DJ29)+IF(OR($DK29="B",$DL29="B"),0,$DO29)+IF(OR($DP29="B",$DQ29="B"),0,$DT29)+IF(OR($DU29="B",$DV29="B"),0,$DY29)+IF(OR($DZ29="B",$EA29="B"),0,$ED29)+IF(OR($EE29="B",$EF29="B"),0,$EI29)</f>
        <v>315</v>
      </c>
      <c r="ES29" s="28">
        <f t="shared" si="34"/>
        <v>12.115384615384615</v>
      </c>
      <c r="ET29" s="62">
        <f t="shared" si="35"/>
        <v>12.115384615384615</v>
      </c>
      <c r="EU29" s="63"/>
      <c r="EV29" s="247">
        <f t="shared" si="36"/>
        <v>316</v>
      </c>
      <c r="EW29" s="249">
        <f t="shared" si="37"/>
        <v>316</v>
      </c>
      <c r="EX29" s="23">
        <f t="shared" si="38"/>
        <v>12.153846153846153</v>
      </c>
      <c r="EY29" s="74">
        <f t="shared" si="39"/>
        <v>12.153846153846153</v>
      </c>
      <c r="EZ29" s="63"/>
      <c r="FA29" s="336">
        <f t="shared" si="40"/>
        <v>21</v>
      </c>
      <c r="FB29" s="337">
        <f t="shared" si="41"/>
        <v>5</v>
      </c>
      <c r="FC29" s="333">
        <f t="shared" si="42"/>
        <v>10.883948066503049</v>
      </c>
      <c r="FD29" s="420">
        <f t="shared" si="43"/>
        <v>0.41861338717319418</v>
      </c>
      <c r="FE29" s="433">
        <f t="shared" si="44"/>
        <v>11.587997601911281</v>
      </c>
      <c r="FF29" s="213">
        <f t="shared" si="45"/>
        <v>0.44569221545812621</v>
      </c>
      <c r="FG29" s="15"/>
      <c r="FH29" s="37">
        <f t="shared" ref="FH29:FH96" si="46">FH28+1</f>
        <v>3</v>
      </c>
    </row>
    <row r="30" spans="2:164" ht="17" customHeight="1" thickBot="1" x14ac:dyDescent="0.25">
      <c r="B30" s="258" t="s">
        <v>82</v>
      </c>
      <c r="C30" s="259" t="s">
        <v>83</v>
      </c>
      <c r="D30" s="299">
        <v>517474</v>
      </c>
      <c r="E30" s="300"/>
      <c r="F30" s="285"/>
      <c r="G30" s="285"/>
      <c r="H30" s="285"/>
      <c r="I30" s="285">
        <f t="shared" si="0"/>
        <v>0</v>
      </c>
      <c r="J30" s="301" t="s">
        <v>2</v>
      </c>
      <c r="K30" s="302"/>
      <c r="L30" s="253">
        <v>2.083333333333337E-2</v>
      </c>
      <c r="M30" s="253">
        <v>2.083333333333337E-2</v>
      </c>
      <c r="N30" s="285">
        <f t="shared" si="1"/>
        <v>6</v>
      </c>
      <c r="O30" s="163" t="s">
        <v>7</v>
      </c>
      <c r="P30" s="302"/>
      <c r="Q30" s="253">
        <v>0.85416666666666663</v>
      </c>
      <c r="R30" s="253">
        <v>0.8125</v>
      </c>
      <c r="S30" s="285">
        <f t="shared" si="2"/>
        <v>4</v>
      </c>
      <c r="T30" s="163" t="s">
        <v>7</v>
      </c>
      <c r="U30" s="145"/>
      <c r="V30" s="253">
        <v>0.85416666666666663</v>
      </c>
      <c r="W30" s="253">
        <v>0.85416666666666663</v>
      </c>
      <c r="X30" s="285">
        <f t="shared" si="3"/>
        <v>4</v>
      </c>
      <c r="Y30" s="303"/>
      <c r="Z30" s="246" t="s">
        <v>7</v>
      </c>
      <c r="AA30" s="253">
        <v>0.88709677419354838</v>
      </c>
      <c r="AB30" s="253">
        <v>0.88709677419354838</v>
      </c>
      <c r="AC30" s="285">
        <f t="shared" si="4"/>
        <v>4</v>
      </c>
      <c r="AD30" s="303"/>
      <c r="AE30" s="43" t="s">
        <v>62</v>
      </c>
      <c r="AF30" s="253">
        <v>0.97619047619047616</v>
      </c>
      <c r="AG30" s="253">
        <v>0.97619047619047616</v>
      </c>
      <c r="AH30" s="285">
        <f t="shared" si="5"/>
        <v>1</v>
      </c>
      <c r="AI30" s="260" t="s">
        <v>2</v>
      </c>
      <c r="AJ30" s="257"/>
      <c r="AK30" s="253">
        <v>7.1428571428571397E-2</v>
      </c>
      <c r="AL30" s="253">
        <v>7.1428571428571397E-2</v>
      </c>
      <c r="AM30" s="285">
        <f t="shared" si="6"/>
        <v>3</v>
      </c>
      <c r="AN30" s="260" t="s">
        <v>2</v>
      </c>
      <c r="AO30" s="257"/>
      <c r="AP30" s="253">
        <v>0.10416666666666663</v>
      </c>
      <c r="AQ30" s="253">
        <v>0.10416666666666663</v>
      </c>
      <c r="AR30" s="285">
        <f t="shared" si="7"/>
        <v>4</v>
      </c>
      <c r="AS30" s="260">
        <v>4</v>
      </c>
      <c r="AT30" s="257"/>
      <c r="AU30" s="253">
        <v>0.10869565217391308</v>
      </c>
      <c r="AV30" s="253">
        <v>0.10869565217391308</v>
      </c>
      <c r="AW30" s="285">
        <f t="shared" si="8"/>
        <v>4</v>
      </c>
      <c r="AX30" s="260">
        <v>2</v>
      </c>
      <c r="AY30" s="257"/>
      <c r="AZ30" s="261">
        <v>0.12962962962962965</v>
      </c>
      <c r="BA30" s="261">
        <v>0.12962962962962965</v>
      </c>
      <c r="BB30" s="285">
        <f t="shared" si="9"/>
        <v>2</v>
      </c>
      <c r="BC30" s="260">
        <v>2</v>
      </c>
      <c r="BD30" s="257"/>
      <c r="BE30" s="304">
        <v>0.12962962962962965</v>
      </c>
      <c r="BF30" s="253">
        <v>0.12962962962962965</v>
      </c>
      <c r="BG30" s="285">
        <f t="shared" si="10"/>
        <v>2</v>
      </c>
      <c r="BH30" s="298">
        <v>1</v>
      </c>
      <c r="BI30" s="257"/>
      <c r="BJ30" s="304">
        <v>3.8461538461538436E-2</v>
      </c>
      <c r="BK30" s="253">
        <v>0.11538461538461542</v>
      </c>
      <c r="BL30" s="285">
        <f t="shared" si="11"/>
        <v>1</v>
      </c>
      <c r="BM30" s="305"/>
      <c r="BN30" s="257"/>
      <c r="BO30" s="287"/>
      <c r="BP30" s="301"/>
      <c r="BQ30" s="285">
        <f t="shared" si="12"/>
        <v>0</v>
      </c>
      <c r="BR30" s="298"/>
      <c r="BS30" s="257"/>
      <c r="BT30" s="287"/>
      <c r="BU30" s="301"/>
      <c r="BV30" s="285">
        <f t="shared" si="13"/>
        <v>0</v>
      </c>
      <c r="BW30" s="182"/>
      <c r="BX30" s="81"/>
      <c r="BY30" s="43"/>
      <c r="BZ30" s="191"/>
      <c r="CA30" s="285">
        <f t="shared" si="14"/>
        <v>0</v>
      </c>
      <c r="CB30" s="298"/>
      <c r="CC30" s="257"/>
      <c r="CD30" s="287"/>
      <c r="CE30" s="301"/>
      <c r="CF30" s="285">
        <f t="shared" si="15"/>
        <v>0</v>
      </c>
      <c r="CG30" s="298"/>
      <c r="CH30" s="257"/>
      <c r="CI30" s="287"/>
      <c r="CJ30" s="301"/>
      <c r="CK30" s="285">
        <f t="shared" si="16"/>
        <v>0</v>
      </c>
      <c r="CL30" s="298"/>
      <c r="CM30" s="257"/>
      <c r="CN30" s="287"/>
      <c r="CO30" s="301"/>
      <c r="CP30" s="285">
        <f t="shared" si="17"/>
        <v>0</v>
      </c>
      <c r="CQ30" s="298"/>
      <c r="CR30" s="257"/>
      <c r="CS30" s="287"/>
      <c r="CT30" s="301"/>
      <c r="CU30" s="285">
        <f t="shared" si="18"/>
        <v>0</v>
      </c>
      <c r="CV30" s="298"/>
      <c r="CW30" s="257"/>
      <c r="CX30" s="304"/>
      <c r="CY30" s="301"/>
      <c r="CZ30" s="285">
        <f t="shared" si="19"/>
        <v>0</v>
      </c>
      <c r="DA30" s="298"/>
      <c r="DB30" s="257"/>
      <c r="DC30" s="287"/>
      <c r="DD30" s="301"/>
      <c r="DE30" s="285">
        <f t="shared" si="20"/>
        <v>0</v>
      </c>
      <c r="DF30" s="298"/>
      <c r="DG30" s="257"/>
      <c r="DH30" s="287"/>
      <c r="DI30" s="301"/>
      <c r="DJ30" s="285">
        <f t="shared" si="21"/>
        <v>0</v>
      </c>
      <c r="DK30" s="298"/>
      <c r="DL30" s="257"/>
      <c r="DM30" s="287"/>
      <c r="DN30" s="301"/>
      <c r="DO30" s="285">
        <f t="shared" si="22"/>
        <v>0</v>
      </c>
      <c r="DP30" s="298"/>
      <c r="DQ30" s="257"/>
      <c r="DR30" s="287"/>
      <c r="DS30" s="301"/>
      <c r="DT30" s="285">
        <f t="shared" si="23"/>
        <v>0</v>
      </c>
      <c r="DU30" s="298"/>
      <c r="DV30" s="257"/>
      <c r="DW30" s="287"/>
      <c r="DX30" s="301"/>
      <c r="DY30" s="285">
        <f t="shared" si="24"/>
        <v>0</v>
      </c>
      <c r="DZ30" s="475"/>
      <c r="EA30" s="456"/>
      <c r="EB30" s="43"/>
      <c r="EC30" s="191"/>
      <c r="ED30" s="285">
        <f t="shared" si="25"/>
        <v>0</v>
      </c>
      <c r="EE30" s="475"/>
      <c r="EF30" s="456"/>
      <c r="EG30" s="43"/>
      <c r="EH30" s="191"/>
      <c r="EI30" s="285">
        <f t="shared" si="26"/>
        <v>0</v>
      </c>
      <c r="EJ30" s="467">
        <f t="shared" si="27"/>
        <v>11</v>
      </c>
      <c r="EK30" s="522">
        <f t="shared" si="28"/>
        <v>1</v>
      </c>
      <c r="EL30" s="267">
        <f t="shared" si="29"/>
        <v>8</v>
      </c>
      <c r="EM30" s="267">
        <f t="shared" si="30"/>
        <v>4</v>
      </c>
      <c r="EN30" s="516">
        <f t="shared" si="31"/>
        <v>0</v>
      </c>
      <c r="EO30" s="273">
        <f t="shared" si="32"/>
        <v>1</v>
      </c>
      <c r="EP30" s="15"/>
      <c r="EQ30" s="61">
        <f t="shared" si="33"/>
        <v>35</v>
      </c>
      <c r="ER30" s="187">
        <f t="shared" ref="ER30:ER36" si="47">IF(OR($E30="B",$F30="B"),0,$I30)+IF(OR($J30="B",$K30="B"),0,$N30)+IF(OR($O30="B",$P30="B"),0,$S30)+IF(OR($T30="B",$U30="B"),0,$X30)+IF(OR($Y30="B",$Z30="B"),0,$AC30)+IF(OR($AD30="B",$AE30="B"),0,$AH30)+IF(OR($AI30="B",$AJ30="B"),0,$AM30)+IF(OR($HP8="B",$AO30="B"),0,$AR30)+IF(OR($AS30="B",$AT30="B"),0,$AW30)+IF(OR($AX30="B",$AY30="B"),0,$BB30)+IF(OR($BC30="B",$BD30="B"),0,$BG30)+IF(OR($BH30="B",$BI30="B"),0,$BL30)+IF(OR($BM30="B",$BN30="B"),0,$BQ30)+IF(OR($BR30="B",$BS30="B"),0,$BV30)+IF(OR($BW30="B",$BX30="B"),0,$CA30)+IF(OR($CB30="B",$CC30="B"),0,$CF30)+IF(OR($CG30="B",$CH30="B"),0,$CK30)+IF(OR($CL30="B",$CM30="B"),0,$CP30)+IF(OR($CQ30="B",$CR30="B"),0,$CU30)+IF(OR($CV30="B",$CW30="B"),0,$CZ30)+IF(OR($DA30="B",$DB30="B"),0,$DE30)+IF(OR($DF30="B",$DG30="B"),0,$DJ30)+IF(OR($DK30="B",$DL30="B"),0,$DO30)+IF(OR($DP30="B",$DQ30="B"),0,$DT30)+IF(OR($DU30="B",$DV30="B"),0,$DY30)+IF(OR($DZ30="B",$EA30="B"),0,$ED30)+IF(OR($EE30="B",$EF30="B"),0,$EI30)</f>
        <v>26</v>
      </c>
      <c r="ES30" s="28">
        <f t="shared" si="34"/>
        <v>3.1818181818181817</v>
      </c>
      <c r="ET30" s="62">
        <f t="shared" si="35"/>
        <v>3.25</v>
      </c>
      <c r="EU30" s="63"/>
      <c r="EV30" s="247">
        <f t="shared" si="36"/>
        <v>51</v>
      </c>
      <c r="EW30" s="249">
        <f t="shared" si="37"/>
        <v>45</v>
      </c>
      <c r="EX30" s="23">
        <f t="shared" si="38"/>
        <v>4.6363636363636367</v>
      </c>
      <c r="EY30" s="74">
        <f t="shared" si="39"/>
        <v>5.625</v>
      </c>
      <c r="EZ30" s="63"/>
      <c r="FA30" s="336">
        <f t="shared" si="40"/>
        <v>7</v>
      </c>
      <c r="FB30" s="337">
        <f t="shared" si="41"/>
        <v>4</v>
      </c>
      <c r="FC30" s="333">
        <f t="shared" si="42"/>
        <v>4.1744656050406395</v>
      </c>
      <c r="FD30" s="420">
        <f t="shared" si="43"/>
        <v>0.37949687318551267</v>
      </c>
      <c r="FE30" s="433">
        <f t="shared" si="44"/>
        <v>4.20972201529705</v>
      </c>
      <c r="FF30" s="213">
        <f t="shared" si="45"/>
        <v>0.38270200139064092</v>
      </c>
      <c r="FG30" s="15"/>
      <c r="FH30" s="37">
        <f t="shared" si="46"/>
        <v>4</v>
      </c>
    </row>
    <row r="31" spans="2:164" ht="17" customHeight="1" thickBot="1" x14ac:dyDescent="0.25">
      <c r="B31" s="258" t="s">
        <v>101</v>
      </c>
      <c r="C31" s="259" t="s">
        <v>102</v>
      </c>
      <c r="D31" s="299">
        <v>259070</v>
      </c>
      <c r="E31" s="300"/>
      <c r="F31" s="285">
        <v>12</v>
      </c>
      <c r="G31" s="306">
        <v>0.45238095238095233</v>
      </c>
      <c r="H31" s="306">
        <v>7.1428571428571397E-2</v>
      </c>
      <c r="I31" s="285">
        <f t="shared" si="0"/>
        <v>12</v>
      </c>
      <c r="J31" s="301"/>
      <c r="K31" s="302">
        <v>10</v>
      </c>
      <c r="L31" s="253">
        <v>0.60416666666666674</v>
      </c>
      <c r="M31" s="253">
        <v>0.22916666666666663</v>
      </c>
      <c r="N31" s="285">
        <f t="shared" si="1"/>
        <v>10</v>
      </c>
      <c r="O31" s="303">
        <v>7</v>
      </c>
      <c r="P31" s="302"/>
      <c r="Q31" s="253">
        <v>0.72916666666666674</v>
      </c>
      <c r="R31" s="253">
        <v>0.4375</v>
      </c>
      <c r="S31" s="285">
        <f t="shared" si="2"/>
        <v>7</v>
      </c>
      <c r="T31" s="303" t="s">
        <v>2</v>
      </c>
      <c r="U31" s="302"/>
      <c r="V31" s="253">
        <v>0.10416666666666663</v>
      </c>
      <c r="W31" s="253">
        <v>0.10416666666666663</v>
      </c>
      <c r="X31" s="285">
        <f t="shared" si="3"/>
        <v>22</v>
      </c>
      <c r="Y31" s="303"/>
      <c r="Z31" s="287">
        <v>10</v>
      </c>
      <c r="AA31" s="253">
        <v>0.69354838709677424</v>
      </c>
      <c r="AB31" s="253">
        <v>0.43548387096774188</v>
      </c>
      <c r="AC31" s="285">
        <f t="shared" si="4"/>
        <v>10</v>
      </c>
      <c r="AD31" s="303"/>
      <c r="AE31" s="287">
        <v>7</v>
      </c>
      <c r="AF31" s="253">
        <v>0.69047619047619047</v>
      </c>
      <c r="AG31" s="253">
        <v>0.45238095238095233</v>
      </c>
      <c r="AH31" s="285">
        <f t="shared" si="5"/>
        <v>7</v>
      </c>
      <c r="AI31" s="260"/>
      <c r="AJ31" s="257">
        <v>5</v>
      </c>
      <c r="AK31" s="253">
        <v>0.7857142857142857</v>
      </c>
      <c r="AL31" s="253">
        <v>0.45238095238095233</v>
      </c>
      <c r="AM31" s="285">
        <f t="shared" si="6"/>
        <v>5</v>
      </c>
      <c r="AN31" s="260"/>
      <c r="AO31" s="257">
        <v>4</v>
      </c>
      <c r="AP31" s="253">
        <v>0.85416666666666663</v>
      </c>
      <c r="AQ31" s="253">
        <v>0.85416666666666663</v>
      </c>
      <c r="AR31" s="285">
        <f t="shared" si="7"/>
        <v>4</v>
      </c>
      <c r="AS31" s="260"/>
      <c r="AT31" s="257">
        <v>6</v>
      </c>
      <c r="AU31" s="253">
        <v>0.76086956521739135</v>
      </c>
      <c r="AV31" s="253">
        <v>0.54347826086956519</v>
      </c>
      <c r="AW31" s="285">
        <f t="shared" si="8"/>
        <v>6</v>
      </c>
      <c r="AX31" s="260"/>
      <c r="AY31" s="81" t="s">
        <v>7</v>
      </c>
      <c r="AZ31" s="253">
        <v>0.87037037037037035</v>
      </c>
      <c r="BA31" s="253">
        <v>0.87037037037037035</v>
      </c>
      <c r="BB31" s="285">
        <f t="shared" si="9"/>
        <v>4</v>
      </c>
      <c r="BC31" s="260"/>
      <c r="BD31" s="257">
        <v>5</v>
      </c>
      <c r="BE31" s="304">
        <v>0.83333333333333337</v>
      </c>
      <c r="BF31" s="253">
        <v>0.64814814814814814</v>
      </c>
      <c r="BG31" s="285">
        <f t="shared" si="10"/>
        <v>5</v>
      </c>
      <c r="BH31" s="298"/>
      <c r="BI31" s="257">
        <v>4</v>
      </c>
      <c r="BJ31" s="304">
        <v>0.73076923076923084</v>
      </c>
      <c r="BK31" s="253">
        <v>0.5</v>
      </c>
      <c r="BL31" s="285">
        <f t="shared" si="11"/>
        <v>4</v>
      </c>
      <c r="BM31" s="305"/>
      <c r="BN31" s="257">
        <v>8</v>
      </c>
      <c r="BO31" s="304">
        <v>0.6875</v>
      </c>
      <c r="BP31" s="253">
        <v>0.77083333333333337</v>
      </c>
      <c r="BQ31" s="285">
        <f t="shared" si="12"/>
        <v>8</v>
      </c>
      <c r="BR31" s="298"/>
      <c r="BS31" s="257">
        <v>15</v>
      </c>
      <c r="BT31" s="304">
        <v>0.38</v>
      </c>
      <c r="BU31" s="253">
        <v>0.14000000000000001</v>
      </c>
      <c r="BV31" s="285">
        <f t="shared" si="13"/>
        <v>15</v>
      </c>
      <c r="BW31" s="298"/>
      <c r="BX31" s="257">
        <v>15</v>
      </c>
      <c r="BY31" s="304">
        <v>0.51666666666666661</v>
      </c>
      <c r="BZ31" s="253">
        <v>0.21666666666666667</v>
      </c>
      <c r="CA31" s="285">
        <f t="shared" si="14"/>
        <v>15</v>
      </c>
      <c r="CB31" s="298"/>
      <c r="CC31" s="257">
        <v>14</v>
      </c>
      <c r="CD31" s="304">
        <v>0.51666666666666661</v>
      </c>
      <c r="CE31" s="253">
        <v>0.44999999999999996</v>
      </c>
      <c r="CF31" s="285">
        <f t="shared" si="15"/>
        <v>14</v>
      </c>
      <c r="CG31" s="298"/>
      <c r="CH31" s="257">
        <v>10</v>
      </c>
      <c r="CI31" s="304">
        <v>0.68333333333333335</v>
      </c>
      <c r="CJ31" s="253">
        <v>0.41666666666666663</v>
      </c>
      <c r="CK31" s="285">
        <f t="shared" si="16"/>
        <v>10</v>
      </c>
      <c r="CL31" s="298"/>
      <c r="CM31" s="257">
        <v>13</v>
      </c>
      <c r="CN31" s="304">
        <v>0.609375</v>
      </c>
      <c r="CO31" s="454">
        <v>0.328125</v>
      </c>
      <c r="CP31" s="285">
        <f t="shared" si="17"/>
        <v>13</v>
      </c>
      <c r="CQ31" s="298"/>
      <c r="CR31" s="257">
        <v>8</v>
      </c>
      <c r="CS31" s="287">
        <v>0.625</v>
      </c>
      <c r="CT31" s="301">
        <v>0.27500000000000002</v>
      </c>
      <c r="CU31" s="285">
        <f t="shared" si="18"/>
        <v>8</v>
      </c>
      <c r="CV31" s="298"/>
      <c r="CW31" s="257">
        <v>13</v>
      </c>
      <c r="CX31" s="304">
        <v>0.62121212121212122</v>
      </c>
      <c r="CY31" s="253">
        <v>0.34848484848484851</v>
      </c>
      <c r="CZ31" s="285">
        <f t="shared" si="19"/>
        <v>13</v>
      </c>
      <c r="DA31" s="298"/>
      <c r="DB31" s="257">
        <v>9</v>
      </c>
      <c r="DC31" s="304">
        <v>0.64583333333333326</v>
      </c>
      <c r="DD31" s="253">
        <v>0.39583333333333337</v>
      </c>
      <c r="DE31" s="285">
        <f t="shared" si="20"/>
        <v>9</v>
      </c>
      <c r="DF31" s="298"/>
      <c r="DG31" s="456" t="s">
        <v>7</v>
      </c>
      <c r="DH31" s="304">
        <v>0.90277777777777779</v>
      </c>
      <c r="DI31" s="253">
        <v>0.90277777777777779</v>
      </c>
      <c r="DJ31" s="285">
        <f t="shared" si="21"/>
        <v>4</v>
      </c>
      <c r="DK31" s="298"/>
      <c r="DL31" s="257">
        <v>14</v>
      </c>
      <c r="DM31" s="304">
        <v>0.51785714285714279</v>
      </c>
      <c r="DN31" s="253">
        <v>0.4107142857142857</v>
      </c>
      <c r="DO31" s="285">
        <f t="shared" si="22"/>
        <v>14</v>
      </c>
      <c r="DP31" s="298"/>
      <c r="DQ31" s="257">
        <v>5</v>
      </c>
      <c r="DR31" s="304">
        <v>0.84482758620689657</v>
      </c>
      <c r="DS31" s="253">
        <v>0.53448275862068972</v>
      </c>
      <c r="DT31" s="285">
        <f t="shared" si="23"/>
        <v>5</v>
      </c>
      <c r="DU31" s="298"/>
      <c r="DV31" s="257">
        <v>9</v>
      </c>
      <c r="DW31" s="461">
        <v>0.74242424242424243</v>
      </c>
      <c r="DX31" s="463">
        <v>0.43939393939393945</v>
      </c>
      <c r="DY31" s="285">
        <f t="shared" si="24"/>
        <v>9</v>
      </c>
      <c r="DZ31" s="475"/>
      <c r="EA31" s="456">
        <v>7</v>
      </c>
      <c r="EB31" s="461">
        <v>0.85555555555555562</v>
      </c>
      <c r="EC31" s="463">
        <v>0.5</v>
      </c>
      <c r="ED31" s="285">
        <f t="shared" si="25"/>
        <v>7</v>
      </c>
      <c r="EE31" s="475"/>
      <c r="EF31" s="456">
        <v>8</v>
      </c>
      <c r="EG31" s="461">
        <v>0.80769230769230771</v>
      </c>
      <c r="EH31" s="463">
        <v>0.37179487179487181</v>
      </c>
      <c r="EI31" s="285">
        <f t="shared" si="26"/>
        <v>8</v>
      </c>
      <c r="EJ31" s="467">
        <f t="shared" si="27"/>
        <v>27</v>
      </c>
      <c r="EK31" s="522">
        <f t="shared" si="28"/>
        <v>16</v>
      </c>
      <c r="EL31" s="267">
        <f t="shared" si="29"/>
        <v>26</v>
      </c>
      <c r="EM31" s="267">
        <f t="shared" si="30"/>
        <v>2</v>
      </c>
      <c r="EN31" s="516">
        <f t="shared" si="31"/>
        <v>1</v>
      </c>
      <c r="EO31" s="273">
        <f t="shared" si="32"/>
        <v>15</v>
      </c>
      <c r="EP31" s="15"/>
      <c r="EQ31" s="61">
        <f t="shared" si="33"/>
        <v>248</v>
      </c>
      <c r="ER31" s="187">
        <f t="shared" si="47"/>
        <v>226</v>
      </c>
      <c r="ES31" s="28">
        <f t="shared" si="34"/>
        <v>9.1851851851851851</v>
      </c>
      <c r="ET31" s="62">
        <f t="shared" si="35"/>
        <v>8.6923076923076916</v>
      </c>
      <c r="EU31" s="63"/>
      <c r="EV31" s="247">
        <f t="shared" si="36"/>
        <v>248</v>
      </c>
      <c r="EW31" s="249">
        <f t="shared" si="37"/>
        <v>227</v>
      </c>
      <c r="EX31" s="23">
        <f t="shared" si="38"/>
        <v>9.1851851851851851</v>
      </c>
      <c r="EY31" s="74">
        <f t="shared" si="39"/>
        <v>8.7307692307692299</v>
      </c>
      <c r="EZ31" s="63"/>
      <c r="FA31" s="336">
        <f t="shared" si="40"/>
        <v>25</v>
      </c>
      <c r="FB31" s="337">
        <f t="shared" si="41"/>
        <v>2</v>
      </c>
      <c r="FC31" s="333">
        <f t="shared" si="42"/>
        <v>18.065850715751239</v>
      </c>
      <c r="FD31" s="420">
        <f t="shared" si="43"/>
        <v>0.6691055820648607</v>
      </c>
      <c r="FE31" s="433">
        <f t="shared" si="44"/>
        <v>12.099444608332716</v>
      </c>
      <c r="FF31" s="213">
        <f t="shared" si="45"/>
        <v>0.44812757808639686</v>
      </c>
      <c r="FG31" s="15"/>
      <c r="FH31" s="37">
        <f t="shared" si="46"/>
        <v>5</v>
      </c>
    </row>
    <row r="32" spans="2:164" ht="17" customHeight="1" thickBot="1" x14ac:dyDescent="0.25">
      <c r="B32" s="258" t="s">
        <v>126</v>
      </c>
      <c r="C32" s="259" t="s">
        <v>127</v>
      </c>
      <c r="D32" s="299">
        <v>521022</v>
      </c>
      <c r="E32" s="300"/>
      <c r="F32" s="285">
        <v>4</v>
      </c>
      <c r="G32" s="306">
        <v>0.83333333333333337</v>
      </c>
      <c r="H32" s="306">
        <v>0.97619047619047616</v>
      </c>
      <c r="I32" s="285">
        <f t="shared" si="0"/>
        <v>4</v>
      </c>
      <c r="J32" s="301"/>
      <c r="K32" s="302">
        <v>4</v>
      </c>
      <c r="L32" s="253">
        <v>0.85416666666666663</v>
      </c>
      <c r="M32" s="253">
        <v>0.5625</v>
      </c>
      <c r="N32" s="285">
        <f t="shared" si="1"/>
        <v>4</v>
      </c>
      <c r="O32" s="303">
        <v>1</v>
      </c>
      <c r="P32" s="302"/>
      <c r="Q32" s="253">
        <v>0.97916666666666663</v>
      </c>
      <c r="R32" s="253">
        <v>0.89583333333333337</v>
      </c>
      <c r="S32" s="285">
        <f t="shared" si="2"/>
        <v>1</v>
      </c>
      <c r="T32" s="303">
        <v>1</v>
      </c>
      <c r="U32" s="302"/>
      <c r="V32" s="253">
        <v>0.97916666666666663</v>
      </c>
      <c r="W32" s="253">
        <v>0.8125</v>
      </c>
      <c r="X32" s="285">
        <f t="shared" si="3"/>
        <v>1</v>
      </c>
      <c r="Y32" s="303"/>
      <c r="Z32" s="287">
        <v>1</v>
      </c>
      <c r="AA32" s="253">
        <v>0.9838709677419355</v>
      </c>
      <c r="AB32" s="253">
        <v>0.9838709677419355</v>
      </c>
      <c r="AC32" s="285">
        <f t="shared" si="4"/>
        <v>1</v>
      </c>
      <c r="AD32" s="303"/>
      <c r="AE32" s="287">
        <v>1</v>
      </c>
      <c r="AF32" s="253">
        <v>0.97619047619047616</v>
      </c>
      <c r="AG32" s="253">
        <v>0.97619047619047616</v>
      </c>
      <c r="AH32" s="285">
        <f t="shared" si="5"/>
        <v>1</v>
      </c>
      <c r="AI32" s="260"/>
      <c r="AJ32" s="257">
        <v>3</v>
      </c>
      <c r="AK32" s="253">
        <v>0.88095238095238093</v>
      </c>
      <c r="AL32" s="253">
        <v>0.73809523809523814</v>
      </c>
      <c r="AM32" s="285">
        <f t="shared" si="6"/>
        <v>3</v>
      </c>
      <c r="AN32" s="260"/>
      <c r="AO32" s="257">
        <v>1</v>
      </c>
      <c r="AP32" s="253">
        <v>0.97916666666666663</v>
      </c>
      <c r="AQ32" s="253">
        <v>0.89583333333333337</v>
      </c>
      <c r="AR32" s="285">
        <f t="shared" si="7"/>
        <v>1</v>
      </c>
      <c r="AS32" s="260"/>
      <c r="AT32" s="257">
        <v>1</v>
      </c>
      <c r="AU32" s="253">
        <v>0.97826086956521741</v>
      </c>
      <c r="AV32" s="253">
        <v>0.97826086956521741</v>
      </c>
      <c r="AW32" s="285">
        <f t="shared" si="8"/>
        <v>1</v>
      </c>
      <c r="AX32" s="260"/>
      <c r="AY32" s="257">
        <v>3</v>
      </c>
      <c r="AZ32" s="253">
        <v>0.90740740740740744</v>
      </c>
      <c r="BA32" s="253">
        <v>0.83333333333333337</v>
      </c>
      <c r="BB32" s="285">
        <f t="shared" si="9"/>
        <v>3</v>
      </c>
      <c r="BC32" s="260"/>
      <c r="BD32" s="257">
        <v>1</v>
      </c>
      <c r="BE32" s="304">
        <v>0.98148148148148151</v>
      </c>
      <c r="BF32" s="253">
        <v>0.98148148148148151</v>
      </c>
      <c r="BG32" s="285">
        <f t="shared" si="10"/>
        <v>1</v>
      </c>
      <c r="BH32" s="298"/>
      <c r="BI32" s="257">
        <v>1</v>
      </c>
      <c r="BJ32" s="304">
        <v>0.96153846153846156</v>
      </c>
      <c r="BK32" s="253">
        <v>0.65384615384615385</v>
      </c>
      <c r="BL32" s="285">
        <f t="shared" si="11"/>
        <v>1</v>
      </c>
      <c r="BM32" s="305"/>
      <c r="BN32" s="257">
        <v>2</v>
      </c>
      <c r="BO32" s="304">
        <v>0.9375</v>
      </c>
      <c r="BP32" s="253">
        <v>0.60416666666666674</v>
      </c>
      <c r="BQ32" s="285">
        <f t="shared" si="12"/>
        <v>2</v>
      </c>
      <c r="BR32" s="298"/>
      <c r="BS32" s="81" t="s">
        <v>62</v>
      </c>
      <c r="BT32" s="304">
        <v>0.98</v>
      </c>
      <c r="BU32" s="253">
        <v>0.98</v>
      </c>
      <c r="BV32" s="285">
        <f t="shared" si="13"/>
        <v>1</v>
      </c>
      <c r="BW32" s="298"/>
      <c r="BX32" s="257">
        <v>3</v>
      </c>
      <c r="BY32" s="304">
        <v>0.91666666666666663</v>
      </c>
      <c r="BZ32" s="253">
        <v>0.71666666666666667</v>
      </c>
      <c r="CA32" s="285">
        <f t="shared" si="14"/>
        <v>3</v>
      </c>
      <c r="CB32" s="298"/>
      <c r="CC32" s="257">
        <v>3</v>
      </c>
      <c r="CD32" s="304">
        <v>0.91666666666666663</v>
      </c>
      <c r="CE32" s="253">
        <v>0.8833333333333333</v>
      </c>
      <c r="CF32" s="285">
        <f t="shared" si="15"/>
        <v>3</v>
      </c>
      <c r="CG32" s="298"/>
      <c r="CH32" s="257">
        <v>5</v>
      </c>
      <c r="CI32" s="304">
        <v>0.85</v>
      </c>
      <c r="CJ32" s="253">
        <v>0.75</v>
      </c>
      <c r="CK32" s="285">
        <f t="shared" si="16"/>
        <v>5</v>
      </c>
      <c r="CL32" s="298"/>
      <c r="CM32" s="81" t="s">
        <v>62</v>
      </c>
      <c r="CN32" s="304">
        <v>0.984375</v>
      </c>
      <c r="CO32" s="455">
        <v>0.984375</v>
      </c>
      <c r="CP32" s="285">
        <f t="shared" si="17"/>
        <v>1</v>
      </c>
      <c r="CQ32" s="298"/>
      <c r="CR32" s="257">
        <v>1</v>
      </c>
      <c r="CS32" s="287">
        <v>0.97499999999999998</v>
      </c>
      <c r="CT32" s="301">
        <v>0.82499999999999996</v>
      </c>
      <c r="CU32" s="285">
        <f t="shared" si="18"/>
        <v>1</v>
      </c>
      <c r="CV32" s="298"/>
      <c r="CW32" s="257">
        <v>2</v>
      </c>
      <c r="CX32" s="304">
        <v>0.95454545454545459</v>
      </c>
      <c r="CY32" s="253">
        <v>0.86363636363636365</v>
      </c>
      <c r="CZ32" s="285">
        <f t="shared" si="19"/>
        <v>2</v>
      </c>
      <c r="DA32" s="298"/>
      <c r="DB32" s="257">
        <v>2</v>
      </c>
      <c r="DC32" s="304">
        <v>0.9375</v>
      </c>
      <c r="DD32" s="253">
        <v>0.77083333333333337</v>
      </c>
      <c r="DE32" s="285">
        <f t="shared" si="20"/>
        <v>2</v>
      </c>
      <c r="DF32" s="298"/>
      <c r="DG32" s="257">
        <v>1</v>
      </c>
      <c r="DH32" s="304">
        <v>0.98611111111111116</v>
      </c>
      <c r="DI32" s="253">
        <v>0.90277777777777779</v>
      </c>
      <c r="DJ32" s="285">
        <f t="shared" si="21"/>
        <v>1</v>
      </c>
      <c r="DK32" s="298"/>
      <c r="DL32" s="257">
        <v>1</v>
      </c>
      <c r="DM32" s="304">
        <v>0.9821428571428571</v>
      </c>
      <c r="DN32" s="253">
        <v>0.9464285714285714</v>
      </c>
      <c r="DO32" s="285">
        <f t="shared" si="22"/>
        <v>1</v>
      </c>
      <c r="DP32" s="298"/>
      <c r="DQ32" s="257">
        <v>4</v>
      </c>
      <c r="DR32" s="304">
        <v>0.87931034482758619</v>
      </c>
      <c r="DS32" s="253">
        <v>0.81034482758620685</v>
      </c>
      <c r="DT32" s="285">
        <f t="shared" si="23"/>
        <v>4</v>
      </c>
      <c r="DU32" s="298"/>
      <c r="DV32" s="257">
        <v>1</v>
      </c>
      <c r="DW32" s="304">
        <v>0.98484848484848486</v>
      </c>
      <c r="DX32" s="253">
        <v>0.89393939393939392</v>
      </c>
      <c r="DY32" s="285">
        <f t="shared" si="24"/>
        <v>1</v>
      </c>
      <c r="DZ32" s="475"/>
      <c r="EA32" s="257">
        <v>3</v>
      </c>
      <c r="EB32" s="461">
        <v>0.94444444444444442</v>
      </c>
      <c r="EC32" s="463">
        <v>0.83333333333333337</v>
      </c>
      <c r="ED32" s="285">
        <f t="shared" si="25"/>
        <v>3</v>
      </c>
      <c r="EE32" s="475"/>
      <c r="EF32" s="257">
        <v>1</v>
      </c>
      <c r="EG32" s="461">
        <v>0.98717948717948723</v>
      </c>
      <c r="EH32" s="463">
        <v>0.85897435897435903</v>
      </c>
      <c r="EI32" s="285">
        <f t="shared" si="26"/>
        <v>1</v>
      </c>
      <c r="EJ32" s="467">
        <f t="shared" si="27"/>
        <v>27</v>
      </c>
      <c r="EK32" s="522">
        <f t="shared" si="28"/>
        <v>16</v>
      </c>
      <c r="EL32" s="267">
        <f t="shared" si="29"/>
        <v>27</v>
      </c>
      <c r="EM32" s="267">
        <f t="shared" si="30"/>
        <v>2</v>
      </c>
      <c r="EN32" s="516">
        <f t="shared" si="31"/>
        <v>2</v>
      </c>
      <c r="EO32" s="273">
        <f t="shared" si="32"/>
        <v>14</v>
      </c>
      <c r="EP32" s="15"/>
      <c r="EQ32" s="61">
        <f t="shared" si="33"/>
        <v>53</v>
      </c>
      <c r="ER32" s="187">
        <f t="shared" si="47"/>
        <v>53</v>
      </c>
      <c r="ES32" s="28">
        <f t="shared" si="34"/>
        <v>1.962962962962963</v>
      </c>
      <c r="ET32" s="62">
        <f t="shared" si="35"/>
        <v>1.962962962962963</v>
      </c>
      <c r="EU32" s="63"/>
      <c r="EV32" s="247">
        <f t="shared" si="36"/>
        <v>53</v>
      </c>
      <c r="EW32" s="249">
        <f t="shared" si="37"/>
        <v>53</v>
      </c>
      <c r="EX32" s="23">
        <f t="shared" si="38"/>
        <v>1.962962962962963</v>
      </c>
      <c r="EY32" s="74">
        <f t="shared" si="39"/>
        <v>1.962962962962963</v>
      </c>
      <c r="EZ32" s="63"/>
      <c r="FA32" s="336">
        <f t="shared" si="40"/>
        <v>25</v>
      </c>
      <c r="FB32" s="337">
        <f t="shared" si="41"/>
        <v>2</v>
      </c>
      <c r="FC32" s="333">
        <f t="shared" si="42"/>
        <v>25.510992562310115</v>
      </c>
      <c r="FD32" s="420">
        <f t="shared" si="43"/>
        <v>0.94485157638185613</v>
      </c>
      <c r="FE32" s="433">
        <f t="shared" si="44"/>
        <v>22.911745289786982</v>
      </c>
      <c r="FF32" s="213">
        <f t="shared" si="45"/>
        <v>0.84858315888099933</v>
      </c>
      <c r="FG32" s="15"/>
      <c r="FH32" s="37">
        <f t="shared" si="46"/>
        <v>6</v>
      </c>
    </row>
    <row r="33" spans="2:167" ht="17" customHeight="1" thickBot="1" x14ac:dyDescent="0.25">
      <c r="B33" s="258" t="s">
        <v>134</v>
      </c>
      <c r="C33" s="259" t="s">
        <v>135</v>
      </c>
      <c r="D33" s="299">
        <v>519904</v>
      </c>
      <c r="E33" s="300"/>
      <c r="F33" s="285">
        <v>1</v>
      </c>
      <c r="G33" s="306">
        <v>0.97619047619047616</v>
      </c>
      <c r="H33" s="306">
        <v>0.83333333333333337</v>
      </c>
      <c r="I33" s="285">
        <f t="shared" si="0"/>
        <v>1</v>
      </c>
      <c r="J33" s="301"/>
      <c r="K33" s="302"/>
      <c r="L33" s="301"/>
      <c r="M33" s="301"/>
      <c r="N33" s="285">
        <f t="shared" si="1"/>
        <v>0</v>
      </c>
      <c r="O33" s="303">
        <v>6</v>
      </c>
      <c r="P33" s="302"/>
      <c r="Q33" s="253">
        <v>0.77083333333333337</v>
      </c>
      <c r="R33" s="253">
        <v>0.3125</v>
      </c>
      <c r="S33" s="285">
        <f t="shared" si="2"/>
        <v>6</v>
      </c>
      <c r="T33" s="303">
        <v>2</v>
      </c>
      <c r="U33" s="302"/>
      <c r="V33" s="253">
        <v>0.9375</v>
      </c>
      <c r="W33" s="253">
        <v>0.52083333333333326</v>
      </c>
      <c r="X33" s="285">
        <f t="shared" si="3"/>
        <v>2</v>
      </c>
      <c r="Y33" s="303"/>
      <c r="Z33" s="287">
        <v>3</v>
      </c>
      <c r="AA33" s="253">
        <v>0.91935483870967738</v>
      </c>
      <c r="AB33" s="253">
        <v>0.66129032258064524</v>
      </c>
      <c r="AC33" s="285">
        <f t="shared" si="4"/>
        <v>3</v>
      </c>
      <c r="AD33" s="303"/>
      <c r="AE33" s="287">
        <v>2</v>
      </c>
      <c r="AF33" s="253">
        <v>0.9285714285714286</v>
      </c>
      <c r="AG33" s="253">
        <v>0.69047619047619047</v>
      </c>
      <c r="AH33" s="285">
        <f t="shared" si="5"/>
        <v>2</v>
      </c>
      <c r="AI33" s="260"/>
      <c r="AJ33" s="257">
        <v>1</v>
      </c>
      <c r="AK33" s="253">
        <v>0.97619047619047616</v>
      </c>
      <c r="AL33" s="253">
        <v>0.54761904761904767</v>
      </c>
      <c r="AM33" s="285">
        <f t="shared" si="6"/>
        <v>1</v>
      </c>
      <c r="AN33" s="260"/>
      <c r="AO33" s="257">
        <v>3</v>
      </c>
      <c r="AP33" s="253">
        <v>0.89583333333333337</v>
      </c>
      <c r="AQ33" s="253">
        <v>0.47916666666666663</v>
      </c>
      <c r="AR33" s="285">
        <f t="shared" si="7"/>
        <v>3</v>
      </c>
      <c r="AS33" s="260"/>
      <c r="AT33" s="81" t="s">
        <v>62</v>
      </c>
      <c r="AU33" s="253">
        <v>0.97826086956521741</v>
      </c>
      <c r="AV33" s="253">
        <v>0.93478260869565222</v>
      </c>
      <c r="AW33" s="285">
        <f t="shared" si="8"/>
        <v>1</v>
      </c>
      <c r="AX33" s="260"/>
      <c r="AY33" s="257">
        <v>2</v>
      </c>
      <c r="AZ33" s="253">
        <v>0.94444444444444442</v>
      </c>
      <c r="BA33" s="253">
        <v>0.57407407407407407</v>
      </c>
      <c r="BB33" s="285">
        <f t="shared" si="9"/>
        <v>2</v>
      </c>
      <c r="BC33" s="260"/>
      <c r="BD33" s="257" t="s">
        <v>2</v>
      </c>
      <c r="BE33" s="304">
        <v>9.259259259259256E-2</v>
      </c>
      <c r="BF33" s="253">
        <v>9.259259259259256E-2</v>
      </c>
      <c r="BG33" s="285">
        <f t="shared" si="10"/>
        <v>23</v>
      </c>
      <c r="BH33" s="298"/>
      <c r="BI33" s="257"/>
      <c r="BJ33" s="287"/>
      <c r="BK33" s="301"/>
      <c r="BL33" s="285">
        <f t="shared" si="11"/>
        <v>0</v>
      </c>
      <c r="BM33" s="305"/>
      <c r="BN33" s="257">
        <v>5</v>
      </c>
      <c r="BO33" s="304">
        <v>0.8125</v>
      </c>
      <c r="BP33" s="253">
        <v>0.14583333333333337</v>
      </c>
      <c r="BQ33" s="285">
        <f t="shared" si="12"/>
        <v>5</v>
      </c>
      <c r="BR33" s="298"/>
      <c r="BS33" s="257">
        <v>1</v>
      </c>
      <c r="BT33" s="304">
        <v>0.98</v>
      </c>
      <c r="BU33" s="253">
        <v>0.26</v>
      </c>
      <c r="BV33" s="285">
        <f t="shared" si="13"/>
        <v>1</v>
      </c>
      <c r="BW33" s="298"/>
      <c r="BX33" s="257">
        <v>1</v>
      </c>
      <c r="BY33" s="304">
        <v>0.98333333333333328</v>
      </c>
      <c r="BZ33" s="253">
        <v>0.85</v>
      </c>
      <c r="CA33" s="285">
        <f t="shared" si="14"/>
        <v>1</v>
      </c>
      <c r="CB33" s="298"/>
      <c r="CC33" s="257">
        <v>1</v>
      </c>
      <c r="CD33" s="304">
        <v>0.98333333333333328</v>
      </c>
      <c r="CE33" s="253">
        <v>0.98333333333333328</v>
      </c>
      <c r="CF33" s="285">
        <f t="shared" si="15"/>
        <v>1</v>
      </c>
      <c r="CG33" s="446"/>
      <c r="CH33" s="257">
        <v>1</v>
      </c>
      <c r="CI33" s="304">
        <v>0.98333333333333328</v>
      </c>
      <c r="CJ33" s="253">
        <v>0.71666666666666667</v>
      </c>
      <c r="CK33" s="285">
        <f>SUM(CG33:CH33)+IF(CI60="B",1,0)*CG$102+IF(CH33="B",1,0)*CH$102+IF(CI60="Løype",1)*$O$4+IF(CH33="Løype",1)*$O$4+IF(CI60="Arr",1)*$O$5+IF(CH33="Arr",1)*$O$5</f>
        <v>1</v>
      </c>
      <c r="CL33" s="298"/>
      <c r="CM33" s="257">
        <v>2</v>
      </c>
      <c r="CN33" s="304">
        <v>0.953125</v>
      </c>
      <c r="CO33" s="253">
        <v>0.640625</v>
      </c>
      <c r="CP33" s="285">
        <f t="shared" si="17"/>
        <v>2</v>
      </c>
      <c r="CQ33" s="298"/>
      <c r="CR33" s="81" t="s">
        <v>62</v>
      </c>
      <c r="CS33" s="287">
        <v>0.97499999999999998</v>
      </c>
      <c r="CT33" s="301">
        <v>0.97499999999999998</v>
      </c>
      <c r="CU33" s="285">
        <f t="shared" si="18"/>
        <v>1</v>
      </c>
      <c r="CV33" s="298"/>
      <c r="CW33" s="257">
        <v>1</v>
      </c>
      <c r="CX33" s="304">
        <v>0.98484848484848486</v>
      </c>
      <c r="CY33" s="253">
        <v>0.83333333333333337</v>
      </c>
      <c r="CZ33" s="285">
        <f t="shared" si="19"/>
        <v>1</v>
      </c>
      <c r="DA33" s="298"/>
      <c r="DB33" s="257"/>
      <c r="DC33" s="287"/>
      <c r="DD33" s="301"/>
      <c r="DE33" s="285">
        <f t="shared" si="20"/>
        <v>0</v>
      </c>
      <c r="DF33" s="298"/>
      <c r="DG33" s="257">
        <v>10</v>
      </c>
      <c r="DH33" s="304">
        <v>0.73611111111111116</v>
      </c>
      <c r="DI33" s="253">
        <v>0.34722222222222221</v>
      </c>
      <c r="DJ33" s="285">
        <f t="shared" si="21"/>
        <v>10</v>
      </c>
      <c r="DK33" s="298"/>
      <c r="DL33" s="257">
        <v>2</v>
      </c>
      <c r="DM33" s="304">
        <v>0.9464285714285714</v>
      </c>
      <c r="DN33" s="253">
        <v>0.875</v>
      </c>
      <c r="DO33" s="285">
        <f t="shared" si="22"/>
        <v>2</v>
      </c>
      <c r="DP33" s="298"/>
      <c r="DQ33" s="257">
        <v>1</v>
      </c>
      <c r="DR33" s="304">
        <v>0.98275862068965514</v>
      </c>
      <c r="DS33" s="253">
        <v>0.84482758620689657</v>
      </c>
      <c r="DT33" s="285">
        <f t="shared" si="23"/>
        <v>1</v>
      </c>
      <c r="DU33" s="298"/>
      <c r="DV33" s="257">
        <v>24</v>
      </c>
      <c r="DW33" s="304">
        <v>0.22727272727272729</v>
      </c>
      <c r="DX33" s="253">
        <v>1.5151515151515138E-2</v>
      </c>
      <c r="DY33" s="285">
        <f t="shared" si="24"/>
        <v>24</v>
      </c>
      <c r="DZ33" s="475"/>
      <c r="EA33" s="257"/>
      <c r="EB33" s="287"/>
      <c r="EC33" s="301"/>
      <c r="ED33" s="285">
        <f t="shared" si="25"/>
        <v>0</v>
      </c>
      <c r="EE33" s="475"/>
      <c r="EF33" s="257">
        <v>2</v>
      </c>
      <c r="EG33" s="461">
        <v>0.96153846153846156</v>
      </c>
      <c r="EH33" s="463">
        <v>0.75641025641025639</v>
      </c>
      <c r="EI33" s="285">
        <f t="shared" si="26"/>
        <v>2</v>
      </c>
      <c r="EJ33" s="467">
        <f t="shared" si="27"/>
        <v>23</v>
      </c>
      <c r="EK33" s="522">
        <f t="shared" si="28"/>
        <v>13</v>
      </c>
      <c r="EL33" s="267">
        <f t="shared" si="29"/>
        <v>22</v>
      </c>
      <c r="EM33" s="267">
        <f t="shared" si="30"/>
        <v>2</v>
      </c>
      <c r="EN33" s="516">
        <f t="shared" si="31"/>
        <v>1</v>
      </c>
      <c r="EO33" s="273">
        <f t="shared" si="32"/>
        <v>12</v>
      </c>
      <c r="EP33" s="15"/>
      <c r="EQ33" s="61">
        <f t="shared" si="33"/>
        <v>96</v>
      </c>
      <c r="ER33" s="187">
        <f t="shared" si="47"/>
        <v>73</v>
      </c>
      <c r="ES33" s="28">
        <f t="shared" si="34"/>
        <v>4.1739130434782608</v>
      </c>
      <c r="ET33" s="62">
        <f t="shared" si="35"/>
        <v>3.3181818181818183</v>
      </c>
      <c r="EU33" s="63"/>
      <c r="EV33" s="247">
        <f t="shared" si="36"/>
        <v>100</v>
      </c>
      <c r="EW33" s="249">
        <f t="shared" si="37"/>
        <v>78</v>
      </c>
      <c r="EX33" s="23">
        <f t="shared" si="38"/>
        <v>4.3478260869565215</v>
      </c>
      <c r="EY33" s="74">
        <f t="shared" si="39"/>
        <v>3.5454545454545454</v>
      </c>
      <c r="EZ33" s="63"/>
      <c r="FA33" s="336">
        <f t="shared" si="40"/>
        <v>21</v>
      </c>
      <c r="FB33" s="337">
        <f t="shared" si="41"/>
        <v>2</v>
      </c>
      <c r="FC33" s="333">
        <f t="shared" si="42"/>
        <v>19.929354769819987</v>
      </c>
      <c r="FD33" s="420">
        <f t="shared" si="43"/>
        <v>0.86649368564434726</v>
      </c>
      <c r="FE33" s="433">
        <f t="shared" si="44"/>
        <v>13.890071416029091</v>
      </c>
      <c r="FF33" s="213">
        <f t="shared" si="45"/>
        <v>0.6039161485230039</v>
      </c>
      <c r="FG33" s="15"/>
      <c r="FH33" s="37">
        <f t="shared" si="46"/>
        <v>7</v>
      </c>
    </row>
    <row r="34" spans="2:167" ht="17" thickBot="1" x14ac:dyDescent="0.25">
      <c r="B34" s="258" t="s">
        <v>63</v>
      </c>
      <c r="C34" s="259" t="s">
        <v>98</v>
      </c>
      <c r="D34" s="299">
        <v>527270</v>
      </c>
      <c r="E34" s="300"/>
      <c r="F34" s="285">
        <v>8</v>
      </c>
      <c r="G34" s="306">
        <v>0.64285714285714279</v>
      </c>
      <c r="H34" s="306">
        <v>0.30952380952380953</v>
      </c>
      <c r="I34" s="285">
        <f t="shared" si="0"/>
        <v>8</v>
      </c>
      <c r="J34" s="301"/>
      <c r="K34" s="302">
        <v>8</v>
      </c>
      <c r="L34" s="253">
        <v>0.6875</v>
      </c>
      <c r="M34" s="253">
        <v>0.39583333333333337</v>
      </c>
      <c r="N34" s="285">
        <f t="shared" si="1"/>
        <v>8</v>
      </c>
      <c r="O34" s="303">
        <v>12</v>
      </c>
      <c r="P34" s="302"/>
      <c r="Q34" s="253">
        <v>0.52083333333333326</v>
      </c>
      <c r="R34" s="253">
        <v>0.35416666666666663</v>
      </c>
      <c r="S34" s="285">
        <f t="shared" si="2"/>
        <v>12</v>
      </c>
      <c r="T34" s="303">
        <v>5</v>
      </c>
      <c r="U34" s="302"/>
      <c r="V34" s="253">
        <v>0.8125</v>
      </c>
      <c r="W34" s="253">
        <v>0.64583333333333326</v>
      </c>
      <c r="X34" s="285">
        <f t="shared" si="3"/>
        <v>5</v>
      </c>
      <c r="Y34" s="303"/>
      <c r="Z34" s="287" t="s">
        <v>2</v>
      </c>
      <c r="AA34" s="251">
        <v>1.6129032258064502E-2</v>
      </c>
      <c r="AB34" s="251">
        <v>1.6129032258064502E-2</v>
      </c>
      <c r="AC34" s="285">
        <f t="shared" si="4"/>
        <v>28</v>
      </c>
      <c r="AD34" s="303"/>
      <c r="AE34" s="287">
        <v>11</v>
      </c>
      <c r="AF34" s="253">
        <v>0.5</v>
      </c>
      <c r="AG34" s="253">
        <v>0.30952380952380953</v>
      </c>
      <c r="AH34" s="285">
        <f t="shared" si="5"/>
        <v>11</v>
      </c>
      <c r="AI34" s="260"/>
      <c r="AJ34" s="257"/>
      <c r="AK34" s="301"/>
      <c r="AL34" s="301"/>
      <c r="AM34" s="285">
        <f t="shared" si="6"/>
        <v>0</v>
      </c>
      <c r="AN34" s="260"/>
      <c r="AO34" s="257"/>
      <c r="AP34" s="301"/>
      <c r="AQ34" s="301"/>
      <c r="AR34" s="285">
        <f t="shared" si="7"/>
        <v>0</v>
      </c>
      <c r="AS34" s="260"/>
      <c r="AT34" s="257"/>
      <c r="AU34" s="301"/>
      <c r="AV34" s="301"/>
      <c r="AW34" s="285">
        <f t="shared" si="8"/>
        <v>0</v>
      </c>
      <c r="AX34" s="260"/>
      <c r="AY34" s="81" t="s">
        <v>62</v>
      </c>
      <c r="AZ34" s="253">
        <v>0.98148148148148151</v>
      </c>
      <c r="BA34" s="253">
        <v>9.259259259259256E-2</v>
      </c>
      <c r="BB34" s="285">
        <f t="shared" si="9"/>
        <v>1</v>
      </c>
      <c r="BC34" s="260"/>
      <c r="BD34" s="257">
        <v>13</v>
      </c>
      <c r="BE34" s="304">
        <v>0.53703703703703698</v>
      </c>
      <c r="BF34" s="253">
        <v>0.31481481481481477</v>
      </c>
      <c r="BG34" s="285">
        <f t="shared" si="10"/>
        <v>13</v>
      </c>
      <c r="BH34" s="298"/>
      <c r="BI34" s="257"/>
      <c r="BJ34" s="287"/>
      <c r="BK34" s="301"/>
      <c r="BL34" s="285">
        <f t="shared" si="11"/>
        <v>0</v>
      </c>
      <c r="BM34" s="305"/>
      <c r="BN34" s="257">
        <v>9</v>
      </c>
      <c r="BO34" s="304">
        <v>0.64583333333333326</v>
      </c>
      <c r="BP34" s="253">
        <v>0.35416666666666663</v>
      </c>
      <c r="BQ34" s="285">
        <f t="shared" si="12"/>
        <v>9</v>
      </c>
      <c r="BR34" s="298"/>
      <c r="BS34" s="257">
        <v>9</v>
      </c>
      <c r="BT34" s="304">
        <v>0.62</v>
      </c>
      <c r="BU34" s="253">
        <v>0.21999999999999997</v>
      </c>
      <c r="BV34" s="285">
        <f t="shared" si="13"/>
        <v>9</v>
      </c>
      <c r="BW34" s="298"/>
      <c r="BX34" s="257"/>
      <c r="BY34" s="287"/>
      <c r="BZ34" s="301"/>
      <c r="CA34" s="285">
        <f t="shared" si="14"/>
        <v>0</v>
      </c>
      <c r="CB34" s="298"/>
      <c r="CC34" s="257">
        <v>11</v>
      </c>
      <c r="CD34" s="304">
        <v>0.6166666666666667</v>
      </c>
      <c r="CE34" s="253">
        <v>0.55000000000000004</v>
      </c>
      <c r="CF34" s="285">
        <f t="shared" si="15"/>
        <v>11</v>
      </c>
      <c r="CG34" s="298"/>
      <c r="CH34" s="257">
        <v>4</v>
      </c>
      <c r="CI34" s="304">
        <v>0.8833333333333333</v>
      </c>
      <c r="CJ34" s="253">
        <v>0.78333333333333333</v>
      </c>
      <c r="CK34" s="285">
        <f>SUM(CG34:CH34)+IF(CG34="B",1,0)*CG$102+IF(CH34="B",1,0)*CH$102+IF(CG34="Løype",1)*$O$4+IF(CH34="Løype",1)*$O$4+IF(CG34="Arr",1)*$O$5+IF(CH34="Arr",1)*$O$5</f>
        <v>4</v>
      </c>
      <c r="CL34" s="298"/>
      <c r="CM34" s="257">
        <v>9</v>
      </c>
      <c r="CN34" s="304">
        <v>0.734375</v>
      </c>
      <c r="CO34" s="454">
        <v>0.453125</v>
      </c>
      <c r="CP34" s="285">
        <f t="shared" si="17"/>
        <v>9</v>
      </c>
      <c r="CQ34" s="298"/>
      <c r="CR34" s="257">
        <v>12</v>
      </c>
      <c r="CS34" s="287">
        <v>0.42500000000000004</v>
      </c>
      <c r="CT34" s="301">
        <v>0.17500000000000004</v>
      </c>
      <c r="CU34" s="285">
        <f t="shared" si="18"/>
        <v>12</v>
      </c>
      <c r="CV34" s="298"/>
      <c r="CW34" s="257">
        <v>8</v>
      </c>
      <c r="CX34" s="304">
        <v>0.77272727272727271</v>
      </c>
      <c r="CY34" s="253">
        <v>0.53030303030303028</v>
      </c>
      <c r="CZ34" s="285">
        <f t="shared" si="19"/>
        <v>8</v>
      </c>
      <c r="DA34" s="298"/>
      <c r="DB34" s="257">
        <v>20</v>
      </c>
      <c r="DC34" s="304">
        <v>0.14583333333333337</v>
      </c>
      <c r="DD34" s="253">
        <v>0.10416666666666663</v>
      </c>
      <c r="DE34" s="285">
        <f t="shared" si="20"/>
        <v>20</v>
      </c>
      <c r="DF34" s="298"/>
      <c r="DG34" s="81" t="s">
        <v>62</v>
      </c>
      <c r="DH34" s="304">
        <v>0.98611111111111116</v>
      </c>
      <c r="DI34" s="253">
        <v>0.98611111111111116</v>
      </c>
      <c r="DJ34" s="285">
        <f t="shared" si="21"/>
        <v>1</v>
      </c>
      <c r="DK34" s="298"/>
      <c r="DL34" s="257">
        <v>10</v>
      </c>
      <c r="DM34" s="304">
        <v>0.6607142857142857</v>
      </c>
      <c r="DN34" s="253">
        <v>0.6607142857142857</v>
      </c>
      <c r="DO34" s="285">
        <f t="shared" si="22"/>
        <v>10</v>
      </c>
      <c r="DP34" s="298"/>
      <c r="DQ34" s="257">
        <v>10</v>
      </c>
      <c r="DR34" s="304">
        <v>0.67241379310344829</v>
      </c>
      <c r="DS34" s="253">
        <v>0.46551724137931039</v>
      </c>
      <c r="DT34" s="285">
        <f t="shared" si="23"/>
        <v>10</v>
      </c>
      <c r="DU34" s="298"/>
      <c r="DV34" s="257">
        <v>11</v>
      </c>
      <c r="DW34" s="461">
        <v>0.68181818181818188</v>
      </c>
      <c r="DX34" s="463">
        <v>0.40909090909090906</v>
      </c>
      <c r="DY34" s="285">
        <f t="shared" si="24"/>
        <v>11</v>
      </c>
      <c r="DZ34" s="475"/>
      <c r="EA34" s="456">
        <v>12</v>
      </c>
      <c r="EB34" s="461">
        <v>0.72222222222222221</v>
      </c>
      <c r="EC34" s="463">
        <v>0.43333333333333335</v>
      </c>
      <c r="ED34" s="285">
        <f t="shared" si="25"/>
        <v>12</v>
      </c>
      <c r="EE34" s="475"/>
      <c r="EF34" s="456">
        <v>4</v>
      </c>
      <c r="EG34" s="461">
        <v>0.91025641025641024</v>
      </c>
      <c r="EH34" s="463">
        <v>0.65384615384615385</v>
      </c>
      <c r="EI34" s="285">
        <f t="shared" si="26"/>
        <v>4</v>
      </c>
      <c r="EJ34" s="467">
        <f t="shared" si="27"/>
        <v>22</v>
      </c>
      <c r="EK34" s="522">
        <f t="shared" si="28"/>
        <v>14</v>
      </c>
      <c r="EL34" s="267">
        <f t="shared" si="29"/>
        <v>21</v>
      </c>
      <c r="EM34" s="267">
        <f t="shared" si="30"/>
        <v>2</v>
      </c>
      <c r="EN34" s="516">
        <f t="shared" si="31"/>
        <v>1</v>
      </c>
      <c r="EO34" s="273">
        <f t="shared" si="32"/>
        <v>13</v>
      </c>
      <c r="EP34" s="15"/>
      <c r="EQ34" s="61">
        <f t="shared" si="33"/>
        <v>216</v>
      </c>
      <c r="ER34" s="187">
        <f t="shared" si="47"/>
        <v>188</v>
      </c>
      <c r="ES34" s="28">
        <f t="shared" si="34"/>
        <v>9.8181818181818183</v>
      </c>
      <c r="ET34" s="62">
        <f t="shared" si="35"/>
        <v>8.9523809523809526</v>
      </c>
      <c r="EU34" s="63"/>
      <c r="EV34" s="247">
        <f t="shared" si="36"/>
        <v>221</v>
      </c>
      <c r="EW34" s="249">
        <f t="shared" si="37"/>
        <v>194</v>
      </c>
      <c r="EX34" s="23">
        <f t="shared" si="38"/>
        <v>10.045454545454545</v>
      </c>
      <c r="EY34" s="74">
        <f t="shared" si="39"/>
        <v>9.2380952380952372</v>
      </c>
      <c r="EZ34" s="63"/>
      <c r="FA34" s="336">
        <f t="shared" si="40"/>
        <v>20</v>
      </c>
      <c r="FB34" s="337">
        <f t="shared" si="41"/>
        <v>2</v>
      </c>
      <c r="FC34" s="333">
        <f t="shared" si="42"/>
        <v>14.17564297058666</v>
      </c>
      <c r="FD34" s="420">
        <f t="shared" si="43"/>
        <v>0.64434740775393906</v>
      </c>
      <c r="FE34" s="433">
        <f t="shared" si="44"/>
        <v>9.2171251234912237</v>
      </c>
      <c r="FF34" s="213">
        <f t="shared" si="45"/>
        <v>0.41896023288596473</v>
      </c>
      <c r="FG34" s="15"/>
      <c r="FH34" s="37">
        <f t="shared" si="46"/>
        <v>8</v>
      </c>
    </row>
    <row r="35" spans="2:167" ht="17" customHeight="1" thickBot="1" x14ac:dyDescent="0.25">
      <c r="B35" s="258" t="s">
        <v>88</v>
      </c>
      <c r="C35" s="259" t="s">
        <v>89</v>
      </c>
      <c r="D35" s="299">
        <v>515741</v>
      </c>
      <c r="E35" s="300"/>
      <c r="F35" s="285">
        <v>11</v>
      </c>
      <c r="G35" s="306">
        <v>0.5</v>
      </c>
      <c r="H35" s="306">
        <v>0.3571428571428571</v>
      </c>
      <c r="I35" s="285">
        <f t="shared" si="0"/>
        <v>11</v>
      </c>
      <c r="J35" s="301"/>
      <c r="K35" s="145" t="s">
        <v>62</v>
      </c>
      <c r="L35" s="253">
        <v>0.97916666666666663</v>
      </c>
      <c r="M35" s="253">
        <v>0.97916666666666663</v>
      </c>
      <c r="N35" s="285">
        <f t="shared" si="1"/>
        <v>1</v>
      </c>
      <c r="O35" s="303"/>
      <c r="P35" s="302"/>
      <c r="Q35" s="301"/>
      <c r="R35" s="301"/>
      <c r="S35" s="285">
        <f t="shared" si="2"/>
        <v>0</v>
      </c>
      <c r="T35" s="303">
        <v>19</v>
      </c>
      <c r="U35" s="302"/>
      <c r="V35" s="253">
        <v>0.22916666666666663</v>
      </c>
      <c r="W35" s="253">
        <v>0.1875</v>
      </c>
      <c r="X35" s="285">
        <f t="shared" si="3"/>
        <v>19</v>
      </c>
      <c r="Y35" s="303"/>
      <c r="Z35" s="287">
        <v>6</v>
      </c>
      <c r="AA35" s="253">
        <v>0.82258064516129026</v>
      </c>
      <c r="AB35" s="253">
        <v>0.85483870967741937</v>
      </c>
      <c r="AC35" s="285">
        <f t="shared" si="4"/>
        <v>6</v>
      </c>
      <c r="AD35" s="303"/>
      <c r="AE35" s="287"/>
      <c r="AF35" s="253"/>
      <c r="AG35" s="253"/>
      <c r="AH35" s="285">
        <f t="shared" si="5"/>
        <v>0</v>
      </c>
      <c r="AI35" s="260"/>
      <c r="AJ35" s="257"/>
      <c r="AK35" s="301"/>
      <c r="AL35" s="301"/>
      <c r="AM35" s="285">
        <f t="shared" si="6"/>
        <v>0</v>
      </c>
      <c r="AN35" s="260"/>
      <c r="AO35" s="257"/>
      <c r="AP35" s="301"/>
      <c r="AQ35" s="301"/>
      <c r="AR35" s="285">
        <f t="shared" si="7"/>
        <v>0</v>
      </c>
      <c r="AS35" s="176"/>
      <c r="AT35" s="257">
        <v>4</v>
      </c>
      <c r="AU35" s="253">
        <v>0.84782608695652173</v>
      </c>
      <c r="AV35" s="253">
        <v>0.89130434782608692</v>
      </c>
      <c r="AW35" s="285">
        <f t="shared" si="8"/>
        <v>4</v>
      </c>
      <c r="AX35" s="176"/>
      <c r="AY35" s="257">
        <v>6</v>
      </c>
      <c r="AZ35" s="253">
        <v>0.79629629629629628</v>
      </c>
      <c r="BA35" s="253">
        <v>0.90740740740740744</v>
      </c>
      <c r="BB35" s="285">
        <f t="shared" si="9"/>
        <v>6</v>
      </c>
      <c r="BC35" s="260"/>
      <c r="BD35" s="257">
        <v>4</v>
      </c>
      <c r="BE35" s="304">
        <v>0.87037037037037035</v>
      </c>
      <c r="BF35" s="253">
        <v>0.90740740740740744</v>
      </c>
      <c r="BG35" s="285">
        <f t="shared" si="10"/>
        <v>4</v>
      </c>
      <c r="BH35" s="298"/>
      <c r="BI35" s="257">
        <v>2</v>
      </c>
      <c r="BJ35" s="304">
        <v>0.88461538461538458</v>
      </c>
      <c r="BK35" s="253">
        <v>0.42307692307692313</v>
      </c>
      <c r="BL35" s="285">
        <f t="shared" si="11"/>
        <v>2</v>
      </c>
      <c r="BM35" s="270"/>
      <c r="BN35" s="81" t="s">
        <v>62</v>
      </c>
      <c r="BO35" s="304">
        <v>0.97916666666666663</v>
      </c>
      <c r="BP35" s="253">
        <v>0.72916666666666674</v>
      </c>
      <c r="BQ35" s="285">
        <f t="shared" si="12"/>
        <v>1</v>
      </c>
      <c r="BR35" s="298"/>
      <c r="BS35" s="257">
        <v>4</v>
      </c>
      <c r="BT35" s="304">
        <v>0.86</v>
      </c>
      <c r="BU35" s="253">
        <v>0.94</v>
      </c>
      <c r="BV35" s="285">
        <f t="shared" si="13"/>
        <v>4</v>
      </c>
      <c r="BW35" s="298"/>
      <c r="BX35" s="257">
        <v>6</v>
      </c>
      <c r="BY35" s="304">
        <v>0.81666666666666665</v>
      </c>
      <c r="BZ35" s="253">
        <v>0.95</v>
      </c>
      <c r="CA35" s="285">
        <f t="shared" si="14"/>
        <v>6</v>
      </c>
      <c r="CB35" s="298"/>
      <c r="CC35" s="257">
        <v>7</v>
      </c>
      <c r="CD35" s="304">
        <v>0.78333333333333333</v>
      </c>
      <c r="CE35" s="253">
        <v>0.71666666666666667</v>
      </c>
      <c r="CF35" s="285">
        <f t="shared" si="15"/>
        <v>7</v>
      </c>
      <c r="CG35" s="298"/>
      <c r="CH35" s="257">
        <v>15</v>
      </c>
      <c r="CI35" s="304">
        <v>0.51666666666666661</v>
      </c>
      <c r="CJ35" s="253">
        <v>0.51666666666666661</v>
      </c>
      <c r="CK35" s="285">
        <f>SUM(CG35:CH35)+IF(CG35="B",1,0)*CG$102+IF(CH35="B",1,0)*CH$102+IF(CG35="Løype",1)*$O$4+IF(CH35="Løype",1)*$O$4+IF(CG35="Arr",1)*$O$5+IF(CH35="Arr",1)*$O$5</f>
        <v>15</v>
      </c>
      <c r="CL35" s="298"/>
      <c r="CM35" s="257"/>
      <c r="CN35" s="287"/>
      <c r="CO35" s="301"/>
      <c r="CP35" s="285">
        <f t="shared" si="17"/>
        <v>0</v>
      </c>
      <c r="CQ35" s="298"/>
      <c r="CR35" s="257"/>
      <c r="CS35" s="287"/>
      <c r="CT35" s="301"/>
      <c r="CU35" s="285">
        <f t="shared" si="18"/>
        <v>0</v>
      </c>
      <c r="CV35" s="298"/>
      <c r="CW35" s="257">
        <v>5</v>
      </c>
      <c r="CX35" s="304">
        <v>0.86363636363636365</v>
      </c>
      <c r="CY35" s="253">
        <v>0.89393939393939392</v>
      </c>
      <c r="CZ35" s="285">
        <f t="shared" si="19"/>
        <v>5</v>
      </c>
      <c r="DA35" s="298"/>
      <c r="DB35" s="257">
        <v>18</v>
      </c>
      <c r="DC35" s="304">
        <v>0.22916666666666663</v>
      </c>
      <c r="DD35" s="253">
        <v>0.22916666666666663</v>
      </c>
      <c r="DE35" s="285">
        <f t="shared" si="20"/>
        <v>18</v>
      </c>
      <c r="DF35" s="298"/>
      <c r="DG35" s="257">
        <v>8</v>
      </c>
      <c r="DH35" s="304">
        <v>0.79166666666666663</v>
      </c>
      <c r="DI35" s="253">
        <v>0.81944444444444442</v>
      </c>
      <c r="DJ35" s="285">
        <f t="shared" si="21"/>
        <v>8</v>
      </c>
      <c r="DK35" s="298"/>
      <c r="DL35" s="257">
        <v>4</v>
      </c>
      <c r="DM35" s="304">
        <v>0.875</v>
      </c>
      <c r="DN35" s="253">
        <v>0.9107142857142857</v>
      </c>
      <c r="DO35" s="285">
        <f t="shared" si="22"/>
        <v>4</v>
      </c>
      <c r="DP35" s="298"/>
      <c r="DQ35" s="257">
        <v>6</v>
      </c>
      <c r="DR35" s="304">
        <v>0.81034482758620685</v>
      </c>
      <c r="DS35" s="253">
        <v>0.9137931034482758</v>
      </c>
      <c r="DT35" s="285">
        <f t="shared" si="23"/>
        <v>6</v>
      </c>
      <c r="DU35" s="182"/>
      <c r="DV35" s="456">
        <v>4</v>
      </c>
      <c r="DW35" s="461">
        <v>0.89393939393939392</v>
      </c>
      <c r="DX35" s="463">
        <v>0.9242424242424242</v>
      </c>
      <c r="DY35" s="285">
        <f t="shared" si="24"/>
        <v>4</v>
      </c>
      <c r="DZ35" s="475"/>
      <c r="EA35" s="456">
        <v>13</v>
      </c>
      <c r="EB35" s="461">
        <v>0.7</v>
      </c>
      <c r="EC35" s="463">
        <v>0.76666666666666661</v>
      </c>
      <c r="ED35" s="285">
        <f t="shared" si="25"/>
        <v>13</v>
      </c>
      <c r="EE35" s="475"/>
      <c r="EF35" s="456"/>
      <c r="EG35" s="461"/>
      <c r="EH35" s="463"/>
      <c r="EI35" s="285">
        <f t="shared" si="26"/>
        <v>0</v>
      </c>
      <c r="EJ35" s="467">
        <f t="shared" si="27"/>
        <v>20</v>
      </c>
      <c r="EK35" s="522">
        <f t="shared" si="28"/>
        <v>13</v>
      </c>
      <c r="EL35" s="267">
        <f t="shared" si="29"/>
        <v>20</v>
      </c>
      <c r="EM35" s="267">
        <f t="shared" si="30"/>
        <v>2</v>
      </c>
      <c r="EN35" s="516">
        <f t="shared" si="31"/>
        <v>1</v>
      </c>
      <c r="EO35" s="273">
        <f t="shared" si="32"/>
        <v>12</v>
      </c>
      <c r="EP35" s="15"/>
      <c r="EQ35" s="61">
        <f t="shared" si="33"/>
        <v>144</v>
      </c>
      <c r="ER35" s="187">
        <f t="shared" si="47"/>
        <v>144</v>
      </c>
      <c r="ES35" s="28">
        <f t="shared" si="34"/>
        <v>7.2</v>
      </c>
      <c r="ET35" s="62">
        <f t="shared" si="35"/>
        <v>7.2</v>
      </c>
      <c r="EU35" s="63"/>
      <c r="EV35" s="247">
        <f t="shared" si="36"/>
        <v>151</v>
      </c>
      <c r="EW35" s="249">
        <f t="shared" si="37"/>
        <v>151</v>
      </c>
      <c r="EX35" s="23">
        <f t="shared" si="38"/>
        <v>7.55</v>
      </c>
      <c r="EY35" s="74">
        <f t="shared" si="39"/>
        <v>7.55</v>
      </c>
      <c r="EZ35" s="63"/>
      <c r="FA35" s="336">
        <f t="shared" si="40"/>
        <v>18</v>
      </c>
      <c r="FB35" s="337">
        <f t="shared" si="41"/>
        <v>2</v>
      </c>
      <c r="FC35" s="333">
        <f t="shared" si="42"/>
        <v>15.049609368561825</v>
      </c>
      <c r="FD35" s="420">
        <f t="shared" si="43"/>
        <v>0.75248046842809124</v>
      </c>
      <c r="FE35" s="433">
        <f t="shared" si="44"/>
        <v>14.818311304326926</v>
      </c>
      <c r="FF35" s="213">
        <f t="shared" si="45"/>
        <v>0.74091556521634627</v>
      </c>
      <c r="FG35" s="15"/>
      <c r="FH35" s="37">
        <f t="shared" si="46"/>
        <v>9</v>
      </c>
    </row>
    <row r="36" spans="2:167" ht="17" customHeight="1" thickBot="1" x14ac:dyDescent="0.25">
      <c r="B36" s="258" t="s">
        <v>120</v>
      </c>
      <c r="C36" s="259" t="s">
        <v>121</v>
      </c>
      <c r="D36" s="299">
        <v>238154</v>
      </c>
      <c r="E36" s="300"/>
      <c r="F36" s="285"/>
      <c r="G36" s="285"/>
      <c r="H36" s="285"/>
      <c r="I36" s="285">
        <f t="shared" si="0"/>
        <v>0</v>
      </c>
      <c r="J36" s="301"/>
      <c r="K36" s="302">
        <v>5</v>
      </c>
      <c r="L36" s="253">
        <v>0.8125</v>
      </c>
      <c r="M36" s="253">
        <v>0.4375</v>
      </c>
      <c r="N36" s="285">
        <f t="shared" si="1"/>
        <v>5</v>
      </c>
      <c r="O36" s="303">
        <v>5</v>
      </c>
      <c r="P36" s="302"/>
      <c r="Q36" s="253">
        <v>0.8125</v>
      </c>
      <c r="R36" s="253">
        <v>0.52083333333333326</v>
      </c>
      <c r="S36" s="285">
        <f t="shared" si="2"/>
        <v>5</v>
      </c>
      <c r="T36" s="303">
        <v>8</v>
      </c>
      <c r="U36" s="302"/>
      <c r="V36" s="253">
        <v>0.6875</v>
      </c>
      <c r="W36" s="253">
        <v>0.47916666666666663</v>
      </c>
      <c r="X36" s="285">
        <f t="shared" si="3"/>
        <v>8</v>
      </c>
      <c r="Y36" s="303"/>
      <c r="Z36" s="287"/>
      <c r="AA36" s="301"/>
      <c r="AB36" s="301"/>
      <c r="AC36" s="285">
        <f t="shared" si="4"/>
        <v>0</v>
      </c>
      <c r="AD36" s="303"/>
      <c r="AE36" s="287">
        <v>5</v>
      </c>
      <c r="AF36" s="253">
        <v>0.7857142857142857</v>
      </c>
      <c r="AG36" s="253">
        <v>0.54761904761904767</v>
      </c>
      <c r="AH36" s="285">
        <f t="shared" si="5"/>
        <v>5</v>
      </c>
      <c r="AI36" s="260"/>
      <c r="AJ36" s="257">
        <v>4</v>
      </c>
      <c r="AK36" s="253">
        <v>0.83333333333333337</v>
      </c>
      <c r="AL36" s="253">
        <v>0.59523809523809523</v>
      </c>
      <c r="AM36" s="285">
        <f t="shared" si="6"/>
        <v>4</v>
      </c>
      <c r="AN36" s="260"/>
      <c r="AO36" s="257">
        <v>5</v>
      </c>
      <c r="AP36" s="253">
        <v>0.8125</v>
      </c>
      <c r="AQ36" s="253">
        <v>0.60416666666666674</v>
      </c>
      <c r="AR36" s="285">
        <f t="shared" si="7"/>
        <v>5</v>
      </c>
      <c r="AS36" s="260"/>
      <c r="AT36" s="257">
        <v>3</v>
      </c>
      <c r="AU36" s="253">
        <v>0.89130434782608692</v>
      </c>
      <c r="AV36" s="253">
        <v>0.63043478260869568</v>
      </c>
      <c r="AW36" s="285">
        <f t="shared" si="8"/>
        <v>3</v>
      </c>
      <c r="AX36" s="260"/>
      <c r="AY36" s="81" t="s">
        <v>7</v>
      </c>
      <c r="AZ36" s="253">
        <v>0.87037037037037035</v>
      </c>
      <c r="BA36" s="253">
        <v>0.87037037037037035</v>
      </c>
      <c r="BB36" s="285">
        <f t="shared" si="9"/>
        <v>4</v>
      </c>
      <c r="BC36" s="260"/>
      <c r="BD36" s="257">
        <v>2</v>
      </c>
      <c r="BE36" s="304">
        <v>0.94444444444444442</v>
      </c>
      <c r="BF36" s="253">
        <v>0.87037037037037035</v>
      </c>
      <c r="BG36" s="285">
        <f t="shared" si="10"/>
        <v>2</v>
      </c>
      <c r="BH36" s="298"/>
      <c r="BI36" s="257"/>
      <c r="BJ36" s="287"/>
      <c r="BK36" s="301"/>
      <c r="BL36" s="285">
        <f t="shared" si="11"/>
        <v>0</v>
      </c>
      <c r="BM36" s="305"/>
      <c r="BN36" s="257">
        <v>4</v>
      </c>
      <c r="BO36" s="304">
        <v>0.85416666666666663</v>
      </c>
      <c r="BP36" s="253">
        <v>0.39583333333333337</v>
      </c>
      <c r="BQ36" s="285">
        <f t="shared" si="12"/>
        <v>4</v>
      </c>
      <c r="BR36" s="298"/>
      <c r="BS36" s="257">
        <v>5</v>
      </c>
      <c r="BT36" s="304">
        <v>0.82000000000000006</v>
      </c>
      <c r="BU36" s="253">
        <v>0.45999999999999996</v>
      </c>
      <c r="BV36" s="285">
        <f t="shared" si="13"/>
        <v>5</v>
      </c>
      <c r="BW36" s="298"/>
      <c r="BX36" s="257">
        <v>4</v>
      </c>
      <c r="BY36" s="304">
        <v>0.8833333333333333</v>
      </c>
      <c r="BZ36" s="253">
        <v>0.6166666666666667</v>
      </c>
      <c r="CA36" s="285">
        <f t="shared" si="14"/>
        <v>4</v>
      </c>
      <c r="CB36" s="298"/>
      <c r="CC36" s="257">
        <v>5</v>
      </c>
      <c r="CD36" s="304">
        <v>0.85</v>
      </c>
      <c r="CE36" s="253">
        <v>0.78333333333333333</v>
      </c>
      <c r="CF36" s="285">
        <f t="shared" si="15"/>
        <v>5</v>
      </c>
      <c r="CG36" s="298"/>
      <c r="CH36" s="257">
        <v>3</v>
      </c>
      <c r="CI36" s="304">
        <v>0.91666666666666663</v>
      </c>
      <c r="CJ36" s="253">
        <v>0.81666666666666665</v>
      </c>
      <c r="CK36" s="285">
        <f>SUM(CG36:CH36)+IF(CG36="B",1,0)*CG$102+IF(CH36="B",1,0)*CH$102+IF(CG36="Løype",1)*$O$4+IF(CH36="Løype",1)*$O$4+IF(CG36="Arr",1)*$O$5+IF(CH36="Arr",1)*$O$5</f>
        <v>3</v>
      </c>
      <c r="CL36" s="298"/>
      <c r="CM36" s="257">
        <v>3</v>
      </c>
      <c r="CN36" s="304">
        <v>0.921875</v>
      </c>
      <c r="CO36" s="253">
        <v>0.734375</v>
      </c>
      <c r="CP36" s="285">
        <f t="shared" si="17"/>
        <v>3</v>
      </c>
      <c r="CQ36" s="298"/>
      <c r="CR36" s="257">
        <v>3</v>
      </c>
      <c r="CS36" s="287">
        <v>0.875</v>
      </c>
      <c r="CT36" s="301">
        <v>0.625</v>
      </c>
      <c r="CU36" s="285">
        <f t="shared" si="18"/>
        <v>3</v>
      </c>
      <c r="CV36" s="298"/>
      <c r="CW36" s="257">
        <v>4</v>
      </c>
      <c r="CX36" s="304">
        <v>0.89393939393939392</v>
      </c>
      <c r="CY36" s="253">
        <v>0.59090909090909083</v>
      </c>
      <c r="CZ36" s="285">
        <f t="shared" si="19"/>
        <v>4</v>
      </c>
      <c r="DA36" s="298"/>
      <c r="DB36" s="257"/>
      <c r="DC36" s="287"/>
      <c r="DD36" s="301"/>
      <c r="DE36" s="285">
        <f t="shared" si="20"/>
        <v>0</v>
      </c>
      <c r="DF36" s="298"/>
      <c r="DG36" s="479" t="s">
        <v>7</v>
      </c>
      <c r="DH36" s="304">
        <v>0.90277777777777779</v>
      </c>
      <c r="DI36" s="253">
        <v>0.90277777777777779</v>
      </c>
      <c r="DJ36" s="285">
        <f t="shared" si="21"/>
        <v>4</v>
      </c>
      <c r="DK36" s="298"/>
      <c r="DL36" s="257"/>
      <c r="DM36" s="287"/>
      <c r="DN36" s="301"/>
      <c r="DO36" s="285">
        <f t="shared" si="22"/>
        <v>0</v>
      </c>
      <c r="DP36" s="298"/>
      <c r="DQ36" s="257">
        <v>2</v>
      </c>
      <c r="DR36" s="304">
        <v>0.94827586206896552</v>
      </c>
      <c r="DS36" s="253">
        <v>0.87931034482758619</v>
      </c>
      <c r="DT36" s="285">
        <f t="shared" si="23"/>
        <v>2</v>
      </c>
      <c r="DU36" s="298"/>
      <c r="DV36" s="257">
        <v>2</v>
      </c>
      <c r="DW36" s="304">
        <v>0.95454545454545459</v>
      </c>
      <c r="DX36" s="253">
        <v>0.83333333333333337</v>
      </c>
      <c r="DY36" s="285">
        <f t="shared" si="24"/>
        <v>2</v>
      </c>
      <c r="DZ36" s="475"/>
      <c r="EA36" s="456"/>
      <c r="EB36" s="43"/>
      <c r="EC36" s="191"/>
      <c r="ED36" s="285">
        <f t="shared" si="25"/>
        <v>0</v>
      </c>
      <c r="EE36" s="475"/>
      <c r="EF36" s="456"/>
      <c r="EG36" s="43"/>
      <c r="EH36" s="191"/>
      <c r="EI36" s="285">
        <f t="shared" si="26"/>
        <v>0</v>
      </c>
      <c r="EJ36" s="467">
        <f t="shared" si="27"/>
        <v>20</v>
      </c>
      <c r="EK36" s="522">
        <f t="shared" si="28"/>
        <v>11</v>
      </c>
      <c r="EL36" s="267">
        <f t="shared" si="29"/>
        <v>20</v>
      </c>
      <c r="EM36" s="267">
        <f t="shared" si="30"/>
        <v>2</v>
      </c>
      <c r="EN36" s="516">
        <f t="shared" si="31"/>
        <v>1</v>
      </c>
      <c r="EO36" s="273">
        <f t="shared" si="32"/>
        <v>10</v>
      </c>
      <c r="EP36" s="15"/>
      <c r="EQ36" s="61">
        <f t="shared" si="33"/>
        <v>80</v>
      </c>
      <c r="ER36" s="187">
        <f t="shared" si="47"/>
        <v>80</v>
      </c>
      <c r="ES36" s="28">
        <f t="shared" si="34"/>
        <v>4</v>
      </c>
      <c r="ET36" s="62">
        <f t="shared" si="35"/>
        <v>4</v>
      </c>
      <c r="EU36" s="63"/>
      <c r="EV36" s="247">
        <f t="shared" si="36"/>
        <v>87</v>
      </c>
      <c r="EW36" s="249">
        <f t="shared" si="37"/>
        <v>87</v>
      </c>
      <c r="EX36" s="23">
        <f t="shared" si="38"/>
        <v>4.3499999999999996</v>
      </c>
      <c r="EY36" s="74">
        <f t="shared" si="39"/>
        <v>4.3499999999999996</v>
      </c>
      <c r="EZ36" s="63"/>
      <c r="FA36" s="336">
        <f t="shared" si="40"/>
        <v>18</v>
      </c>
      <c r="FB36" s="337">
        <f t="shared" si="41"/>
        <v>2</v>
      </c>
      <c r="FC36" s="333">
        <f t="shared" si="42"/>
        <v>17.270746936686777</v>
      </c>
      <c r="FD36" s="420">
        <f t="shared" si="43"/>
        <v>0.8635373468343388</v>
      </c>
      <c r="FE36" s="433">
        <f t="shared" si="44"/>
        <v>13.193904879721035</v>
      </c>
      <c r="FF36" s="213">
        <f t="shared" si="45"/>
        <v>0.65969524398605173</v>
      </c>
      <c r="FG36" s="15"/>
      <c r="FH36" s="37">
        <f t="shared" si="46"/>
        <v>10</v>
      </c>
    </row>
    <row r="37" spans="2:167" s="414" customFormat="1" ht="17" thickBot="1" x14ac:dyDescent="0.25">
      <c r="B37" s="258" t="s">
        <v>64</v>
      </c>
      <c r="C37" s="259" t="s">
        <v>65</v>
      </c>
      <c r="D37" s="299">
        <v>538717</v>
      </c>
      <c r="E37" s="300"/>
      <c r="F37" s="285"/>
      <c r="G37" s="285"/>
      <c r="H37" s="285"/>
      <c r="I37" s="285">
        <f t="shared" si="0"/>
        <v>0</v>
      </c>
      <c r="J37" s="301"/>
      <c r="K37" s="302">
        <v>1</v>
      </c>
      <c r="L37" s="253">
        <v>0.97916666666666663</v>
      </c>
      <c r="M37" s="253">
        <v>0.97916666666666663</v>
      </c>
      <c r="N37" s="285">
        <f t="shared" si="1"/>
        <v>1</v>
      </c>
      <c r="O37" s="303">
        <v>2</v>
      </c>
      <c r="P37" s="302"/>
      <c r="Q37" s="253">
        <v>0.9375</v>
      </c>
      <c r="R37" s="253">
        <v>0.85416666666666663</v>
      </c>
      <c r="S37" s="285">
        <f t="shared" si="2"/>
        <v>2</v>
      </c>
      <c r="T37" s="303"/>
      <c r="U37" s="302"/>
      <c r="V37" s="301"/>
      <c r="W37" s="301"/>
      <c r="X37" s="285">
        <f t="shared" si="3"/>
        <v>0</v>
      </c>
      <c r="Y37" s="163"/>
      <c r="Z37" s="43"/>
      <c r="AA37" s="191"/>
      <c r="AB37" s="191"/>
      <c r="AC37" s="285">
        <f t="shared" si="4"/>
        <v>0</v>
      </c>
      <c r="AD37" s="303"/>
      <c r="AE37" s="287"/>
      <c r="AF37" s="253"/>
      <c r="AG37" s="253"/>
      <c r="AH37" s="285">
        <f t="shared" si="5"/>
        <v>0</v>
      </c>
      <c r="AI37" s="260"/>
      <c r="AJ37" s="257">
        <v>2</v>
      </c>
      <c r="AK37" s="253">
        <v>0.9285714285714286</v>
      </c>
      <c r="AL37" s="253">
        <v>0.88095238095238093</v>
      </c>
      <c r="AM37" s="285">
        <f t="shared" si="6"/>
        <v>2</v>
      </c>
      <c r="AN37" s="260"/>
      <c r="AO37" s="257"/>
      <c r="AP37" s="253"/>
      <c r="AQ37" s="253"/>
      <c r="AR37" s="285">
        <f t="shared" si="7"/>
        <v>0</v>
      </c>
      <c r="AS37" s="260"/>
      <c r="AT37" s="257">
        <v>9</v>
      </c>
      <c r="AU37" s="253">
        <v>0.63043478260869568</v>
      </c>
      <c r="AV37" s="253">
        <v>0.5</v>
      </c>
      <c r="AW37" s="285">
        <f t="shared" si="8"/>
        <v>9</v>
      </c>
      <c r="AX37" s="260"/>
      <c r="AY37" s="257">
        <v>1</v>
      </c>
      <c r="AZ37" s="253">
        <v>0.98148148148148151</v>
      </c>
      <c r="BA37" s="253">
        <v>0.94444444444444442</v>
      </c>
      <c r="BB37" s="285">
        <f t="shared" si="9"/>
        <v>1</v>
      </c>
      <c r="BC37" s="260"/>
      <c r="BD37" s="257">
        <v>3</v>
      </c>
      <c r="BE37" s="304">
        <v>0.90740740740740744</v>
      </c>
      <c r="BF37" s="253">
        <v>0.79629629629629628</v>
      </c>
      <c r="BG37" s="285">
        <f t="shared" si="10"/>
        <v>3</v>
      </c>
      <c r="BH37" s="298"/>
      <c r="BI37" s="257"/>
      <c r="BJ37" s="287"/>
      <c r="BK37" s="301"/>
      <c r="BL37" s="285">
        <f t="shared" si="11"/>
        <v>0</v>
      </c>
      <c r="BM37" s="305"/>
      <c r="BN37" s="257">
        <v>1</v>
      </c>
      <c r="BO37" s="304">
        <v>0.97916666666666663</v>
      </c>
      <c r="BP37" s="253">
        <v>0.97916666666666663</v>
      </c>
      <c r="BQ37" s="285">
        <f t="shared" si="12"/>
        <v>1</v>
      </c>
      <c r="BR37" s="298"/>
      <c r="BS37" s="257"/>
      <c r="BT37" s="287"/>
      <c r="BU37" s="301"/>
      <c r="BV37" s="285">
        <f t="shared" si="13"/>
        <v>0</v>
      </c>
      <c r="BW37" s="298"/>
      <c r="BX37" s="81" t="s">
        <v>62</v>
      </c>
      <c r="BY37" s="304">
        <v>0.98333333333333328</v>
      </c>
      <c r="BZ37" s="253">
        <v>0.98333333333333328</v>
      </c>
      <c r="CA37" s="285">
        <f t="shared" si="14"/>
        <v>1</v>
      </c>
      <c r="CB37" s="298"/>
      <c r="CC37" s="257"/>
      <c r="CD37" s="287"/>
      <c r="CE37" s="301"/>
      <c r="CF37" s="285">
        <f t="shared" si="15"/>
        <v>0</v>
      </c>
      <c r="CG37" s="446"/>
      <c r="CH37" s="257">
        <v>2</v>
      </c>
      <c r="CI37" s="304">
        <v>0.95</v>
      </c>
      <c r="CJ37" s="253">
        <v>0.95</v>
      </c>
      <c r="CK37" s="285">
        <f>SUM(CG37:CH37)+IF(CI65="B",1,0)*CG$102+IF(CH37="B",1,0)*CH$102+IF(CI65="Løype",1)*$O$4+IF(CH37="Løype",1)*$O$4+IF(CI65="Arr",1)*$O$5+IF(CH37="Arr",1)*$O$5</f>
        <v>2</v>
      </c>
      <c r="CL37" s="298"/>
      <c r="CM37" s="257">
        <v>1</v>
      </c>
      <c r="CN37" s="304">
        <v>0.984375</v>
      </c>
      <c r="CO37" s="253">
        <v>0.921875</v>
      </c>
      <c r="CP37" s="285">
        <f t="shared" si="17"/>
        <v>1</v>
      </c>
      <c r="CQ37" s="298"/>
      <c r="CR37" s="257">
        <v>2</v>
      </c>
      <c r="CS37" s="287">
        <v>0.92500000000000004</v>
      </c>
      <c r="CT37" s="301">
        <v>0.97499999999999998</v>
      </c>
      <c r="CU37" s="285">
        <f t="shared" si="18"/>
        <v>2</v>
      </c>
      <c r="CV37" s="298"/>
      <c r="CW37" s="257"/>
      <c r="CX37" s="304"/>
      <c r="CY37" s="301"/>
      <c r="CZ37" s="285">
        <f t="shared" si="19"/>
        <v>0</v>
      </c>
      <c r="DA37" s="298"/>
      <c r="DB37" s="257">
        <v>3</v>
      </c>
      <c r="DC37" s="304">
        <v>0.89583333333333337</v>
      </c>
      <c r="DD37" s="253">
        <v>0.8125</v>
      </c>
      <c r="DE37" s="285">
        <f t="shared" si="20"/>
        <v>3</v>
      </c>
      <c r="DF37" s="298"/>
      <c r="DG37" s="257">
        <v>3</v>
      </c>
      <c r="DH37" s="304">
        <v>0.93055555555555558</v>
      </c>
      <c r="DI37" s="253">
        <v>0.84722222222222221</v>
      </c>
      <c r="DJ37" s="285">
        <f t="shared" si="21"/>
        <v>3</v>
      </c>
      <c r="DK37" s="298"/>
      <c r="DL37" s="257">
        <v>3</v>
      </c>
      <c r="DM37" s="304">
        <v>0.9107142857142857</v>
      </c>
      <c r="DN37" s="253">
        <v>0.8035714285714286</v>
      </c>
      <c r="DO37" s="285">
        <f t="shared" si="22"/>
        <v>3</v>
      </c>
      <c r="DP37" s="298"/>
      <c r="DQ37" s="257"/>
      <c r="DR37" s="287"/>
      <c r="DS37" s="301"/>
      <c r="DT37" s="285">
        <f t="shared" si="23"/>
        <v>0</v>
      </c>
      <c r="DU37" s="298"/>
      <c r="DV37" s="81" t="s">
        <v>62</v>
      </c>
      <c r="DW37" s="304">
        <v>0.98484848484848486</v>
      </c>
      <c r="DX37" s="253">
        <v>0.98484848484848486</v>
      </c>
      <c r="DY37" s="285">
        <f t="shared" si="24"/>
        <v>1</v>
      </c>
      <c r="DZ37" s="475"/>
      <c r="EA37" s="456">
        <v>10</v>
      </c>
      <c r="EB37" s="461">
        <v>0.76666666666666661</v>
      </c>
      <c r="EC37" s="463">
        <v>0.56666666666666665</v>
      </c>
      <c r="ED37" s="285">
        <f t="shared" si="25"/>
        <v>10</v>
      </c>
      <c r="EE37" s="475"/>
      <c r="EF37" s="456">
        <v>5</v>
      </c>
      <c r="EG37" s="461">
        <v>0.88461538461538458</v>
      </c>
      <c r="EH37" s="463">
        <v>0.73076923076923084</v>
      </c>
      <c r="EI37" s="285">
        <f t="shared" si="26"/>
        <v>5</v>
      </c>
      <c r="EJ37" s="467">
        <f t="shared" si="27"/>
        <v>17</v>
      </c>
      <c r="EK37" s="522">
        <f t="shared" si="28"/>
        <v>11</v>
      </c>
      <c r="EL37" s="267">
        <f t="shared" si="29"/>
        <v>17</v>
      </c>
      <c r="EM37" s="267">
        <f t="shared" si="30"/>
        <v>2</v>
      </c>
      <c r="EN37" s="516">
        <f t="shared" si="31"/>
        <v>2</v>
      </c>
      <c r="EO37" s="273">
        <f t="shared" si="32"/>
        <v>9</v>
      </c>
      <c r="EP37" s="15"/>
      <c r="EQ37" s="61">
        <f t="shared" si="33"/>
        <v>50</v>
      </c>
      <c r="ER37" s="187">
        <f>IF(OR($E37="B",$F37="B"),0,$I37)+IF(OR($J37="B",$K37="B"),0,$N37)+IF(OR($O37="B",$P37="B"),0,$S37)+IF(OR($T37="B",$U37="B"),0,$X37)+IF(OR($Y37="B",$Z37="B"),0,$AC37)+IF(OR($AD37="B",$AE37="B"),0,$AH37)+IF(OR($AI37="B",$AJ37="B"),0,$AM37)+IF(OR($HP16="B",$AO37="B"),0,$AR37)+IF(OR($AS37="B",$AT37="B"),0,$AW37)+IF(OR($AX37="B",$AY37="B"),0,$BB37)+IF(OR($BC37="B",$BD37="B"),0,$BG37)+IF(OR($BH37="B",$BI37="B"),0,$BL37)+IF(OR($BM37="B",$BN37="B"),0,$BQ37)+IF(OR($BR37="B",$BS37="B"),0,$BV37)+IF(OR($BW37="B",$BX37="B"),0,$CA37)+IF(OR($CB37="B",$CC37="B"),0,$CF37)+IF(OR($CG37="B",$CH37="B"),0,$CK37)+IF(OR($CL37="B",$CM37="B"),0,$CP37)+IF(OR($CQ37="B",$CR37="B"),0,$CU37)+IF(OR($CV37="B",$CW37="B"),0,$CZ37)+IF(OR($DA37="B",$DB37="B"),0,$DE37)+IF(OR($DF37="B",$DG37="B"),0,$DJ37)+IF(OR($DK37="B",$DL37="B"),0,$DO37)+IF(OR($DP37="B",$DQ37="B"),0,$DT37)+IF(OR($DU37="B",$DV37="B"),0,$DY37)+IF(OR($DZ37="B",$EA37="B"),0,$ED37)+IF(OR($EE37="B",$EF37="B"),0,$EI37)</f>
        <v>50</v>
      </c>
      <c r="ES37" s="28">
        <f t="shared" si="34"/>
        <v>2.9411764705882355</v>
      </c>
      <c r="ET37" s="62">
        <f t="shared" si="35"/>
        <v>2.9411764705882355</v>
      </c>
      <c r="EU37" s="63"/>
      <c r="EV37" s="247">
        <f t="shared" si="36"/>
        <v>60</v>
      </c>
      <c r="EW37" s="249">
        <f t="shared" si="37"/>
        <v>60</v>
      </c>
      <c r="EX37" s="23">
        <f t="shared" si="38"/>
        <v>3.5294117647058822</v>
      </c>
      <c r="EY37" s="74">
        <f t="shared" si="39"/>
        <v>3.5294117647058822</v>
      </c>
      <c r="EZ37" s="63"/>
      <c r="FA37" s="336">
        <f t="shared" si="40"/>
        <v>15</v>
      </c>
      <c r="FB37" s="337">
        <f t="shared" si="41"/>
        <v>2</v>
      </c>
      <c r="FC37" s="333">
        <f t="shared" si="42"/>
        <v>15.559670477469391</v>
      </c>
      <c r="FD37" s="420">
        <f t="shared" si="43"/>
        <v>0.91527473396878767</v>
      </c>
      <c r="FE37" s="433">
        <f t="shared" si="44"/>
        <v>14.509979488104488</v>
      </c>
      <c r="FF37" s="213">
        <f t="shared" si="45"/>
        <v>0.85352820518261696</v>
      </c>
      <c r="FG37" s="402"/>
      <c r="FH37" s="413">
        <f t="shared" si="46"/>
        <v>11</v>
      </c>
      <c r="FK37"/>
    </row>
    <row r="38" spans="2:167" ht="15.75" thickBot="1" x14ac:dyDescent="0.25">
      <c r="B38" s="258" t="s">
        <v>157</v>
      </c>
      <c r="C38" s="259" t="s">
        <v>158</v>
      </c>
      <c r="D38" s="299">
        <v>200407</v>
      </c>
      <c r="E38" s="300"/>
      <c r="F38" s="285"/>
      <c r="G38" s="285"/>
      <c r="H38" s="285"/>
      <c r="I38" s="285">
        <f t="shared" si="0"/>
        <v>0</v>
      </c>
      <c r="J38" s="301"/>
      <c r="K38" s="302"/>
      <c r="L38" s="301"/>
      <c r="M38" s="301"/>
      <c r="N38" s="285">
        <f t="shared" si="1"/>
        <v>0</v>
      </c>
      <c r="O38" s="163" t="s">
        <v>7</v>
      </c>
      <c r="P38" s="302"/>
      <c r="Q38" s="253">
        <v>0.85416666666666663</v>
      </c>
      <c r="R38" s="253">
        <v>0.85416666666666663</v>
      </c>
      <c r="S38" s="285">
        <f t="shared" si="2"/>
        <v>4</v>
      </c>
      <c r="T38" s="303"/>
      <c r="U38" s="302"/>
      <c r="V38" s="301"/>
      <c r="W38" s="301"/>
      <c r="X38" s="285">
        <f t="shared" si="3"/>
        <v>0</v>
      </c>
      <c r="Y38" s="303"/>
      <c r="Z38" s="287"/>
      <c r="AA38" s="301"/>
      <c r="AB38" s="301"/>
      <c r="AC38" s="285">
        <f t="shared" si="4"/>
        <v>0</v>
      </c>
      <c r="AD38" s="303"/>
      <c r="AE38" s="287"/>
      <c r="AF38" s="253"/>
      <c r="AG38" s="253"/>
      <c r="AH38" s="285">
        <f t="shared" si="5"/>
        <v>0</v>
      </c>
      <c r="AI38" s="260"/>
      <c r="AJ38" s="257"/>
      <c r="AK38" s="301"/>
      <c r="AL38" s="301"/>
      <c r="AM38" s="285">
        <f t="shared" si="6"/>
        <v>0</v>
      </c>
      <c r="AN38" s="260"/>
      <c r="AO38" s="257"/>
      <c r="AP38" s="301"/>
      <c r="AQ38" s="301"/>
      <c r="AR38" s="285">
        <f t="shared" si="7"/>
        <v>0</v>
      </c>
      <c r="AS38" s="260"/>
      <c r="AT38" s="257"/>
      <c r="AU38" s="301"/>
      <c r="AV38" s="301"/>
      <c r="AW38" s="285">
        <f t="shared" si="8"/>
        <v>0</v>
      </c>
      <c r="AX38" s="260"/>
      <c r="AY38" s="257"/>
      <c r="AZ38" s="301"/>
      <c r="BA38" s="301"/>
      <c r="BB38" s="285">
        <f t="shared" si="9"/>
        <v>0</v>
      </c>
      <c r="BC38" s="260"/>
      <c r="BD38" s="257"/>
      <c r="BE38" s="287"/>
      <c r="BF38" s="301"/>
      <c r="BG38" s="285">
        <f t="shared" si="10"/>
        <v>0</v>
      </c>
      <c r="BH38" s="298"/>
      <c r="BI38" s="257"/>
      <c r="BJ38" s="287"/>
      <c r="BK38" s="301"/>
      <c r="BL38" s="285">
        <f t="shared" si="11"/>
        <v>0</v>
      </c>
      <c r="BM38" s="305"/>
      <c r="BN38" s="257"/>
      <c r="BO38" s="287"/>
      <c r="BP38" s="301"/>
      <c r="BQ38" s="285">
        <f t="shared" si="12"/>
        <v>0</v>
      </c>
      <c r="BR38" s="298"/>
      <c r="BS38" s="257"/>
      <c r="BT38" s="287"/>
      <c r="BU38" s="301"/>
      <c r="BV38" s="285">
        <f t="shared" si="13"/>
        <v>0</v>
      </c>
      <c r="BW38" s="298"/>
      <c r="BX38" s="257"/>
      <c r="BY38" s="287"/>
      <c r="BZ38" s="301"/>
      <c r="CA38" s="285">
        <f t="shared" si="14"/>
        <v>0</v>
      </c>
      <c r="CB38" s="298"/>
      <c r="CC38" s="257"/>
      <c r="CD38" s="287"/>
      <c r="CE38" s="301"/>
      <c r="CF38" s="285">
        <f t="shared" si="15"/>
        <v>0</v>
      </c>
      <c r="CG38" s="298"/>
      <c r="CH38" s="257"/>
      <c r="CI38" s="287"/>
      <c r="CJ38" s="301"/>
      <c r="CK38" s="285">
        <f t="shared" ref="CK38:CK52" si="48">SUM(CG38:CH38)+IF(CG38="B",1,0)*CG$102+IF(CH38="B",1,0)*CH$102+IF(CG38="Løype",1)*$O$4+IF(CH38="Løype",1)*$O$4+IF(CG38="Arr",1)*$O$5+IF(CH38="Arr",1)*$O$5</f>
        <v>0</v>
      </c>
      <c r="CL38" s="298"/>
      <c r="CM38" s="257"/>
      <c r="CN38" s="287"/>
      <c r="CO38" s="301"/>
      <c r="CP38" s="285">
        <f t="shared" si="17"/>
        <v>0</v>
      </c>
      <c r="CQ38" s="298"/>
      <c r="CR38" s="257"/>
      <c r="CS38" s="287"/>
      <c r="CT38" s="301"/>
      <c r="CU38" s="285">
        <f t="shared" si="18"/>
        <v>0</v>
      </c>
      <c r="CV38" s="298"/>
      <c r="CW38" s="456" t="s">
        <v>7</v>
      </c>
      <c r="CX38" s="304">
        <v>0.89393939393939392</v>
      </c>
      <c r="CY38" s="253">
        <v>0.89393939393939392</v>
      </c>
      <c r="CZ38" s="285">
        <f t="shared" si="19"/>
        <v>4</v>
      </c>
      <c r="DA38" s="298"/>
      <c r="DB38" s="257"/>
      <c r="DC38" s="287"/>
      <c r="DD38" s="301"/>
      <c r="DE38" s="285">
        <f t="shared" si="20"/>
        <v>0</v>
      </c>
      <c r="DF38" s="298"/>
      <c r="DG38" s="257"/>
      <c r="DH38" s="287"/>
      <c r="DI38" s="301"/>
      <c r="DJ38" s="285">
        <f t="shared" si="21"/>
        <v>0</v>
      </c>
      <c r="DK38" s="298"/>
      <c r="DL38" s="257"/>
      <c r="DM38" s="287"/>
      <c r="DN38" s="301"/>
      <c r="DO38" s="285">
        <f t="shared" si="22"/>
        <v>0</v>
      </c>
      <c r="DP38" s="298"/>
      <c r="DQ38" s="257"/>
      <c r="DR38" s="287"/>
      <c r="DS38" s="301"/>
      <c r="DT38" s="285">
        <f t="shared" si="23"/>
        <v>0</v>
      </c>
      <c r="DU38" s="298"/>
      <c r="DV38" s="257"/>
      <c r="DW38" s="287"/>
      <c r="DX38" s="301"/>
      <c r="DY38" s="285">
        <f t="shared" si="24"/>
        <v>0</v>
      </c>
      <c r="DZ38" s="475"/>
      <c r="EA38" s="456"/>
      <c r="EB38" s="287"/>
      <c r="EC38" s="301"/>
      <c r="ED38" s="285">
        <f t="shared" si="25"/>
        <v>0</v>
      </c>
      <c r="EE38" s="475"/>
      <c r="EF38" s="456"/>
      <c r="EG38" s="287"/>
      <c r="EH38" s="301"/>
      <c r="EI38" s="285">
        <f t="shared" si="26"/>
        <v>0</v>
      </c>
      <c r="EJ38" s="467">
        <f t="shared" si="27"/>
        <v>2</v>
      </c>
      <c r="EK38" s="522">
        <f t="shared" si="28"/>
        <v>1</v>
      </c>
      <c r="EL38" s="267">
        <f t="shared" si="29"/>
        <v>2</v>
      </c>
      <c r="EM38" s="267">
        <f t="shared" si="30"/>
        <v>2</v>
      </c>
      <c r="EN38" s="516">
        <f t="shared" si="31"/>
        <v>1</v>
      </c>
      <c r="EO38" s="273">
        <f t="shared" si="32"/>
        <v>0</v>
      </c>
      <c r="EP38" s="15"/>
      <c r="EQ38" s="61">
        <f t="shared" si="33"/>
        <v>8</v>
      </c>
      <c r="ER38" s="187">
        <f>IF(OR($E38="B",$F38="B"),0,$I38)+IF(OR($J38="B",$K38="B"),0,$N38)+IF(OR($O38="B",$P38="B"),0,$S38)+IF(OR($T38="B",$U38="B"),0,$X38)+IF(OR($Y38="B",$Z38="B"),0,$AC38)+IF(OR($AD38="B",$AE38="B"),0,$AH38)+IF(OR($AI38="B",$AJ38="B"),0,$AM38)+IF(OR($HP17="B",$AO38="B"),0,$AR38)+IF(OR($AS38="B",$AT38="B"),0,$AW38)+IF(OR($AX38="B",$AY38="B"),0,$BB38)+IF(OR($BC38="B",$BD38="B"),0,$BG38)+IF(OR($BH38="B",$BI38="B"),0,$BL38)+IF(OR($BM38="B",$BN38="B"),0,$BQ38)+IF(OR($BR38="B",$BS38="B"),0,$BV38)+IF(OR($BW38="B",$BX38="B"),0,$CA38)+IF(OR($CB38="B",$CC38="B"),0,$CF38)+IF(OR($CG38="B",$CH38="B"),0,$CK38)+IF(OR($CL38="B",$CM38="B"),0,$CP38)+IF(OR($CQ38="B",$CR38="B"),0,$CU38)+IF(OR($CV38="B",$CW38="B"),0,$CZ38)+IF(OR($DA38="B",$DB38="B"),0,$DE38)+IF(OR($DF38="B",$DG38="B"),0,$DJ38)+IF(OR($DK38="B",$DL38="B"),0,$DO38)+IF(OR($DP38="B",$DQ38="B"),0,$DT38)+IF(OR($DU38="B",$DV38="B"),0,$DY38)+IF(OR($DZ38="B",$EA38="B"),0,$ED38)+IF(OR($EE38="B",$EF38="B"),0,$EI38)</f>
        <v>8</v>
      </c>
      <c r="ES38" s="28">
        <f t="shared" si="34"/>
        <v>4</v>
      </c>
      <c r="ET38" s="62">
        <f t="shared" si="35"/>
        <v>4</v>
      </c>
      <c r="EU38" s="63"/>
      <c r="EV38" s="247">
        <f t="shared" si="36"/>
        <v>33</v>
      </c>
      <c r="EW38" s="249">
        <f t="shared" si="37"/>
        <v>33</v>
      </c>
      <c r="EX38" s="23">
        <f t="shared" si="38"/>
        <v>16.5</v>
      </c>
      <c r="EY38" s="74">
        <f t="shared" si="39"/>
        <v>16.5</v>
      </c>
      <c r="EZ38" s="63"/>
      <c r="FA38" s="336">
        <f t="shared" si="40"/>
        <v>0</v>
      </c>
      <c r="FB38" s="337">
        <f t="shared" si="41"/>
        <v>2</v>
      </c>
      <c r="FC38" s="333">
        <f t="shared" si="42"/>
        <v>1.7481060606060606</v>
      </c>
      <c r="FD38" s="420">
        <f t="shared" si="43"/>
        <v>0.87405303030303028</v>
      </c>
      <c r="FE38" s="433">
        <f t="shared" si="44"/>
        <v>1.7481060606060606</v>
      </c>
      <c r="FF38" s="213">
        <f t="shared" si="45"/>
        <v>0.87405303030303028</v>
      </c>
      <c r="FG38" s="15"/>
      <c r="FH38" s="37">
        <f t="shared" si="46"/>
        <v>12</v>
      </c>
    </row>
    <row r="39" spans="2:167" ht="17" thickBot="1" x14ac:dyDescent="0.25">
      <c r="B39" s="258" t="s">
        <v>122</v>
      </c>
      <c r="C39" s="259" t="s">
        <v>123</v>
      </c>
      <c r="D39" s="299">
        <v>518763</v>
      </c>
      <c r="E39" s="156"/>
      <c r="F39" s="157" t="s">
        <v>62</v>
      </c>
      <c r="G39" s="306">
        <v>0.97619047619047616</v>
      </c>
      <c r="H39" s="306">
        <v>0.97619047619047616</v>
      </c>
      <c r="I39" s="285">
        <f t="shared" si="0"/>
        <v>1</v>
      </c>
      <c r="J39" s="301">
        <v>3</v>
      </c>
      <c r="K39" s="528"/>
      <c r="L39" s="253">
        <v>0.3125</v>
      </c>
      <c r="M39" s="253">
        <v>0.47916666666666663</v>
      </c>
      <c r="N39" s="285">
        <f t="shared" si="1"/>
        <v>3</v>
      </c>
      <c r="O39" s="303">
        <v>14</v>
      </c>
      <c r="P39" s="302"/>
      <c r="Q39" s="253">
        <v>0.39583333333333337</v>
      </c>
      <c r="R39" s="253">
        <v>0.60416666666666674</v>
      </c>
      <c r="S39" s="285">
        <f t="shared" si="2"/>
        <v>14</v>
      </c>
      <c r="T39" s="303">
        <v>12</v>
      </c>
      <c r="U39" s="302"/>
      <c r="V39" s="253">
        <v>0.52083333333333326</v>
      </c>
      <c r="W39" s="253">
        <v>0.72916666666666674</v>
      </c>
      <c r="X39" s="285">
        <f t="shared" si="3"/>
        <v>12</v>
      </c>
      <c r="Y39" s="303">
        <v>2</v>
      </c>
      <c r="Z39" s="287"/>
      <c r="AA39" s="253">
        <v>0.27419354838709675</v>
      </c>
      <c r="AB39" s="253">
        <v>0.37096774193548387</v>
      </c>
      <c r="AC39" s="285">
        <f t="shared" si="4"/>
        <v>2</v>
      </c>
      <c r="AD39" s="303"/>
      <c r="AE39" s="287">
        <v>17</v>
      </c>
      <c r="AF39" s="253">
        <v>0.16666666666666663</v>
      </c>
      <c r="AG39" s="253">
        <v>0.26190476190476186</v>
      </c>
      <c r="AH39" s="285">
        <f t="shared" si="5"/>
        <v>17</v>
      </c>
      <c r="AI39" s="260"/>
      <c r="AJ39" s="257">
        <v>13</v>
      </c>
      <c r="AK39" s="253">
        <v>0.40476190476190477</v>
      </c>
      <c r="AL39" s="253">
        <v>0.69047619047619047</v>
      </c>
      <c r="AM39" s="285">
        <f t="shared" si="6"/>
        <v>13</v>
      </c>
      <c r="AN39" s="260"/>
      <c r="AO39" s="257">
        <v>18</v>
      </c>
      <c r="AP39" s="253">
        <v>0.27083333333333337</v>
      </c>
      <c r="AQ39" s="253">
        <v>0.39583333333333337</v>
      </c>
      <c r="AR39" s="285">
        <f t="shared" si="7"/>
        <v>18</v>
      </c>
      <c r="AS39" s="260"/>
      <c r="AT39" s="257">
        <v>12</v>
      </c>
      <c r="AU39" s="253">
        <v>0.5</v>
      </c>
      <c r="AV39" s="253">
        <v>0.71739130434782616</v>
      </c>
      <c r="AW39" s="285">
        <f t="shared" si="8"/>
        <v>12</v>
      </c>
      <c r="AX39" s="260"/>
      <c r="AY39" s="257">
        <v>17</v>
      </c>
      <c r="AZ39" s="253">
        <v>0.38888888888888884</v>
      </c>
      <c r="BA39" s="253">
        <v>0.53703703703703698</v>
      </c>
      <c r="BB39" s="285">
        <f t="shared" si="9"/>
        <v>17</v>
      </c>
      <c r="BC39" s="260"/>
      <c r="BD39" s="257">
        <v>18</v>
      </c>
      <c r="BE39" s="304">
        <v>0.35185185185185186</v>
      </c>
      <c r="BF39" s="253">
        <v>0.7592592592592593</v>
      </c>
      <c r="BG39" s="285">
        <f t="shared" si="10"/>
        <v>18</v>
      </c>
      <c r="BH39" s="298"/>
      <c r="BI39" s="257">
        <v>11</v>
      </c>
      <c r="BJ39" s="304">
        <v>0.19230769230769229</v>
      </c>
      <c r="BK39" s="253">
        <v>0.26923076923076927</v>
      </c>
      <c r="BL39" s="285">
        <f t="shared" si="11"/>
        <v>11</v>
      </c>
      <c r="BM39" s="305"/>
      <c r="BN39" s="257">
        <v>17</v>
      </c>
      <c r="BO39" s="304">
        <v>0.27083333333333337</v>
      </c>
      <c r="BP39" s="253">
        <v>0.5625</v>
      </c>
      <c r="BQ39" s="285">
        <f t="shared" si="12"/>
        <v>17</v>
      </c>
      <c r="BR39" s="298"/>
      <c r="BS39" s="257">
        <v>19</v>
      </c>
      <c r="BT39" s="304">
        <v>0.21999999999999997</v>
      </c>
      <c r="BU39" s="253">
        <v>0.58000000000000007</v>
      </c>
      <c r="BV39" s="285">
        <f t="shared" si="13"/>
        <v>19</v>
      </c>
      <c r="BW39" s="298"/>
      <c r="BX39" s="257">
        <v>17</v>
      </c>
      <c r="BY39" s="304">
        <v>0.44999999999999996</v>
      </c>
      <c r="BZ39" s="253">
        <v>0.68333333333333335</v>
      </c>
      <c r="CA39" s="285">
        <f t="shared" si="14"/>
        <v>17</v>
      </c>
      <c r="CB39" s="298"/>
      <c r="CC39" s="257">
        <v>24</v>
      </c>
      <c r="CD39" s="304">
        <v>0.18333333333333335</v>
      </c>
      <c r="CE39" s="253">
        <v>0.1166666666666667</v>
      </c>
      <c r="CF39" s="285">
        <f t="shared" si="15"/>
        <v>24</v>
      </c>
      <c r="CG39" s="298"/>
      <c r="CH39" s="257">
        <v>21</v>
      </c>
      <c r="CI39" s="304">
        <v>0.31666666666666665</v>
      </c>
      <c r="CJ39" s="253">
        <v>0.65</v>
      </c>
      <c r="CK39" s="285">
        <f t="shared" si="48"/>
        <v>21</v>
      </c>
      <c r="CL39" s="298"/>
      <c r="CM39" s="257">
        <v>23</v>
      </c>
      <c r="CN39" s="453">
        <v>0.296875</v>
      </c>
      <c r="CO39" s="454">
        <v>0.765625</v>
      </c>
      <c r="CP39" s="285">
        <f t="shared" si="17"/>
        <v>23</v>
      </c>
      <c r="CQ39" s="298"/>
      <c r="CR39" s="257">
        <v>17</v>
      </c>
      <c r="CS39" s="287">
        <v>0.17500000000000004</v>
      </c>
      <c r="CT39" s="301">
        <v>0.375</v>
      </c>
      <c r="CU39" s="285">
        <f t="shared" si="18"/>
        <v>17</v>
      </c>
      <c r="CV39" s="298"/>
      <c r="CW39" s="257">
        <v>25</v>
      </c>
      <c r="CX39" s="304">
        <v>0.25757575757575757</v>
      </c>
      <c r="CY39" s="253">
        <v>0.56060606060606055</v>
      </c>
      <c r="CZ39" s="285">
        <f t="shared" si="19"/>
        <v>25</v>
      </c>
      <c r="DA39" s="298"/>
      <c r="DB39" s="257">
        <v>14</v>
      </c>
      <c r="DC39" s="304">
        <v>0.4375</v>
      </c>
      <c r="DD39" s="253">
        <v>0.6875</v>
      </c>
      <c r="DE39" s="285">
        <f t="shared" si="20"/>
        <v>14</v>
      </c>
      <c r="DF39" s="298"/>
      <c r="DG39" s="257">
        <v>24</v>
      </c>
      <c r="DH39" s="304">
        <v>0.34722222222222221</v>
      </c>
      <c r="DI39" s="253">
        <v>0.54166666666666674</v>
      </c>
      <c r="DJ39" s="285">
        <f t="shared" si="21"/>
        <v>24</v>
      </c>
      <c r="DK39" s="298"/>
      <c r="DL39" s="257">
        <v>19</v>
      </c>
      <c r="DM39" s="304">
        <v>0.3035714285714286</v>
      </c>
      <c r="DN39" s="253">
        <v>0.375</v>
      </c>
      <c r="DO39" s="285">
        <f t="shared" si="22"/>
        <v>19</v>
      </c>
      <c r="DP39" s="298"/>
      <c r="DQ39" s="257">
        <v>20</v>
      </c>
      <c r="DR39" s="304">
        <v>0.22413793103448276</v>
      </c>
      <c r="DS39" s="253">
        <v>0.2931034482758621</v>
      </c>
      <c r="DT39" s="285">
        <f t="shared" si="23"/>
        <v>20</v>
      </c>
      <c r="DU39" s="298"/>
      <c r="DV39" s="257">
        <v>23</v>
      </c>
      <c r="DW39" s="304">
        <v>0.25757575757575757</v>
      </c>
      <c r="DX39" s="253">
        <v>0.22727272727272729</v>
      </c>
      <c r="DY39" s="285">
        <f t="shared" si="24"/>
        <v>23</v>
      </c>
      <c r="DZ39" s="475"/>
      <c r="EA39" s="81"/>
      <c r="EB39" s="43"/>
      <c r="EC39" s="191"/>
      <c r="ED39" s="285">
        <f t="shared" si="25"/>
        <v>0</v>
      </c>
      <c r="EE39" s="475"/>
      <c r="EF39" s="456">
        <v>25</v>
      </c>
      <c r="EG39" s="461">
        <v>0.11538461538461542</v>
      </c>
      <c r="EH39" s="463">
        <v>0.21794871794871795</v>
      </c>
      <c r="EI39" s="285">
        <f t="shared" si="26"/>
        <v>25</v>
      </c>
      <c r="EJ39" s="467">
        <f t="shared" si="27"/>
        <v>26</v>
      </c>
      <c r="EK39" s="522">
        <f t="shared" si="28"/>
        <v>15</v>
      </c>
      <c r="EL39" s="267">
        <f t="shared" si="29"/>
        <v>26</v>
      </c>
      <c r="EM39" s="267">
        <f t="shared" si="30"/>
        <v>1</v>
      </c>
      <c r="EN39" s="516">
        <f t="shared" si="31"/>
        <v>0</v>
      </c>
      <c r="EO39" s="273">
        <f t="shared" si="32"/>
        <v>15</v>
      </c>
      <c r="EP39" s="15"/>
      <c r="EQ39" s="61">
        <f t="shared" si="33"/>
        <v>426</v>
      </c>
      <c r="ER39" s="187">
        <f>IF(OR($E39="B",$F39="B"),0,$I39)+IF(OR($J39="B",$K39="B"),0,$N39)+IF(OR($O39="B",$P39="B"),0,$S39)+IF(OR($T39="B",$U39="B"),0,$X39)+IF(OR($Y39="B",$Z39="B"),0,$AC39)+IF(OR($AD39="B",$AE39="B"),0,$AH39)+IF(OR($AI39="B",$AJ39="B"),0,$AM39)+IF(OR($HP17="B",$AO39="B"),0,$AR39)+IF(OR($AS39="B",$AT39="B"),0,$AW39)+IF(OR($AX39="B",$AY39="B"),0,$BB39)+IF(OR($BC39="B",$BD39="B"),0,$BG39)+IF(OR($BH39="B",$BI39="B"),0,$BL39)+IF(OR($BM39="B",$BN39="B"),0,$BQ39)+IF(OR($BR39="B",$BS39="B"),0,$BV39)+IF(OR($BW39="B",$BX39="B"),0,$CA39)+IF(OR($CB39="B",$CC39="B"),0,$CF39)+IF(OR($CG39="B",$CH39="B"),0,$CK39)+IF(OR($CL39="B",$CM39="B"),0,$CP39)+IF(OR($CQ39="B",$CR39="B"),0,$CU39)+IF(OR($CV39="B",$CW39="B"),0,$CZ39)+IF(OR($DA39="B",$DB39="B"),0,$DE39)+IF(OR($DF39="B",$DG39="B"),0,$DJ39)+IF(OR($DK39="B",$DL39="B"),0,$DO39)+IF(OR($DP39="B",$DQ39="B"),0,$DT39)+IF(OR($DU39="B",$DV39="B"),0,$DY39)+IF(OR($DZ39="B",$EA39="B"),0,$ED39)+IF(OR($EE39="B",$EF39="B"),0,$EI39)</f>
        <v>426</v>
      </c>
      <c r="ES39" s="28">
        <f t="shared" si="34"/>
        <v>16.384615384615383</v>
      </c>
      <c r="ET39" s="62">
        <f t="shared" si="35"/>
        <v>16.384615384615383</v>
      </c>
      <c r="EU39" s="63"/>
      <c r="EV39" s="247">
        <f t="shared" si="36"/>
        <v>427</v>
      </c>
      <c r="EW39" s="249">
        <f t="shared" si="37"/>
        <v>427</v>
      </c>
      <c r="EX39" s="23">
        <f t="shared" si="38"/>
        <v>16.423076923076923</v>
      </c>
      <c r="EY39" s="74">
        <f t="shared" si="39"/>
        <v>16.423076923076923</v>
      </c>
      <c r="EZ39" s="63"/>
      <c r="FA39" s="336">
        <f t="shared" si="40"/>
        <v>25</v>
      </c>
      <c r="FB39" s="337">
        <f t="shared" si="41"/>
        <v>1</v>
      </c>
      <c r="FC39" s="333">
        <f t="shared" si="42"/>
        <v>8.610537074752175</v>
      </c>
      <c r="FD39" s="420">
        <f t="shared" si="43"/>
        <v>0.33117450287508365</v>
      </c>
      <c r="FE39" s="433">
        <f t="shared" si="44"/>
        <v>13.427013494485172</v>
      </c>
      <c r="FF39" s="213">
        <f t="shared" si="45"/>
        <v>0.51642359594173737</v>
      </c>
      <c r="FG39" s="15"/>
      <c r="FH39" s="37">
        <f t="shared" si="46"/>
        <v>13</v>
      </c>
    </row>
    <row r="40" spans="2:167" ht="17" thickBot="1" x14ac:dyDescent="0.25">
      <c r="B40" s="258" t="s">
        <v>116</v>
      </c>
      <c r="C40" s="259" t="s">
        <v>165</v>
      </c>
      <c r="D40" s="299">
        <v>511415</v>
      </c>
      <c r="E40" s="300"/>
      <c r="F40" s="285">
        <v>16</v>
      </c>
      <c r="G40" s="306">
        <v>0.26190476190476186</v>
      </c>
      <c r="H40" s="306">
        <v>0.26190476190476186</v>
      </c>
      <c r="I40" s="285">
        <f t="shared" si="0"/>
        <v>16</v>
      </c>
      <c r="J40" s="301"/>
      <c r="K40" s="302">
        <v>6</v>
      </c>
      <c r="L40" s="253">
        <v>0.77083333333333337</v>
      </c>
      <c r="M40" s="253">
        <v>0.72916666666666674</v>
      </c>
      <c r="N40" s="285">
        <f t="shared" si="1"/>
        <v>6</v>
      </c>
      <c r="O40" s="303"/>
      <c r="P40" s="302"/>
      <c r="Q40" s="301"/>
      <c r="R40" s="301"/>
      <c r="S40" s="285">
        <f t="shared" si="2"/>
        <v>0</v>
      </c>
      <c r="T40" s="303">
        <v>3</v>
      </c>
      <c r="U40" s="302"/>
      <c r="V40" s="253">
        <v>0.89583333333333337</v>
      </c>
      <c r="W40" s="253">
        <v>0.9375</v>
      </c>
      <c r="X40" s="285">
        <f t="shared" si="3"/>
        <v>3</v>
      </c>
      <c r="Y40" s="303"/>
      <c r="Z40" s="287">
        <v>25</v>
      </c>
      <c r="AA40" s="253">
        <v>0.14516129032258063</v>
      </c>
      <c r="AB40" s="253">
        <v>0.11290322580645162</v>
      </c>
      <c r="AC40" s="285">
        <f t="shared" si="4"/>
        <v>25</v>
      </c>
      <c r="AD40" s="163"/>
      <c r="AE40" s="287">
        <v>6</v>
      </c>
      <c r="AF40" s="253">
        <v>0.73809523809523814</v>
      </c>
      <c r="AG40" s="253">
        <v>0.7857142857142857</v>
      </c>
      <c r="AH40" s="285">
        <f t="shared" si="5"/>
        <v>6</v>
      </c>
      <c r="AI40" s="260"/>
      <c r="AJ40" s="257">
        <v>6</v>
      </c>
      <c r="AK40" s="253">
        <v>0.73809523809523814</v>
      </c>
      <c r="AL40" s="253">
        <v>0.83333333333333337</v>
      </c>
      <c r="AM40" s="285">
        <f t="shared" si="6"/>
        <v>6</v>
      </c>
      <c r="AN40" s="260"/>
      <c r="AO40" s="81" t="s">
        <v>62</v>
      </c>
      <c r="AP40" s="261">
        <v>0.97916666666666663</v>
      </c>
      <c r="AQ40" s="261">
        <v>0.97916666666666663</v>
      </c>
      <c r="AR40" s="285">
        <f t="shared" si="7"/>
        <v>1</v>
      </c>
      <c r="AS40" s="260"/>
      <c r="AT40" s="257" t="s">
        <v>2</v>
      </c>
      <c r="AU40" s="253">
        <v>6.5217391304347783E-2</v>
      </c>
      <c r="AV40" s="253">
        <v>6.5217391304347783E-2</v>
      </c>
      <c r="AW40" s="285">
        <f t="shared" si="8"/>
        <v>18</v>
      </c>
      <c r="AX40" s="260"/>
      <c r="AY40" s="257">
        <v>5</v>
      </c>
      <c r="AZ40" s="253">
        <v>0.83333333333333337</v>
      </c>
      <c r="BA40" s="253">
        <v>0.87037037037037035</v>
      </c>
      <c r="BB40" s="285">
        <f t="shared" si="9"/>
        <v>5</v>
      </c>
      <c r="BC40" s="260"/>
      <c r="BD40" s="257">
        <v>17</v>
      </c>
      <c r="BE40" s="304">
        <v>0.38888888888888884</v>
      </c>
      <c r="BF40" s="253">
        <v>0.42592592592592593</v>
      </c>
      <c r="BG40" s="285">
        <f t="shared" si="10"/>
        <v>17</v>
      </c>
      <c r="BH40" s="298"/>
      <c r="BI40" s="257"/>
      <c r="BJ40" s="287"/>
      <c r="BK40" s="301"/>
      <c r="BL40" s="285">
        <f t="shared" si="11"/>
        <v>0</v>
      </c>
      <c r="BM40" s="305"/>
      <c r="BN40" s="257">
        <v>13</v>
      </c>
      <c r="BO40" s="304">
        <v>0.47916666666666663</v>
      </c>
      <c r="BP40" s="253">
        <v>0.52083333333333326</v>
      </c>
      <c r="BQ40" s="285">
        <f t="shared" si="12"/>
        <v>13</v>
      </c>
      <c r="BR40" s="298"/>
      <c r="BS40" s="257">
        <v>8</v>
      </c>
      <c r="BT40" s="304">
        <v>0.65999999999999992</v>
      </c>
      <c r="BU40" s="253">
        <v>0.86</v>
      </c>
      <c r="BV40" s="285">
        <f t="shared" si="13"/>
        <v>8</v>
      </c>
      <c r="BW40" s="298"/>
      <c r="BX40" s="257">
        <v>19</v>
      </c>
      <c r="BY40" s="304">
        <v>0.3833333333333333</v>
      </c>
      <c r="BZ40" s="253">
        <v>0.3833333333333333</v>
      </c>
      <c r="CA40" s="285">
        <f t="shared" si="14"/>
        <v>19</v>
      </c>
      <c r="CB40" s="298"/>
      <c r="CC40" s="257">
        <v>21</v>
      </c>
      <c r="CD40" s="304">
        <v>0.28333333333333333</v>
      </c>
      <c r="CE40" s="253">
        <v>0.21666666666666667</v>
      </c>
      <c r="CF40" s="285">
        <f t="shared" si="15"/>
        <v>21</v>
      </c>
      <c r="CG40" s="298"/>
      <c r="CH40" s="257">
        <v>8</v>
      </c>
      <c r="CI40" s="304">
        <v>0.75</v>
      </c>
      <c r="CJ40" s="253">
        <v>0.85</v>
      </c>
      <c r="CK40" s="285">
        <f t="shared" si="48"/>
        <v>8</v>
      </c>
      <c r="CL40" s="182"/>
      <c r="CM40" s="452">
        <v>7</v>
      </c>
      <c r="CN40" s="453">
        <v>0.796875</v>
      </c>
      <c r="CO40" s="454">
        <v>0.890625</v>
      </c>
      <c r="CP40" s="285">
        <f t="shared" si="17"/>
        <v>7</v>
      </c>
      <c r="CQ40" s="298"/>
      <c r="CR40" s="257">
        <v>4</v>
      </c>
      <c r="CS40" s="287">
        <v>0.82499999999999996</v>
      </c>
      <c r="CT40" s="301">
        <v>0.875</v>
      </c>
      <c r="CU40" s="285">
        <f t="shared" si="18"/>
        <v>4</v>
      </c>
      <c r="CV40" s="298"/>
      <c r="CW40" s="257">
        <v>3</v>
      </c>
      <c r="CX40" s="304">
        <v>0.9242424242424242</v>
      </c>
      <c r="CY40" s="253">
        <v>0.95454545454545459</v>
      </c>
      <c r="CZ40" s="285">
        <f t="shared" si="19"/>
        <v>3</v>
      </c>
      <c r="DA40" s="298"/>
      <c r="DB40" s="257">
        <v>17</v>
      </c>
      <c r="DC40" s="304">
        <v>0.3125</v>
      </c>
      <c r="DD40" s="253">
        <v>0.4375</v>
      </c>
      <c r="DE40" s="285">
        <f t="shared" si="20"/>
        <v>17</v>
      </c>
      <c r="DF40" s="298"/>
      <c r="DG40" s="257">
        <v>5</v>
      </c>
      <c r="DH40" s="304">
        <v>0.875</v>
      </c>
      <c r="DI40" s="253">
        <v>0.875</v>
      </c>
      <c r="DJ40" s="285">
        <f t="shared" si="21"/>
        <v>5</v>
      </c>
      <c r="DK40" s="298"/>
      <c r="DL40" s="456" t="s">
        <v>2</v>
      </c>
      <c r="DM40" s="461">
        <v>0.125</v>
      </c>
      <c r="DN40" s="253">
        <v>0.125</v>
      </c>
      <c r="DO40" s="285">
        <f t="shared" si="22"/>
        <v>21</v>
      </c>
      <c r="DP40" s="298"/>
      <c r="DQ40" s="257">
        <v>12</v>
      </c>
      <c r="DR40" s="304">
        <v>0.60344827586206895</v>
      </c>
      <c r="DS40" s="253">
        <v>0.67241379310344829</v>
      </c>
      <c r="DT40" s="285">
        <f t="shared" si="23"/>
        <v>12</v>
      </c>
      <c r="DU40" s="298"/>
      <c r="DV40" s="257">
        <v>10</v>
      </c>
      <c r="DW40" s="461">
        <v>0.71212121212121215</v>
      </c>
      <c r="DX40" s="463">
        <v>0.74242424242424243</v>
      </c>
      <c r="DY40" s="285">
        <f t="shared" si="24"/>
        <v>10</v>
      </c>
      <c r="DZ40" s="475"/>
      <c r="EA40" s="456"/>
      <c r="EB40" s="43"/>
      <c r="EC40" s="191"/>
      <c r="ED40" s="285">
        <f t="shared" si="25"/>
        <v>0</v>
      </c>
      <c r="EE40" s="475"/>
      <c r="EF40" s="456">
        <v>27</v>
      </c>
      <c r="EG40" s="461">
        <v>6.4102564102564097E-2</v>
      </c>
      <c r="EH40" s="463">
        <v>1.2820512820512775E-2</v>
      </c>
      <c r="EI40" s="285">
        <f t="shared" si="26"/>
        <v>27</v>
      </c>
      <c r="EJ40" s="467">
        <f t="shared" si="27"/>
        <v>24</v>
      </c>
      <c r="EK40" s="522">
        <f t="shared" si="28"/>
        <v>14</v>
      </c>
      <c r="EL40" s="267">
        <f t="shared" si="29"/>
        <v>22</v>
      </c>
      <c r="EM40" s="267">
        <f t="shared" si="30"/>
        <v>1</v>
      </c>
      <c r="EN40" s="516">
        <f t="shared" si="31"/>
        <v>0</v>
      </c>
      <c r="EO40" s="273">
        <f t="shared" si="32"/>
        <v>14</v>
      </c>
      <c r="EP40" s="15"/>
      <c r="EQ40" s="61">
        <f t="shared" si="33"/>
        <v>278</v>
      </c>
      <c r="ER40" s="187">
        <f>IF(OR($E40="B",$F40="B"),0,$I40)+IF(OR($J40="B",$K40="B"),0,$N40)+IF(OR($O40="B",$P40="B"),0,$S40)+IF(OR($T40="B",$U40="B"),0,$X40)+IF(OR($Y40="B",$Z40="B"),0,$AC40)+IF(OR($AD40="B",$AE40="B"),0,$AH40)+IF(OR($AI40="B",$AJ40="B"),0,$AM40)+IF(OR($HP19="B",$AO40="B"),0,$AR40)+IF(OR($AS40="B",$AT40="B"),0,$AW40)+IF(OR($AX40="B",$AY40="B"),0,$BB40)+IF(OR($BC40="B",$BD40="B"),0,$BG40)+IF(OR($BH40="B",$BI40="B"),0,$BL40)+IF(OR($BM40="B",$BN40="B"),0,$BQ40)+IF(OR($BR40="B",$BS40="B"),0,$BV40)+IF(OR($BW40="B",$BX40="B"),0,$CA40)+IF(OR($CB40="B",$CC40="B"),0,$CF40)+IF(OR($CG40="B",$CH40="B"),0,$CK40)+IF(OR($CL40="B",$CM40="B"),0,$CP40)+IF(OR($CQ40="B",$CR40="B"),0,$CU40)+IF(OR($CV40="B",$CW40="B"),0,$CZ40)+IF(OR($DA40="B",$DB40="B"),0,$DE40)+IF(OR($DF40="B",$DG40="B"),0,$DJ40)+IF(OR($DK40="B",$DL40="B"),0,$DO40)+IF(OR($DP40="B",$DQ40="B"),0,$DT40)+IF(OR($DU40="B",$DV40="B"),0,$DY40)+IF(OR($DZ40="B",$EA40="B"),0,$ED40)+IF(OR($EE40="B",$EF40="B"),0,$EI40)</f>
        <v>239</v>
      </c>
      <c r="ES40" s="28">
        <f t="shared" si="34"/>
        <v>11.583333333333334</v>
      </c>
      <c r="ET40" s="62">
        <f t="shared" si="35"/>
        <v>10.863636363636363</v>
      </c>
      <c r="EU40" s="63"/>
      <c r="EV40" s="247">
        <f t="shared" si="36"/>
        <v>281</v>
      </c>
      <c r="EW40" s="249">
        <f t="shared" si="37"/>
        <v>244</v>
      </c>
      <c r="EX40" s="23">
        <f t="shared" si="38"/>
        <v>11.708333333333334</v>
      </c>
      <c r="EY40" s="74">
        <f t="shared" si="39"/>
        <v>11.090909090909092</v>
      </c>
      <c r="EZ40" s="63"/>
      <c r="FA40" s="336">
        <f t="shared" si="40"/>
        <v>23</v>
      </c>
      <c r="FB40" s="337">
        <f t="shared" si="41"/>
        <v>1</v>
      </c>
      <c r="FC40" s="333">
        <f t="shared" si="42"/>
        <v>13.610652284939325</v>
      </c>
      <c r="FD40" s="420">
        <f t="shared" si="43"/>
        <v>0.56711051187247186</v>
      </c>
      <c r="FE40" s="433">
        <f t="shared" si="44"/>
        <v>14.417364963919802</v>
      </c>
      <c r="FF40" s="213">
        <f t="shared" si="45"/>
        <v>0.60072354016332508</v>
      </c>
      <c r="FG40" s="15"/>
      <c r="FH40" s="37">
        <f t="shared" si="46"/>
        <v>14</v>
      </c>
    </row>
    <row r="41" spans="2:167" ht="15.75" thickBot="1" x14ac:dyDescent="0.25">
      <c r="B41" s="258" t="s">
        <v>103</v>
      </c>
      <c r="C41" s="259" t="s">
        <v>104</v>
      </c>
      <c r="D41" s="299">
        <v>509091</v>
      </c>
      <c r="E41" s="300"/>
      <c r="F41" s="285"/>
      <c r="G41" s="285"/>
      <c r="H41" s="285"/>
      <c r="I41" s="285">
        <f t="shared" si="0"/>
        <v>0</v>
      </c>
      <c r="J41" s="301">
        <v>1</v>
      </c>
      <c r="K41" s="503"/>
      <c r="L41" s="329">
        <v>0.4375</v>
      </c>
      <c r="M41" s="253">
        <v>0.14583333333333337</v>
      </c>
      <c r="N41" s="285">
        <f t="shared" si="1"/>
        <v>1</v>
      </c>
      <c r="O41" s="303">
        <v>22</v>
      </c>
      <c r="P41" s="302"/>
      <c r="Q41" s="253">
        <v>0.10416666666666663</v>
      </c>
      <c r="R41" s="253">
        <v>0.1875</v>
      </c>
      <c r="S41" s="285">
        <f t="shared" si="2"/>
        <v>22</v>
      </c>
      <c r="T41" s="303" t="s">
        <v>2</v>
      </c>
      <c r="U41" s="302"/>
      <c r="V41" s="253">
        <v>0.10416666666666663</v>
      </c>
      <c r="W41" s="253">
        <v>0.10416666666666663</v>
      </c>
      <c r="X41" s="285">
        <f t="shared" si="3"/>
        <v>22</v>
      </c>
      <c r="Y41" s="303"/>
      <c r="Z41" s="287">
        <v>21</v>
      </c>
      <c r="AA41" s="253">
        <v>0.30645161290322576</v>
      </c>
      <c r="AB41" s="253">
        <v>0.24193548387096775</v>
      </c>
      <c r="AC41" s="285">
        <f t="shared" si="4"/>
        <v>21</v>
      </c>
      <c r="AD41" s="303"/>
      <c r="AE41" s="287" t="s">
        <v>2</v>
      </c>
      <c r="AF41" s="253">
        <v>2.3809523809523836E-2</v>
      </c>
      <c r="AG41" s="253">
        <v>2.3809523809523836E-2</v>
      </c>
      <c r="AH41" s="285">
        <f t="shared" si="5"/>
        <v>20</v>
      </c>
      <c r="AI41" s="260"/>
      <c r="AJ41" s="257"/>
      <c r="AK41" s="301"/>
      <c r="AL41" s="301"/>
      <c r="AM41" s="285">
        <f t="shared" si="6"/>
        <v>0</v>
      </c>
      <c r="AN41" s="260"/>
      <c r="AO41" s="257" t="s">
        <v>2</v>
      </c>
      <c r="AP41" s="253">
        <v>0.10416666666666663</v>
      </c>
      <c r="AQ41" s="253">
        <v>0.10416666666666663</v>
      </c>
      <c r="AR41" s="285">
        <f t="shared" si="7"/>
        <v>19</v>
      </c>
      <c r="AS41" s="260"/>
      <c r="AT41" s="257"/>
      <c r="AU41" s="301"/>
      <c r="AV41" s="301"/>
      <c r="AW41" s="285">
        <f t="shared" si="8"/>
        <v>0</v>
      </c>
      <c r="AX41" s="260"/>
      <c r="AY41" s="257">
        <v>21</v>
      </c>
      <c r="AZ41" s="253">
        <v>0.2407407407407407</v>
      </c>
      <c r="BA41" s="253">
        <v>0.20370370370370372</v>
      </c>
      <c r="BB41" s="285">
        <f t="shared" si="9"/>
        <v>21</v>
      </c>
      <c r="BC41" s="260"/>
      <c r="BD41" s="257" t="s">
        <v>2</v>
      </c>
      <c r="BE41" s="304">
        <v>9.259259259259256E-2</v>
      </c>
      <c r="BF41" s="253">
        <v>9.259259259259256E-2</v>
      </c>
      <c r="BG41" s="285">
        <f t="shared" si="10"/>
        <v>23</v>
      </c>
      <c r="BH41" s="298"/>
      <c r="BI41" s="257"/>
      <c r="BJ41" s="287"/>
      <c r="BK41" s="301"/>
      <c r="BL41" s="285">
        <f t="shared" si="11"/>
        <v>0</v>
      </c>
      <c r="BM41" s="305"/>
      <c r="BN41" s="257">
        <v>21</v>
      </c>
      <c r="BO41" s="304">
        <v>0.10416666666666663</v>
      </c>
      <c r="BP41" s="253">
        <v>0.22916666666666663</v>
      </c>
      <c r="BQ41" s="285">
        <f t="shared" si="12"/>
        <v>21</v>
      </c>
      <c r="BR41" s="298"/>
      <c r="BS41" s="257">
        <v>11</v>
      </c>
      <c r="BT41" s="304">
        <v>0.54</v>
      </c>
      <c r="BU41" s="253">
        <v>0.74</v>
      </c>
      <c r="BV41" s="285">
        <f t="shared" si="13"/>
        <v>11</v>
      </c>
      <c r="BW41" s="298"/>
      <c r="BX41" s="257">
        <v>24</v>
      </c>
      <c r="BY41" s="304">
        <v>0.21666666666666667</v>
      </c>
      <c r="BZ41" s="253">
        <v>0.18333333333333335</v>
      </c>
      <c r="CA41" s="285">
        <f t="shared" si="14"/>
        <v>24</v>
      </c>
      <c r="CB41" s="298"/>
      <c r="CC41" s="257" t="s">
        <v>2</v>
      </c>
      <c r="CD41" s="324">
        <v>1.6666666666666718E-2</v>
      </c>
      <c r="CE41" s="329">
        <v>1.6666666666666718E-2</v>
      </c>
      <c r="CF41" s="285">
        <f t="shared" si="15"/>
        <v>28</v>
      </c>
      <c r="CG41" s="298"/>
      <c r="CH41" s="257" t="s">
        <v>2</v>
      </c>
      <c r="CI41" s="304">
        <v>0.5</v>
      </c>
      <c r="CJ41" s="253">
        <v>5.0000000000000044E-2</v>
      </c>
      <c r="CK41" s="285">
        <f t="shared" si="48"/>
        <v>28</v>
      </c>
      <c r="CL41" s="298"/>
      <c r="CM41" s="257">
        <v>14</v>
      </c>
      <c r="CN41" s="304">
        <v>0.578125</v>
      </c>
      <c r="CO41" s="454">
        <v>0.828125</v>
      </c>
      <c r="CP41" s="285">
        <f t="shared" si="17"/>
        <v>14</v>
      </c>
      <c r="CQ41" s="298"/>
      <c r="CR41" s="257"/>
      <c r="CS41" s="287"/>
      <c r="CT41" s="301"/>
      <c r="CU41" s="285">
        <f t="shared" si="18"/>
        <v>0</v>
      </c>
      <c r="CV41" s="298"/>
      <c r="CW41" s="479" t="s">
        <v>7</v>
      </c>
      <c r="CX41" s="304">
        <v>0.89393939393939392</v>
      </c>
      <c r="CY41" s="253">
        <v>0.89393939393939392</v>
      </c>
      <c r="CZ41" s="285">
        <f t="shared" si="19"/>
        <v>4</v>
      </c>
      <c r="DA41" s="298"/>
      <c r="DB41" s="257">
        <v>13</v>
      </c>
      <c r="DC41" s="304">
        <v>0.47916666666666663</v>
      </c>
      <c r="DD41" s="253">
        <v>0.52083333333333326</v>
      </c>
      <c r="DE41" s="285">
        <f t="shared" si="20"/>
        <v>13</v>
      </c>
      <c r="DF41" s="298"/>
      <c r="DG41" s="257">
        <v>32</v>
      </c>
      <c r="DH41" s="304">
        <v>0.125</v>
      </c>
      <c r="DI41" s="253">
        <v>6.944444444444442E-2</v>
      </c>
      <c r="DJ41" s="285">
        <f t="shared" si="21"/>
        <v>32</v>
      </c>
      <c r="DK41" s="298"/>
      <c r="DL41" s="257">
        <v>20</v>
      </c>
      <c r="DM41" s="304">
        <v>0.2678571428571429</v>
      </c>
      <c r="DN41" s="253">
        <v>0.1964285714285714</v>
      </c>
      <c r="DO41" s="285">
        <f t="shared" si="22"/>
        <v>20</v>
      </c>
      <c r="DP41" s="298"/>
      <c r="DQ41" s="456" t="s">
        <v>2</v>
      </c>
      <c r="DR41" s="304">
        <v>1.7241379310344862E-2</v>
      </c>
      <c r="DS41" s="253">
        <v>1.7241379310344862E-2</v>
      </c>
      <c r="DT41" s="285">
        <f t="shared" si="23"/>
        <v>22</v>
      </c>
      <c r="DU41" s="298"/>
      <c r="DV41" s="257">
        <v>25</v>
      </c>
      <c r="DW41" s="304">
        <v>0.19696969696969702</v>
      </c>
      <c r="DX41" s="253">
        <v>0.10606060606060608</v>
      </c>
      <c r="DY41" s="285">
        <f t="shared" si="24"/>
        <v>25</v>
      </c>
      <c r="DZ41" s="475"/>
      <c r="EA41" s="456" t="s">
        <v>2</v>
      </c>
      <c r="EB41" s="461">
        <v>7.7777777777777724E-2</v>
      </c>
      <c r="EC41" s="463">
        <v>7.7777777777777724E-2</v>
      </c>
      <c r="ED41" s="285">
        <f t="shared" si="25"/>
        <v>31</v>
      </c>
      <c r="EE41" s="475"/>
      <c r="EF41" s="456">
        <v>23</v>
      </c>
      <c r="EG41" s="461">
        <v>0.21794871794871795</v>
      </c>
      <c r="EH41" s="463">
        <v>0.19230769230769229</v>
      </c>
      <c r="EI41" s="285">
        <f t="shared" si="26"/>
        <v>23</v>
      </c>
      <c r="EJ41" s="467">
        <f t="shared" si="27"/>
        <v>22</v>
      </c>
      <c r="EK41" s="522">
        <f t="shared" si="28"/>
        <v>14</v>
      </c>
      <c r="EL41" s="267">
        <f t="shared" si="29"/>
        <v>14</v>
      </c>
      <c r="EM41" s="267">
        <f t="shared" si="30"/>
        <v>1</v>
      </c>
      <c r="EN41" s="516">
        <f t="shared" si="31"/>
        <v>1</v>
      </c>
      <c r="EO41" s="273">
        <f t="shared" si="32"/>
        <v>13</v>
      </c>
      <c r="EP41" s="15"/>
      <c r="EQ41" s="61">
        <f t="shared" si="33"/>
        <v>445</v>
      </c>
      <c r="ER41" s="187">
        <f>IF(OR($E41="B",$F41="B"),0,$I41)+IF(OR($J41="B",$K41="B"),0,$N41)+IF(OR($O41="B",$P41="B"),0,$S41)+IF(OR($T41="B",$U41="B"),0,$X41)+IF(OR($Y41="B",$Z41="B"),0,$AC41)+IF(OR($AD41="B",$AE41="B"),0,$AH41)+IF(OR($AI41="B",$AJ41="B"),0,$AM41)+IF(OR($HP19="B",$AO41="B"),0,$AR41)+IF(OR($AS41="B",$AT41="B"),0,$AW41)+IF(OR($AX41="B",$AY41="B"),0,$BB41)+IF(OR($BC41="B",$BD41="B"),0,$BG41)+IF(OR($BH41="B",$BI41="B"),0,$BL41)+IF(OR($BM41="B",$BN41="B"),0,$BQ41)+IF(OR($BR41="B",$BS41="B"),0,$BV41)+IF(OR($BW41="B",$BX41="B"),0,$CA41)+IF(OR($CB41="B",$CC41="B"),0,$CF41)+IF(OR($CG41="B",$CH41="B"),0,$CK41)+IF(OR($CL41="B",$CM41="B"),0,$CP41)+IF(OR($CQ41="B",$CR41="B"),0,$CU41)+IF(OR($CV41="B",$CW41="B"),0,$CZ41)+IF(OR($DA41="B",$DB41="B"),0,$DE41)+IF(OR($DF41="B",$DG41="B"),0,$DJ41)+IF(OR($DK41="B",$DL41="B"),0,$DO41)+IF(OR($DP41="B",$DQ41="B"),0,$DT41)+IF(OR($DU41="B",$DV41="B"),0,$DY41)+IF(OR($DZ41="B",$EA41="B"),0,$ED41)+IF(OR($EE41="B",$EF41="B"),0,$EI41)</f>
        <v>252</v>
      </c>
      <c r="ES41" s="28">
        <f t="shared" si="34"/>
        <v>20.227272727272727</v>
      </c>
      <c r="ET41" s="62">
        <f t="shared" si="35"/>
        <v>18</v>
      </c>
      <c r="EU41" s="63"/>
      <c r="EV41" s="247">
        <f t="shared" si="36"/>
        <v>450</v>
      </c>
      <c r="EW41" s="249">
        <f t="shared" si="37"/>
        <v>265</v>
      </c>
      <c r="EX41" s="23">
        <f t="shared" si="38"/>
        <v>20.454545454545453</v>
      </c>
      <c r="EY41" s="74">
        <f t="shared" si="39"/>
        <v>18.928571428571427</v>
      </c>
      <c r="EZ41" s="63"/>
      <c r="FA41" s="336">
        <f t="shared" si="40"/>
        <v>21</v>
      </c>
      <c r="FB41" s="337">
        <f t="shared" si="41"/>
        <v>1</v>
      </c>
      <c r="FC41" s="333">
        <f t="shared" si="42"/>
        <v>5.6451202455158249</v>
      </c>
      <c r="FD41" s="420">
        <f t="shared" si="43"/>
        <v>0.25659637479617387</v>
      </c>
      <c r="FE41" s="433">
        <f t="shared" si="44"/>
        <v>5.2250328359122848</v>
      </c>
      <c r="FF41" s="213">
        <f t="shared" si="45"/>
        <v>0.23750149254146749</v>
      </c>
      <c r="FG41" s="15"/>
      <c r="FH41" s="37">
        <f t="shared" si="46"/>
        <v>15</v>
      </c>
    </row>
    <row r="42" spans="2:167" ht="17" thickBot="1" x14ac:dyDescent="0.25">
      <c r="B42" s="258" t="s">
        <v>80</v>
      </c>
      <c r="C42" s="259" t="s">
        <v>81</v>
      </c>
      <c r="D42" s="299">
        <v>251112</v>
      </c>
      <c r="E42" s="300"/>
      <c r="F42" s="285">
        <v>17</v>
      </c>
      <c r="G42" s="306">
        <v>0.2142857142857143</v>
      </c>
      <c r="H42" s="306">
        <v>0.5</v>
      </c>
      <c r="I42" s="285">
        <f t="shared" si="0"/>
        <v>17</v>
      </c>
      <c r="J42" s="301"/>
      <c r="K42" s="302">
        <v>9</v>
      </c>
      <c r="L42" s="253">
        <v>0.64583333333333326</v>
      </c>
      <c r="M42" s="253">
        <v>0.85416666666666663</v>
      </c>
      <c r="N42" s="285">
        <f t="shared" si="1"/>
        <v>9</v>
      </c>
      <c r="O42" s="303">
        <v>9</v>
      </c>
      <c r="P42" s="145"/>
      <c r="Q42" s="253">
        <v>0.64583333333333326</v>
      </c>
      <c r="R42" s="253">
        <v>0.77083333333333337</v>
      </c>
      <c r="S42" s="285">
        <f t="shared" si="2"/>
        <v>9</v>
      </c>
      <c r="T42" s="303">
        <v>17</v>
      </c>
      <c r="U42" s="302"/>
      <c r="V42" s="253">
        <v>0.3125</v>
      </c>
      <c r="W42" s="253">
        <v>0.5625</v>
      </c>
      <c r="X42" s="285">
        <f t="shared" si="3"/>
        <v>17</v>
      </c>
      <c r="Y42" s="303"/>
      <c r="Z42" s="287"/>
      <c r="AA42" s="301"/>
      <c r="AB42" s="301"/>
      <c r="AC42" s="285">
        <f t="shared" si="4"/>
        <v>0</v>
      </c>
      <c r="AD42" s="303"/>
      <c r="AE42" s="287"/>
      <c r="AF42" s="253"/>
      <c r="AG42" s="253"/>
      <c r="AH42" s="285">
        <f t="shared" si="5"/>
        <v>0</v>
      </c>
      <c r="AI42" s="260"/>
      <c r="AJ42" s="257">
        <v>7</v>
      </c>
      <c r="AK42" s="253">
        <v>0.69047619047619047</v>
      </c>
      <c r="AL42" s="253">
        <v>0.9285714285714286</v>
      </c>
      <c r="AM42" s="285">
        <f t="shared" si="6"/>
        <v>7</v>
      </c>
      <c r="AN42" s="260"/>
      <c r="AO42" s="257">
        <v>8</v>
      </c>
      <c r="AP42" s="253">
        <v>0.6875</v>
      </c>
      <c r="AQ42" s="253">
        <v>0.9375</v>
      </c>
      <c r="AR42" s="285">
        <f t="shared" si="7"/>
        <v>8</v>
      </c>
      <c r="AS42" s="260"/>
      <c r="AT42" s="257"/>
      <c r="AU42" s="301"/>
      <c r="AV42" s="301"/>
      <c r="AW42" s="285">
        <f t="shared" si="8"/>
        <v>0</v>
      </c>
      <c r="AX42" s="260"/>
      <c r="AY42" s="257">
        <v>12</v>
      </c>
      <c r="AZ42" s="253">
        <v>0.57407407407407407</v>
      </c>
      <c r="BA42" s="253">
        <v>0.64814814814814814</v>
      </c>
      <c r="BB42" s="285">
        <f t="shared" si="9"/>
        <v>12</v>
      </c>
      <c r="BC42" s="260"/>
      <c r="BD42" s="257"/>
      <c r="BE42" s="287"/>
      <c r="BF42" s="301"/>
      <c r="BG42" s="285">
        <f t="shared" si="10"/>
        <v>0</v>
      </c>
      <c r="BH42" s="298"/>
      <c r="BI42" s="257">
        <v>5</v>
      </c>
      <c r="BJ42" s="304">
        <v>0.65384615384615385</v>
      </c>
      <c r="BK42" s="253">
        <v>0.73076923076923084</v>
      </c>
      <c r="BL42" s="285">
        <f t="shared" si="11"/>
        <v>5</v>
      </c>
      <c r="BM42" s="305"/>
      <c r="BN42" s="257">
        <v>10</v>
      </c>
      <c r="BO42" s="304">
        <v>0.60416666666666674</v>
      </c>
      <c r="BP42" s="253">
        <v>0.89583333333333337</v>
      </c>
      <c r="BQ42" s="285">
        <f t="shared" si="12"/>
        <v>10</v>
      </c>
      <c r="BR42" s="182"/>
      <c r="BS42" s="257">
        <v>17</v>
      </c>
      <c r="BT42" s="304">
        <v>0.30000000000000004</v>
      </c>
      <c r="BU42" s="253">
        <v>0.42000000000000004</v>
      </c>
      <c r="BV42" s="285">
        <f t="shared" si="13"/>
        <v>17</v>
      </c>
      <c r="BW42" s="298"/>
      <c r="BX42" s="257" t="s">
        <v>2</v>
      </c>
      <c r="BY42" s="304">
        <v>1.6666666666666718E-2</v>
      </c>
      <c r="BZ42" s="253">
        <v>1.6666666666666718E-2</v>
      </c>
      <c r="CA42" s="285">
        <f t="shared" si="14"/>
        <v>26</v>
      </c>
      <c r="CB42" s="182"/>
      <c r="CC42" s="81" t="s">
        <v>62</v>
      </c>
      <c r="CD42" s="304">
        <v>0.98333333333333328</v>
      </c>
      <c r="CE42" s="253">
        <v>0.95</v>
      </c>
      <c r="CF42" s="285">
        <f t="shared" si="15"/>
        <v>1</v>
      </c>
      <c r="CG42" s="298"/>
      <c r="CH42" s="257">
        <v>14</v>
      </c>
      <c r="CI42" s="304">
        <v>0.55000000000000004</v>
      </c>
      <c r="CJ42" s="253">
        <v>0.6166666666666667</v>
      </c>
      <c r="CK42" s="285">
        <f t="shared" si="48"/>
        <v>14</v>
      </c>
      <c r="CL42" s="298"/>
      <c r="CM42" s="257">
        <v>5</v>
      </c>
      <c r="CN42" s="304">
        <v>0.859375</v>
      </c>
      <c r="CO42" s="253">
        <v>0.953125</v>
      </c>
      <c r="CP42" s="285">
        <f t="shared" si="17"/>
        <v>5</v>
      </c>
      <c r="CQ42" s="298"/>
      <c r="CR42" s="257">
        <v>9</v>
      </c>
      <c r="CS42" s="287">
        <v>0.57499999999999996</v>
      </c>
      <c r="CT42" s="301">
        <v>0.77500000000000002</v>
      </c>
      <c r="CU42" s="285">
        <f t="shared" si="18"/>
        <v>9</v>
      </c>
      <c r="CV42" s="298"/>
      <c r="CW42" s="257">
        <v>17</v>
      </c>
      <c r="CX42" s="304">
        <v>0.5</v>
      </c>
      <c r="CY42" s="253">
        <v>0.71212121212121215</v>
      </c>
      <c r="CZ42" s="285">
        <f t="shared" si="19"/>
        <v>17</v>
      </c>
      <c r="DA42" s="298"/>
      <c r="DB42" s="257">
        <v>7</v>
      </c>
      <c r="DC42" s="304">
        <v>0.72916666666666674</v>
      </c>
      <c r="DD42" s="253">
        <v>0.89583333333333337</v>
      </c>
      <c r="DE42" s="285">
        <f t="shared" si="20"/>
        <v>7</v>
      </c>
      <c r="DF42" s="298"/>
      <c r="DG42" s="257">
        <v>15</v>
      </c>
      <c r="DH42" s="304">
        <v>0.59722222222222221</v>
      </c>
      <c r="DI42" s="253">
        <v>0.76388888888888884</v>
      </c>
      <c r="DJ42" s="285">
        <f t="shared" si="21"/>
        <v>15</v>
      </c>
      <c r="DK42" s="182"/>
      <c r="DL42" s="81"/>
      <c r="DM42" s="43"/>
      <c r="DN42" s="191"/>
      <c r="DO42" s="285">
        <f t="shared" si="22"/>
        <v>0</v>
      </c>
      <c r="DP42" s="298"/>
      <c r="DQ42" s="257"/>
      <c r="DR42" s="287"/>
      <c r="DS42" s="301"/>
      <c r="DT42" s="285">
        <f t="shared" si="23"/>
        <v>0</v>
      </c>
      <c r="DU42" s="298"/>
      <c r="DV42" s="257">
        <v>14</v>
      </c>
      <c r="DW42" s="461">
        <v>0.59090909090909083</v>
      </c>
      <c r="DX42" s="463">
        <v>0.68181818181818188</v>
      </c>
      <c r="DY42" s="285">
        <f t="shared" si="24"/>
        <v>14</v>
      </c>
      <c r="DZ42" s="475"/>
      <c r="EA42" s="456">
        <v>9</v>
      </c>
      <c r="EB42" s="461">
        <v>0.78888888888888886</v>
      </c>
      <c r="EC42" s="463">
        <v>0.81111111111111112</v>
      </c>
      <c r="ED42" s="285">
        <f t="shared" si="25"/>
        <v>9</v>
      </c>
      <c r="EE42" s="475"/>
      <c r="EF42" s="456">
        <v>9</v>
      </c>
      <c r="EG42" s="461">
        <v>0.78205128205128205</v>
      </c>
      <c r="EH42" s="463">
        <v>0.78205128205128205</v>
      </c>
      <c r="EI42" s="285">
        <f t="shared" si="26"/>
        <v>9</v>
      </c>
      <c r="EJ42" s="467">
        <f t="shared" si="27"/>
        <v>21</v>
      </c>
      <c r="EK42" s="522">
        <f t="shared" si="28"/>
        <v>14</v>
      </c>
      <c r="EL42" s="267">
        <f t="shared" si="29"/>
        <v>20</v>
      </c>
      <c r="EM42" s="267">
        <f t="shared" si="30"/>
        <v>1</v>
      </c>
      <c r="EN42" s="516">
        <f t="shared" si="31"/>
        <v>1</v>
      </c>
      <c r="EO42" s="273">
        <f t="shared" si="32"/>
        <v>13</v>
      </c>
      <c r="EP42" s="15"/>
      <c r="EQ42" s="61">
        <f t="shared" si="33"/>
        <v>237</v>
      </c>
      <c r="ER42" s="187">
        <f>IF(OR($E42="B",$F42="B"),0,$I42)+IF(OR($J42="B",$K42="B"),0,$N42)+IF(OR($O42="B",$P42="B"),0,$S42)+IF(OR($T42="B",$U42="B"),0,$X42)+IF(OR($Y42="B",$Z42="B"),0,$AC42)+IF(OR($AD42="B",$AE42="B"),0,$AH42)+IF(OR($AI42="B",$AJ42="B"),0,$AM42)+IF(OR($HP21="B",$AO42="B"),0,$AR42)+IF(OR($AS42="B",$AT42="B"),0,$AW42)+IF(OR($AX42="B",$AY42="B"),0,$BB42)+IF(OR($BC42="B",$BD42="B"),0,$BG42)+IF(OR($BH42="B",$BI42="B"),0,$BL42)+IF(OR($BM42="B",$BN42="B"),0,$BQ42)+IF(OR($BR42="B",$BS42="B"),0,$BV42)+IF(OR($BW42="B",$BX42="B"),0,$CA42)+IF(OR($CB42="B",$CC42="B"),0,$CF42)+IF(OR($CG42="B",$CH42="B"),0,$CK42)+IF(OR($CL42="B",$CM42="B"),0,$CP42)+IF(OR($CQ42="B",$CR42="B"),0,$CU42)+IF(OR($CV42="B",$CW42="B"),0,$CZ42)+IF(OR($DA42="B",$DB42="B"),0,$DE42)+IF(OR($DF42="B",$DG42="B"),0,$DJ42)+IF(OR($DK42="B",$DL42="B"),0,$DO42)+IF(OR($DP42="B",$DQ42="B"),0,$DT42)+IF(OR($DU42="B",$DV42="B"),0,$DY42)+IF(OR($DZ42="B",$EA42="B"),0,$ED42)+IF(OR($EE42="B",$EF42="B"),0,$EI42)</f>
        <v>211</v>
      </c>
      <c r="ES42" s="28">
        <f t="shared" si="34"/>
        <v>11.285714285714286</v>
      </c>
      <c r="ET42" s="62">
        <f t="shared" si="35"/>
        <v>10.55</v>
      </c>
      <c r="EU42" s="63"/>
      <c r="EV42" s="247">
        <f t="shared" si="36"/>
        <v>243</v>
      </c>
      <c r="EW42" s="249">
        <f t="shared" si="37"/>
        <v>218</v>
      </c>
      <c r="EX42" s="23">
        <f t="shared" si="38"/>
        <v>11.571428571428571</v>
      </c>
      <c r="EY42" s="74">
        <f t="shared" si="39"/>
        <v>10.9</v>
      </c>
      <c r="EZ42" s="63"/>
      <c r="FA42" s="336">
        <f t="shared" si="40"/>
        <v>20</v>
      </c>
      <c r="FB42" s="337">
        <f t="shared" si="41"/>
        <v>1</v>
      </c>
      <c r="FC42" s="333">
        <f t="shared" si="42"/>
        <v>12.301128616753616</v>
      </c>
      <c r="FD42" s="420">
        <f t="shared" si="43"/>
        <v>0.58576802936921979</v>
      </c>
      <c r="FE42" s="433">
        <f t="shared" si="44"/>
        <v>15.206604483479486</v>
      </c>
      <c r="FF42" s="213">
        <f t="shared" si="45"/>
        <v>0.72412402302283263</v>
      </c>
      <c r="FG42" s="15"/>
      <c r="FH42" s="37">
        <f t="shared" si="46"/>
        <v>16</v>
      </c>
    </row>
    <row r="43" spans="2:167" ht="17" thickBot="1" x14ac:dyDescent="0.25">
      <c r="B43" s="258" t="s">
        <v>161</v>
      </c>
      <c r="C43" s="259" t="s">
        <v>162</v>
      </c>
      <c r="D43" s="299">
        <v>515194</v>
      </c>
      <c r="E43" s="300"/>
      <c r="F43" s="285">
        <v>18</v>
      </c>
      <c r="G43" s="306">
        <v>0.16666666666666663</v>
      </c>
      <c r="H43" s="306">
        <v>0.16666666666666663</v>
      </c>
      <c r="I43" s="285">
        <f t="shared" si="0"/>
        <v>18</v>
      </c>
      <c r="J43" s="301"/>
      <c r="K43" s="302">
        <v>14</v>
      </c>
      <c r="L43" s="253">
        <v>0.35416666666666663</v>
      </c>
      <c r="M43" s="253">
        <v>0.3125</v>
      </c>
      <c r="N43" s="285">
        <f t="shared" si="1"/>
        <v>14</v>
      </c>
      <c r="O43" s="303"/>
      <c r="P43" s="302"/>
      <c r="Q43" s="301"/>
      <c r="R43" s="301"/>
      <c r="S43" s="285">
        <f t="shared" si="2"/>
        <v>0</v>
      </c>
      <c r="T43" s="303">
        <v>20</v>
      </c>
      <c r="U43" s="302"/>
      <c r="V43" s="253">
        <v>0.1875</v>
      </c>
      <c r="W43" s="253">
        <v>0.14583333333333337</v>
      </c>
      <c r="X43" s="285">
        <f t="shared" si="3"/>
        <v>20</v>
      </c>
      <c r="Y43" s="303"/>
      <c r="Z43" s="287">
        <v>17</v>
      </c>
      <c r="AA43" s="253">
        <v>0.43548387096774188</v>
      </c>
      <c r="AB43" s="253">
        <v>0.40322580645161288</v>
      </c>
      <c r="AC43" s="285">
        <f t="shared" si="4"/>
        <v>17</v>
      </c>
      <c r="AD43" s="175"/>
      <c r="AE43" s="287"/>
      <c r="AF43" s="531"/>
      <c r="AG43" s="531"/>
      <c r="AH43" s="285">
        <f t="shared" si="5"/>
        <v>0</v>
      </c>
      <c r="AI43" s="260"/>
      <c r="AJ43" s="257"/>
      <c r="AK43" s="301"/>
      <c r="AL43" s="301"/>
      <c r="AM43" s="285">
        <f t="shared" si="6"/>
        <v>0</v>
      </c>
      <c r="AN43" s="260"/>
      <c r="AO43" s="257"/>
      <c r="AP43" s="301"/>
      <c r="AQ43" s="301"/>
      <c r="AR43" s="285">
        <f t="shared" si="7"/>
        <v>0</v>
      </c>
      <c r="AS43" s="260"/>
      <c r="AT43" s="257">
        <v>14</v>
      </c>
      <c r="AU43" s="253">
        <v>0.41304347826086951</v>
      </c>
      <c r="AV43" s="253">
        <v>0.45652173913043481</v>
      </c>
      <c r="AW43" s="285">
        <f t="shared" si="8"/>
        <v>14</v>
      </c>
      <c r="AX43" s="260"/>
      <c r="AY43" s="257">
        <v>15</v>
      </c>
      <c r="AZ43" s="253">
        <v>0.46296296296296291</v>
      </c>
      <c r="BA43" s="253">
        <v>0.35185185185185186</v>
      </c>
      <c r="BB43" s="285">
        <f t="shared" si="9"/>
        <v>15</v>
      </c>
      <c r="BC43" s="260"/>
      <c r="BD43" s="257">
        <v>22</v>
      </c>
      <c r="BE43" s="304">
        <v>0.20370370370370372</v>
      </c>
      <c r="BF43" s="253">
        <v>0.16666666666666663</v>
      </c>
      <c r="BG43" s="285">
        <f t="shared" si="10"/>
        <v>22</v>
      </c>
      <c r="BH43" s="298"/>
      <c r="BI43" s="257">
        <v>12</v>
      </c>
      <c r="BJ43" s="304">
        <v>0.11538461538461542</v>
      </c>
      <c r="BK43" s="253">
        <v>3.8461538461538436E-2</v>
      </c>
      <c r="BL43" s="285">
        <f t="shared" si="11"/>
        <v>12</v>
      </c>
      <c r="BM43" s="305"/>
      <c r="BN43" s="257">
        <v>20</v>
      </c>
      <c r="BO43" s="304">
        <v>0.14583333333333337</v>
      </c>
      <c r="BP43" s="253">
        <v>6.25E-2</v>
      </c>
      <c r="BQ43" s="285">
        <f t="shared" si="12"/>
        <v>20</v>
      </c>
      <c r="BR43" s="298"/>
      <c r="BS43" s="257">
        <v>21</v>
      </c>
      <c r="BT43" s="304">
        <v>9.9999999999999978E-2</v>
      </c>
      <c r="BU43" s="253">
        <v>6.0000000000000053E-2</v>
      </c>
      <c r="BV43" s="285">
        <f t="shared" si="13"/>
        <v>21</v>
      </c>
      <c r="BW43" s="298"/>
      <c r="BX43" s="257">
        <v>21</v>
      </c>
      <c r="BY43" s="304">
        <v>0.31666666666666665</v>
      </c>
      <c r="BZ43" s="253">
        <v>0.31666666666666665</v>
      </c>
      <c r="CA43" s="285">
        <f t="shared" si="14"/>
        <v>21</v>
      </c>
      <c r="CB43" s="298"/>
      <c r="CC43" s="257">
        <v>23</v>
      </c>
      <c r="CD43" s="304">
        <v>0.21666666666666667</v>
      </c>
      <c r="CE43" s="253">
        <v>0.15000000000000002</v>
      </c>
      <c r="CF43" s="285">
        <f t="shared" si="15"/>
        <v>23</v>
      </c>
      <c r="CG43" s="298"/>
      <c r="CH43" s="257">
        <v>27</v>
      </c>
      <c r="CI43" s="304">
        <v>8.333333333333337E-2</v>
      </c>
      <c r="CJ43" s="253">
        <v>8.333333333333337E-2</v>
      </c>
      <c r="CK43" s="285">
        <f t="shared" si="48"/>
        <v>27</v>
      </c>
      <c r="CL43" s="298"/>
      <c r="CM43" s="257">
        <v>25</v>
      </c>
      <c r="CN43" s="304">
        <v>0.234375</v>
      </c>
      <c r="CO43" s="253">
        <v>0.234375</v>
      </c>
      <c r="CP43" s="285">
        <f t="shared" si="17"/>
        <v>25</v>
      </c>
      <c r="CQ43" s="298"/>
      <c r="CR43" s="257">
        <v>19</v>
      </c>
      <c r="CS43" s="287">
        <v>7.4999999999999956E-2</v>
      </c>
      <c r="CT43" s="301">
        <v>2.5000000000000022E-2</v>
      </c>
      <c r="CU43" s="285">
        <f t="shared" si="18"/>
        <v>19</v>
      </c>
      <c r="CV43" s="298"/>
      <c r="CW43" s="81" t="s">
        <v>62</v>
      </c>
      <c r="CX43" s="304">
        <v>0.98484848484848486</v>
      </c>
      <c r="CY43" s="253">
        <v>0.98484848484848486</v>
      </c>
      <c r="CZ43" s="285">
        <f t="shared" si="19"/>
        <v>1</v>
      </c>
      <c r="DA43" s="298"/>
      <c r="DB43" s="257">
        <v>21</v>
      </c>
      <c r="DC43" s="480">
        <v>6.25E-2</v>
      </c>
      <c r="DD43" s="253">
        <v>2.083333333333337E-2</v>
      </c>
      <c r="DE43" s="285">
        <f t="shared" si="20"/>
        <v>21</v>
      </c>
      <c r="DF43" s="298"/>
      <c r="DG43" s="257">
        <v>28</v>
      </c>
      <c r="DH43" s="304">
        <v>0.23611111111111116</v>
      </c>
      <c r="DI43" s="253">
        <v>0.18055555555555558</v>
      </c>
      <c r="DJ43" s="285">
        <f t="shared" si="21"/>
        <v>28</v>
      </c>
      <c r="DK43" s="298"/>
      <c r="DL43" s="257"/>
      <c r="DM43" s="287"/>
      <c r="DN43" s="301"/>
      <c r="DO43" s="285">
        <f t="shared" si="22"/>
        <v>0</v>
      </c>
      <c r="DP43" s="298"/>
      <c r="DQ43" s="257"/>
      <c r="DR43" s="287"/>
      <c r="DS43" s="301"/>
      <c r="DT43" s="285">
        <f t="shared" si="23"/>
        <v>0</v>
      </c>
      <c r="DU43" s="298"/>
      <c r="DV43" s="257">
        <v>17</v>
      </c>
      <c r="DW43" s="461">
        <v>0.5</v>
      </c>
      <c r="DX43" s="463">
        <v>0.28787878787878785</v>
      </c>
      <c r="DY43" s="285">
        <f t="shared" si="24"/>
        <v>17</v>
      </c>
      <c r="DZ43" s="475"/>
      <c r="EA43" s="456">
        <v>25</v>
      </c>
      <c r="EB43" s="461">
        <v>0.43333333333333335</v>
      </c>
      <c r="EC43" s="463">
        <v>0.34444444444444444</v>
      </c>
      <c r="ED43" s="285">
        <f t="shared" si="25"/>
        <v>25</v>
      </c>
      <c r="EE43" s="475"/>
      <c r="EF43" s="456">
        <v>20</v>
      </c>
      <c r="EG43" s="461">
        <v>0.37179487179487181</v>
      </c>
      <c r="EH43" s="463">
        <v>0.24358974358974361</v>
      </c>
      <c r="EI43" s="285">
        <f t="shared" si="26"/>
        <v>20</v>
      </c>
      <c r="EJ43" s="467">
        <f t="shared" si="27"/>
        <v>21</v>
      </c>
      <c r="EK43" s="522">
        <f t="shared" si="28"/>
        <v>14</v>
      </c>
      <c r="EL43" s="267">
        <f t="shared" si="29"/>
        <v>21</v>
      </c>
      <c r="EM43" s="267">
        <f t="shared" si="30"/>
        <v>1</v>
      </c>
      <c r="EN43" s="516">
        <f t="shared" si="31"/>
        <v>1</v>
      </c>
      <c r="EO43" s="273">
        <f t="shared" si="32"/>
        <v>13</v>
      </c>
      <c r="EP43" s="15"/>
      <c r="EQ43" s="61">
        <f t="shared" si="33"/>
        <v>400</v>
      </c>
      <c r="ER43" s="187">
        <f>IF(OR($E43="B",$F43="B"),0,$I43)+IF(OR($J43="B",$K43="B"),0,$N43)+IF(OR($O43="B",$P43="B"),0,$S43)+IF(OR($T43="B",$U43="B"),0,$X43)+IF(OR($Y43="B",$Z43="B"),0,$AC43)+IF(OR($AD43="B",$AE43="B"),0,$AH43)+IF(OR($AI43="B",$AJ43="B"),0,$AM43)+IF(OR($HP22="B",$AO43="B"),0,$AR43)+IF(OR($AS43="B",$AT43="B"),0,$AW43)+IF(OR($AX43="B",$AY43="B"),0,$BB43)+IF(OR($BC43="B",$BD43="B"),0,$BG43)+IF(OR($BH43="B",$BI43="B"),0,$BL43)+IF(OR($BM43="B",$BN43="B"),0,$BQ43)+IF(OR($BR43="B",$BS43="B"),0,$BV43)+IF(OR($BW43="B",$BX43="B"),0,$CA43)+IF(OR($CB43="B",$CC43="B"),0,$CF43)+IF(OR($CG43="B",$CH43="B"),0,$CK43)+IF(OR($CL43="B",$CM43="B"),0,$CP43)+IF(OR($CQ43="B",$CR43="B"),0,$CU43)+IF(OR($CV43="B",$CW43="B"),0,$CZ43)+IF(OR($DA43="B",$DB43="B"),0,$DE43)+IF(OR($DF43="B",$DG43="B"),0,$DJ43)+IF(OR($DK43="B",$DL43="B"),0,$DO43)+IF(OR($DP43="B",$DQ43="B"),0,$DT43)+IF(OR($DU43="B",$DV43="B"),0,$DY43)+IF(OR($DZ43="B",$EA43="B"),0,$ED43)+IF(OR($EE43="B",$EF43="B"),0,$EI43)</f>
        <v>400</v>
      </c>
      <c r="ES43" s="28">
        <f t="shared" si="34"/>
        <v>19.047619047619047</v>
      </c>
      <c r="ET43" s="62">
        <f t="shared" si="35"/>
        <v>19.047619047619047</v>
      </c>
      <c r="EU43" s="63"/>
      <c r="EV43" s="247">
        <f t="shared" si="36"/>
        <v>406</v>
      </c>
      <c r="EW43" s="249">
        <f t="shared" si="37"/>
        <v>406</v>
      </c>
      <c r="EX43" s="23">
        <f t="shared" si="38"/>
        <v>19.333333333333332</v>
      </c>
      <c r="EY43" s="74">
        <f t="shared" si="39"/>
        <v>19.333333333333332</v>
      </c>
      <c r="EZ43" s="63"/>
      <c r="FA43" s="336">
        <f t="shared" si="40"/>
        <v>20</v>
      </c>
      <c r="FB43" s="337">
        <f t="shared" si="41"/>
        <v>1</v>
      </c>
      <c r="FC43" s="333">
        <f t="shared" si="42"/>
        <v>6.0993747657010289</v>
      </c>
      <c r="FD43" s="420">
        <f t="shared" si="43"/>
        <v>0.29044641741433469</v>
      </c>
      <c r="FE43" s="433">
        <f t="shared" si="44"/>
        <v>5.0357529522124542</v>
      </c>
      <c r="FF43" s="213">
        <f t="shared" si="45"/>
        <v>0.2397977596291645</v>
      </c>
      <c r="FG43" s="15"/>
      <c r="FH43" s="37">
        <f t="shared" si="46"/>
        <v>17</v>
      </c>
    </row>
    <row r="44" spans="2:167" ht="17" thickBot="1" x14ac:dyDescent="0.25">
      <c r="B44" s="258" t="s">
        <v>106</v>
      </c>
      <c r="C44" s="259" t="s">
        <v>107</v>
      </c>
      <c r="D44" s="299">
        <v>238050</v>
      </c>
      <c r="E44" s="300"/>
      <c r="F44" s="285"/>
      <c r="G44" s="285"/>
      <c r="H44" s="285"/>
      <c r="I44" s="285">
        <f t="shared" si="0"/>
        <v>0</v>
      </c>
      <c r="J44" s="301"/>
      <c r="K44" s="302"/>
      <c r="L44" s="301"/>
      <c r="M44" s="301"/>
      <c r="N44" s="285">
        <f t="shared" si="1"/>
        <v>0</v>
      </c>
      <c r="O44" s="303">
        <v>8</v>
      </c>
      <c r="P44" s="302"/>
      <c r="Q44" s="253">
        <v>0.6875</v>
      </c>
      <c r="R44" s="253">
        <v>0.5625</v>
      </c>
      <c r="S44" s="285">
        <f t="shared" si="2"/>
        <v>8</v>
      </c>
      <c r="T44" s="303">
        <v>4</v>
      </c>
      <c r="U44" s="302"/>
      <c r="V44" s="253">
        <v>0.85416666666666663</v>
      </c>
      <c r="W44" s="253">
        <v>0.85416666666666663</v>
      </c>
      <c r="X44" s="285">
        <f t="shared" si="3"/>
        <v>4</v>
      </c>
      <c r="Y44" s="303"/>
      <c r="Z44" s="287">
        <v>4</v>
      </c>
      <c r="AA44" s="253">
        <v>0.88709677419354838</v>
      </c>
      <c r="AB44" s="253">
        <v>0.91935483870967738</v>
      </c>
      <c r="AC44" s="285">
        <f t="shared" si="4"/>
        <v>4</v>
      </c>
      <c r="AD44" s="303"/>
      <c r="AE44" s="287"/>
      <c r="AF44" s="253"/>
      <c r="AG44" s="253"/>
      <c r="AH44" s="285">
        <f t="shared" si="5"/>
        <v>0</v>
      </c>
      <c r="AI44" s="260"/>
      <c r="AJ44" s="257"/>
      <c r="AK44" s="301"/>
      <c r="AL44" s="301"/>
      <c r="AM44" s="285">
        <f t="shared" si="6"/>
        <v>0</v>
      </c>
      <c r="AN44" s="178"/>
      <c r="AO44" s="257">
        <v>9</v>
      </c>
      <c r="AP44" s="253">
        <v>0.64583333333333326</v>
      </c>
      <c r="AQ44" s="253">
        <v>0.6875</v>
      </c>
      <c r="AR44" s="285">
        <f t="shared" si="7"/>
        <v>9</v>
      </c>
      <c r="AS44" s="260"/>
      <c r="AT44" s="81" t="s">
        <v>62</v>
      </c>
      <c r="AU44" s="253">
        <v>0.97826086956521741</v>
      </c>
      <c r="AV44" s="253">
        <v>0.97826086956521741</v>
      </c>
      <c r="AW44" s="285">
        <f t="shared" si="8"/>
        <v>1</v>
      </c>
      <c r="AX44" s="260"/>
      <c r="AY44" s="257">
        <v>10</v>
      </c>
      <c r="AZ44" s="253">
        <v>0.64814814814814814</v>
      </c>
      <c r="BA44" s="253">
        <v>0.61111111111111116</v>
      </c>
      <c r="BB44" s="285">
        <f t="shared" si="9"/>
        <v>10</v>
      </c>
      <c r="BC44" s="260"/>
      <c r="BD44" s="257">
        <v>8</v>
      </c>
      <c r="BE44" s="304">
        <v>0.72222222222222221</v>
      </c>
      <c r="BF44" s="253">
        <v>0.72222222222222221</v>
      </c>
      <c r="BG44" s="285">
        <f t="shared" si="10"/>
        <v>8</v>
      </c>
      <c r="BH44" s="298"/>
      <c r="BI44" s="257"/>
      <c r="BJ44" s="287"/>
      <c r="BK44" s="301"/>
      <c r="BL44" s="285">
        <f t="shared" si="11"/>
        <v>0</v>
      </c>
      <c r="BM44" s="305"/>
      <c r="BN44" s="257"/>
      <c r="BO44" s="287"/>
      <c r="BP44" s="301"/>
      <c r="BQ44" s="285">
        <f t="shared" si="12"/>
        <v>0</v>
      </c>
      <c r="BR44" s="298">
        <v>1</v>
      </c>
      <c r="BS44" s="257"/>
      <c r="BT44" s="304">
        <v>0.7</v>
      </c>
      <c r="BU44" s="253">
        <v>0.7</v>
      </c>
      <c r="BV44" s="285">
        <f t="shared" si="13"/>
        <v>1</v>
      </c>
      <c r="BW44" s="298"/>
      <c r="BX44" s="257">
        <v>14</v>
      </c>
      <c r="BY44" s="304">
        <v>0.55000000000000004</v>
      </c>
      <c r="BZ44" s="253">
        <v>0.44999999999999996</v>
      </c>
      <c r="CA44" s="285">
        <f t="shared" si="14"/>
        <v>14</v>
      </c>
      <c r="CB44" s="298"/>
      <c r="CC44" s="257">
        <v>8</v>
      </c>
      <c r="CD44" s="304">
        <v>0.75</v>
      </c>
      <c r="CE44" s="253">
        <v>0.68333333333333335</v>
      </c>
      <c r="CF44" s="285">
        <f t="shared" si="15"/>
        <v>8</v>
      </c>
      <c r="CG44" s="298"/>
      <c r="CH44" s="257">
        <v>6</v>
      </c>
      <c r="CI44" s="304">
        <v>0.81666666666666665</v>
      </c>
      <c r="CJ44" s="253">
        <v>0.91666666666666663</v>
      </c>
      <c r="CK44" s="285">
        <f t="shared" si="48"/>
        <v>6</v>
      </c>
      <c r="CL44" s="298"/>
      <c r="CM44" s="257">
        <v>11</v>
      </c>
      <c r="CN44" s="304">
        <v>0.671875</v>
      </c>
      <c r="CO44" s="454">
        <v>0.703125</v>
      </c>
      <c r="CP44" s="285">
        <f t="shared" si="17"/>
        <v>11</v>
      </c>
      <c r="CQ44" s="298"/>
      <c r="CR44" s="257">
        <v>6</v>
      </c>
      <c r="CS44" s="287">
        <v>0.72499999999999998</v>
      </c>
      <c r="CT44" s="301">
        <v>0.72499999999999998</v>
      </c>
      <c r="CU44" s="285">
        <f t="shared" si="18"/>
        <v>6</v>
      </c>
      <c r="CV44" s="298"/>
      <c r="CW44" s="257">
        <v>6</v>
      </c>
      <c r="CX44" s="304">
        <v>0.83333333333333337</v>
      </c>
      <c r="CY44" s="253">
        <v>0.80303030303030298</v>
      </c>
      <c r="CZ44" s="285">
        <f t="shared" si="19"/>
        <v>6</v>
      </c>
      <c r="DA44" s="298"/>
      <c r="DB44" s="257">
        <v>5</v>
      </c>
      <c r="DC44" s="304">
        <v>0.8125</v>
      </c>
      <c r="DD44" s="253">
        <v>0.85416666666666663</v>
      </c>
      <c r="DE44" s="285">
        <f t="shared" si="20"/>
        <v>5</v>
      </c>
      <c r="DF44" s="298"/>
      <c r="DG44" s="257">
        <v>19</v>
      </c>
      <c r="DH44" s="304">
        <v>0.48611111111111116</v>
      </c>
      <c r="DI44" s="253">
        <v>0.375</v>
      </c>
      <c r="DJ44" s="285">
        <f t="shared" si="21"/>
        <v>19</v>
      </c>
      <c r="DK44" s="298"/>
      <c r="DL44" s="257">
        <v>8</v>
      </c>
      <c r="DM44" s="304">
        <v>0.73214285714285721</v>
      </c>
      <c r="DN44" s="253">
        <v>0.76785714285714279</v>
      </c>
      <c r="DO44" s="285">
        <f t="shared" si="22"/>
        <v>8</v>
      </c>
      <c r="DP44" s="298"/>
      <c r="DQ44" s="257">
        <v>7</v>
      </c>
      <c r="DR44" s="304">
        <v>0.77586206896551724</v>
      </c>
      <c r="DS44" s="253">
        <v>0.7068965517241379</v>
      </c>
      <c r="DT44" s="285">
        <f t="shared" si="23"/>
        <v>7</v>
      </c>
      <c r="DU44" s="298"/>
      <c r="DV44" s="257">
        <v>6</v>
      </c>
      <c r="DW44" s="461">
        <v>0.83333333333333337</v>
      </c>
      <c r="DX44" s="463">
        <v>0.86363636363636365</v>
      </c>
      <c r="DY44" s="285">
        <f t="shared" si="24"/>
        <v>6</v>
      </c>
      <c r="DZ44" s="475"/>
      <c r="EA44" s="456">
        <v>4</v>
      </c>
      <c r="EB44" s="461">
        <v>0.92222222222222228</v>
      </c>
      <c r="EC44" s="463">
        <v>0.85555555555555562</v>
      </c>
      <c r="ED44" s="285">
        <f t="shared" si="25"/>
        <v>4</v>
      </c>
      <c r="EE44" s="475"/>
      <c r="EF44" s="456"/>
      <c r="EG44" s="461"/>
      <c r="EH44" s="463"/>
      <c r="EI44" s="285">
        <f t="shared" si="26"/>
        <v>0</v>
      </c>
      <c r="EJ44" s="467">
        <f t="shared" si="27"/>
        <v>20</v>
      </c>
      <c r="EK44" s="522">
        <f t="shared" si="28"/>
        <v>13</v>
      </c>
      <c r="EL44" s="267">
        <f t="shared" si="29"/>
        <v>20</v>
      </c>
      <c r="EM44" s="267">
        <f t="shared" si="30"/>
        <v>1</v>
      </c>
      <c r="EN44" s="516">
        <f t="shared" si="31"/>
        <v>0</v>
      </c>
      <c r="EO44" s="273">
        <f t="shared" si="32"/>
        <v>13</v>
      </c>
      <c r="EP44" s="15"/>
      <c r="EQ44" s="61">
        <f t="shared" si="33"/>
        <v>145</v>
      </c>
      <c r="ER44" s="187">
        <f>IF(OR($E44="B",$F44="B"),0,$I44)+IF(OR($J44="B",$K44="B"),0,$N44)+IF(OR($O44="B",$P44="B"),0,$S44)+IF(OR($T44="B",$U44="B"),0,$X44)+IF(OR($Y44="B",$Z44="B"),0,$AC44)+IF(OR($AD44="B",$AE44="B"),0,$AH44)+IF(OR($AI44="B",$AJ44="B"),0,$AM44)+IF(OR($HP21="B",$AO44="B"),0,$AR44)+IF(OR($AS44="B",$AT44="B"),0,$AW44)+IF(OR($AX44="B",$AY44="B"),0,$BB44)+IF(OR($BC44="B",$BD44="B"),0,$BG44)+IF(OR($BH44="B",$BI44="B"),0,$BL44)+IF(OR($BM44="B",$BN44="B"),0,$BQ44)+IF(OR($BR44="B",$BS44="B"),0,$BV44)+IF(OR($BW44="B",$BX44="B"),0,$CA44)+IF(OR($CB44="B",$CC44="B"),0,$CF44)+IF(OR($CG44="B",$CH44="B"),0,$CK44)+IF(OR($CL44="B",$CM44="B"),0,$CP44)+IF(OR($CQ44="B",$CR44="B"),0,$CU44)+IF(OR($CV44="B",$CW44="B"),0,$CZ44)+IF(OR($DA44="B",$DB44="B"),0,$DE44)+IF(OR($DF44="B",$DG44="B"),0,$DJ44)+IF(OR($DK44="B",$DL44="B"),0,$DO44)+IF(OR($DP44="B",$DQ44="B"),0,$DT44)+IF(OR($DU44="B",$DV44="B"),0,$DY44)+IF(OR($DZ44="B",$EA44="B"),0,$ED44)+IF(OR($EE44="B",$EF44="B"),0,$EI44)</f>
        <v>145</v>
      </c>
      <c r="ES44" s="28">
        <f t="shared" si="34"/>
        <v>7.25</v>
      </c>
      <c r="ET44" s="62">
        <f t="shared" si="35"/>
        <v>7.25</v>
      </c>
      <c r="EU44" s="63"/>
      <c r="EV44" s="247">
        <f t="shared" si="36"/>
        <v>152</v>
      </c>
      <c r="EW44" s="249">
        <f t="shared" si="37"/>
        <v>152</v>
      </c>
      <c r="EX44" s="23">
        <f t="shared" si="38"/>
        <v>7.6</v>
      </c>
      <c r="EY44" s="74">
        <f t="shared" si="39"/>
        <v>7.6</v>
      </c>
      <c r="EZ44" s="63"/>
      <c r="FA44" s="336">
        <f t="shared" si="40"/>
        <v>19</v>
      </c>
      <c r="FB44" s="337">
        <f t="shared" si="41"/>
        <v>1</v>
      </c>
      <c r="FC44" s="333">
        <f t="shared" si="42"/>
        <v>15.032274606904179</v>
      </c>
      <c r="FD44" s="420">
        <f t="shared" si="43"/>
        <v>0.75161373034520895</v>
      </c>
      <c r="FE44" s="433">
        <f t="shared" si="44"/>
        <v>14.739383291745066</v>
      </c>
      <c r="FF44" s="213">
        <f t="shared" si="45"/>
        <v>0.73696916458725326</v>
      </c>
      <c r="FG44" s="15"/>
      <c r="FH44" s="37">
        <f t="shared" si="46"/>
        <v>18</v>
      </c>
    </row>
    <row r="45" spans="2:167" ht="17" thickBot="1" x14ac:dyDescent="0.25">
      <c r="B45" s="258" t="s">
        <v>168</v>
      </c>
      <c r="C45" s="259" t="s">
        <v>169</v>
      </c>
      <c r="D45" s="299">
        <v>512502</v>
      </c>
      <c r="E45" s="300"/>
      <c r="F45" s="285"/>
      <c r="G45" s="285"/>
      <c r="H45" s="285"/>
      <c r="I45" s="285">
        <f t="shared" si="0"/>
        <v>0</v>
      </c>
      <c r="J45" s="301"/>
      <c r="K45" s="302">
        <v>13</v>
      </c>
      <c r="L45" s="253">
        <v>0.47916666666666663</v>
      </c>
      <c r="M45" s="253">
        <v>0.27083333333333337</v>
      </c>
      <c r="N45" s="285">
        <f t="shared" si="1"/>
        <v>13</v>
      </c>
      <c r="O45" s="303">
        <v>17</v>
      </c>
      <c r="P45" s="302"/>
      <c r="Q45" s="253">
        <v>0.3125</v>
      </c>
      <c r="R45" s="253">
        <v>0.22916666666666663</v>
      </c>
      <c r="S45" s="285">
        <f t="shared" si="2"/>
        <v>17</v>
      </c>
      <c r="T45" s="303"/>
      <c r="U45" s="302"/>
      <c r="V45" s="301"/>
      <c r="W45" s="301"/>
      <c r="X45" s="285">
        <f t="shared" si="3"/>
        <v>0</v>
      </c>
      <c r="Y45" s="303"/>
      <c r="Z45" s="287">
        <v>9</v>
      </c>
      <c r="AA45" s="253">
        <v>0.72580645161290325</v>
      </c>
      <c r="AB45" s="253">
        <v>0.62903225806451613</v>
      </c>
      <c r="AC45" s="285">
        <f t="shared" si="4"/>
        <v>9</v>
      </c>
      <c r="AD45" s="303"/>
      <c r="AE45" s="287"/>
      <c r="AF45" s="253"/>
      <c r="AG45" s="253"/>
      <c r="AH45" s="285">
        <f t="shared" si="5"/>
        <v>0</v>
      </c>
      <c r="AI45" s="260"/>
      <c r="AJ45" s="257">
        <v>14</v>
      </c>
      <c r="AK45" s="253">
        <v>0.3571428571428571</v>
      </c>
      <c r="AL45" s="253">
        <v>0.30952380952380953</v>
      </c>
      <c r="AM45" s="285">
        <f t="shared" si="6"/>
        <v>14</v>
      </c>
      <c r="AN45" s="260"/>
      <c r="AO45" s="81" t="s">
        <v>7</v>
      </c>
      <c r="AP45" s="253">
        <v>0.85416666666666663</v>
      </c>
      <c r="AQ45" s="253">
        <v>0.85416666666666663</v>
      </c>
      <c r="AR45" s="285">
        <f t="shared" si="7"/>
        <v>4</v>
      </c>
      <c r="AS45" s="260"/>
      <c r="AT45" s="257">
        <v>15</v>
      </c>
      <c r="AU45" s="253">
        <v>0.36956521739130432</v>
      </c>
      <c r="AV45" s="253">
        <v>0.28260869565217395</v>
      </c>
      <c r="AW45" s="285">
        <f t="shared" si="8"/>
        <v>15</v>
      </c>
      <c r="AX45" s="260"/>
      <c r="AY45" s="257">
        <v>17</v>
      </c>
      <c r="AZ45" s="253">
        <v>0.38888888888888884</v>
      </c>
      <c r="BA45" s="253">
        <v>0.42592592592592593</v>
      </c>
      <c r="BB45" s="285">
        <f t="shared" si="9"/>
        <v>17</v>
      </c>
      <c r="BC45" s="260"/>
      <c r="BD45" s="257">
        <v>11</v>
      </c>
      <c r="BE45" s="304">
        <v>0.61111111111111116</v>
      </c>
      <c r="BF45" s="253">
        <v>0.46296296296296291</v>
      </c>
      <c r="BG45" s="285">
        <f t="shared" si="10"/>
        <v>11</v>
      </c>
      <c r="BH45" s="298"/>
      <c r="BI45" s="257"/>
      <c r="BJ45" s="287"/>
      <c r="BK45" s="301"/>
      <c r="BL45" s="285">
        <f t="shared" si="11"/>
        <v>0</v>
      </c>
      <c r="BM45" s="305"/>
      <c r="BN45" s="257">
        <v>14</v>
      </c>
      <c r="BO45" s="304">
        <v>0.4375</v>
      </c>
      <c r="BP45" s="253">
        <v>0.4375</v>
      </c>
      <c r="BQ45" s="285">
        <f t="shared" si="12"/>
        <v>14</v>
      </c>
      <c r="BR45" s="298"/>
      <c r="BS45" s="257">
        <v>10</v>
      </c>
      <c r="BT45" s="304">
        <v>0.58000000000000007</v>
      </c>
      <c r="BU45" s="253">
        <v>0.30000000000000004</v>
      </c>
      <c r="BV45" s="285">
        <f t="shared" si="13"/>
        <v>10</v>
      </c>
      <c r="BW45" s="298"/>
      <c r="BX45" s="257">
        <v>18</v>
      </c>
      <c r="BY45" s="304">
        <v>0.41666666666666663</v>
      </c>
      <c r="BZ45" s="253">
        <v>0.28333333333333333</v>
      </c>
      <c r="CA45" s="285">
        <f t="shared" si="14"/>
        <v>18</v>
      </c>
      <c r="CB45" s="298"/>
      <c r="CC45" s="257">
        <v>15</v>
      </c>
      <c r="CD45" s="304">
        <v>0.48333333333333328</v>
      </c>
      <c r="CE45" s="253">
        <v>0.41666666666666663</v>
      </c>
      <c r="CF45" s="285">
        <f t="shared" si="15"/>
        <v>15</v>
      </c>
      <c r="CG45" s="298"/>
      <c r="CH45" s="257">
        <v>11</v>
      </c>
      <c r="CI45" s="304">
        <v>0.65</v>
      </c>
      <c r="CJ45" s="253">
        <v>0.48333333333333328</v>
      </c>
      <c r="CK45" s="285">
        <f t="shared" si="48"/>
        <v>11</v>
      </c>
      <c r="CL45" s="182"/>
      <c r="CM45" s="452">
        <v>20</v>
      </c>
      <c r="CN45" s="453">
        <v>0.390625</v>
      </c>
      <c r="CO45" s="454">
        <v>0.265625</v>
      </c>
      <c r="CP45" s="285">
        <f t="shared" si="17"/>
        <v>20</v>
      </c>
      <c r="CQ45" s="298"/>
      <c r="CR45" s="257"/>
      <c r="CS45" s="287"/>
      <c r="CT45" s="301"/>
      <c r="CU45" s="285">
        <f t="shared" si="18"/>
        <v>0</v>
      </c>
      <c r="CV45" s="298"/>
      <c r="CW45" s="257">
        <v>12</v>
      </c>
      <c r="CX45" s="304">
        <v>0.65151515151515149</v>
      </c>
      <c r="CY45" s="253">
        <v>0.65151515151515149</v>
      </c>
      <c r="CZ45" s="285">
        <f t="shared" si="19"/>
        <v>12</v>
      </c>
      <c r="DA45" s="298"/>
      <c r="DB45" s="257">
        <v>10</v>
      </c>
      <c r="DC45" s="304">
        <v>0.60416666666666674</v>
      </c>
      <c r="DD45" s="253">
        <v>0.47916666666666663</v>
      </c>
      <c r="DE45" s="285">
        <f t="shared" si="20"/>
        <v>10</v>
      </c>
      <c r="DF45" s="298"/>
      <c r="DG45" s="257">
        <v>4</v>
      </c>
      <c r="DH45" s="304">
        <v>0.90277777777777779</v>
      </c>
      <c r="DI45" s="253">
        <v>0.70833333333333326</v>
      </c>
      <c r="DJ45" s="285">
        <f t="shared" si="21"/>
        <v>4</v>
      </c>
      <c r="DK45" s="298"/>
      <c r="DL45" s="257">
        <v>16</v>
      </c>
      <c r="DM45" s="304">
        <v>0.4464285714285714</v>
      </c>
      <c r="DN45" s="253">
        <v>0.4464285714285714</v>
      </c>
      <c r="DO45" s="285">
        <f t="shared" si="22"/>
        <v>16</v>
      </c>
      <c r="DP45" s="298"/>
      <c r="DQ45" s="257"/>
      <c r="DR45" s="287"/>
      <c r="DS45" s="301"/>
      <c r="DT45" s="285">
        <f t="shared" si="23"/>
        <v>0</v>
      </c>
      <c r="DU45" s="298"/>
      <c r="DV45" s="257"/>
      <c r="DW45" s="287"/>
      <c r="DX45" s="301"/>
      <c r="DY45" s="285">
        <f t="shared" si="24"/>
        <v>0</v>
      </c>
      <c r="DZ45" s="182"/>
      <c r="EA45" s="456">
        <v>22</v>
      </c>
      <c r="EB45" s="461">
        <v>0.5</v>
      </c>
      <c r="EC45" s="463">
        <v>0.32222222222222219</v>
      </c>
      <c r="ED45" s="285">
        <f t="shared" si="25"/>
        <v>22</v>
      </c>
      <c r="EE45" s="182"/>
      <c r="EF45" s="456">
        <v>6</v>
      </c>
      <c r="EG45" s="461">
        <v>0.85897435897435903</v>
      </c>
      <c r="EH45" s="463">
        <v>0.67948717948717952</v>
      </c>
      <c r="EI45" s="285">
        <f t="shared" si="26"/>
        <v>6</v>
      </c>
      <c r="EJ45" s="467">
        <f t="shared" si="27"/>
        <v>20</v>
      </c>
      <c r="EK45" s="522">
        <f t="shared" si="28"/>
        <v>12</v>
      </c>
      <c r="EL45" s="267">
        <f t="shared" si="29"/>
        <v>20</v>
      </c>
      <c r="EM45" s="267">
        <f t="shared" si="30"/>
        <v>1</v>
      </c>
      <c r="EN45" s="516">
        <f t="shared" si="31"/>
        <v>0</v>
      </c>
      <c r="EO45" s="273">
        <f t="shared" si="32"/>
        <v>12</v>
      </c>
      <c r="EP45" s="15"/>
      <c r="EQ45" s="61">
        <f t="shared" si="33"/>
        <v>258</v>
      </c>
      <c r="ER45" s="187">
        <f>IF(OR($E45="B",$F45="B"),0,$I45)+IF(OR($J45="B",$K45="B"),0,$N45)+IF(OR($O45="B",$P45="B"),0,$S45)+IF(OR($T45="B",$U45="B"),0,$X45)+IF(OR($Y45="B",$Z45="B"),0,$AC45)+IF(OR($AD45="B",$AE45="B"),0,$AH45)+IF(OR($AI45="B",$AJ45="B"),0,$AM45)+IF(OR($HP24="B",$AO45="B"),0,$AR45)+IF(OR($AS45="B",$AT45="B"),0,$AW45)+IF(OR($AX45="B",$AY45="B"),0,$BB45)+IF(OR($BC45="B",$BD45="B"),0,$BG45)+IF(OR($BH45="B",$BI45="B"),0,$BL45)+IF(OR($BM45="B",$BN45="B"),0,$BQ45)+IF(OR($BR45="B",$BS45="B"),0,$BV45)+IF(OR($BW45="B",$BX45="B"),0,$CA45)+IF(OR($CB45="B",$CC45="B"),0,$CF45)+IF(OR($CG45="B",$CH45="B"),0,$CK45)+IF(OR($CL45="B",$CM45="B"),0,$CP45)+IF(OR($CQ45="B",$CR45="B"),0,$CU45)+IF(OR($CV45="B",$CW45="B"),0,$CZ45)+IF(OR($DA45="B",$DB45="B"),0,$DE45)+IF(OR($DF45="B",$DG45="B"),0,$DJ45)+IF(OR($DK45="B",$DL45="B"),0,$DO45)+IF(OR($DP45="B",$DQ45="B"),0,$DT45)+IF(OR($DU45="B",$DV45="B"),0,$DY45)+IF(OR($DZ45="B",$EA45="B"),0,$ED45)+IF(OR($EE45="B",$EF45="B"),0,$EI45)</f>
        <v>258</v>
      </c>
      <c r="ES45" s="28">
        <f t="shared" si="34"/>
        <v>12.9</v>
      </c>
      <c r="ET45" s="62">
        <f t="shared" si="35"/>
        <v>12.9</v>
      </c>
      <c r="EU45" s="63"/>
      <c r="EV45" s="247">
        <f t="shared" si="36"/>
        <v>265</v>
      </c>
      <c r="EW45" s="249">
        <f t="shared" si="37"/>
        <v>265</v>
      </c>
      <c r="EX45" s="23">
        <f t="shared" si="38"/>
        <v>13.25</v>
      </c>
      <c r="EY45" s="74">
        <f t="shared" si="39"/>
        <v>13.25</v>
      </c>
      <c r="EZ45" s="63"/>
      <c r="FA45" s="336">
        <f t="shared" si="40"/>
        <v>19</v>
      </c>
      <c r="FB45" s="337">
        <f t="shared" si="41"/>
        <v>1</v>
      </c>
      <c r="FC45" s="333">
        <f t="shared" si="42"/>
        <v>11.020335385842927</v>
      </c>
      <c r="FD45" s="420">
        <f t="shared" si="43"/>
        <v>0.55101676929214638</v>
      </c>
      <c r="FE45" s="433">
        <f t="shared" si="44"/>
        <v>8.9378317767825131</v>
      </c>
      <c r="FF45" s="213">
        <f t="shared" si="45"/>
        <v>0.44689158883912566</v>
      </c>
      <c r="FG45" s="15"/>
      <c r="FH45" s="37">
        <f t="shared" si="46"/>
        <v>19</v>
      </c>
    </row>
    <row r="46" spans="2:167" ht="15.75" thickBot="1" x14ac:dyDescent="0.25">
      <c r="B46" s="258" t="s">
        <v>163</v>
      </c>
      <c r="C46" s="259" t="s">
        <v>164</v>
      </c>
      <c r="D46" s="299">
        <v>518325</v>
      </c>
      <c r="E46" s="300"/>
      <c r="F46" s="285">
        <v>6</v>
      </c>
      <c r="G46" s="306">
        <v>0.73809523809523814</v>
      </c>
      <c r="H46" s="306">
        <v>0.59523809523809523</v>
      </c>
      <c r="I46" s="285">
        <f t="shared" si="0"/>
        <v>6</v>
      </c>
      <c r="J46" s="301"/>
      <c r="K46" s="302"/>
      <c r="L46" s="301"/>
      <c r="M46" s="301"/>
      <c r="N46" s="285">
        <f t="shared" si="1"/>
        <v>0</v>
      </c>
      <c r="O46" s="303"/>
      <c r="P46" s="302"/>
      <c r="Q46" s="301"/>
      <c r="R46" s="301"/>
      <c r="S46" s="285">
        <f t="shared" si="2"/>
        <v>0</v>
      </c>
      <c r="T46" s="303"/>
      <c r="U46" s="302"/>
      <c r="V46" s="301"/>
      <c r="W46" s="301"/>
      <c r="X46" s="285">
        <f t="shared" si="3"/>
        <v>0</v>
      </c>
      <c r="Y46" s="303"/>
      <c r="Z46" s="287">
        <v>5</v>
      </c>
      <c r="AA46" s="253">
        <v>0.85483870967741937</v>
      </c>
      <c r="AB46" s="253">
        <v>0.72580645161290325</v>
      </c>
      <c r="AC46" s="285">
        <f t="shared" si="4"/>
        <v>5</v>
      </c>
      <c r="AD46" s="303"/>
      <c r="AE46" s="287" t="s">
        <v>7</v>
      </c>
      <c r="AF46" s="253">
        <v>0.83333333333333337</v>
      </c>
      <c r="AG46" s="253">
        <v>0.83333333333333337</v>
      </c>
      <c r="AH46" s="285">
        <f t="shared" si="5"/>
        <v>4</v>
      </c>
      <c r="AI46" s="260"/>
      <c r="AJ46" s="257"/>
      <c r="AK46" s="301"/>
      <c r="AL46" s="301"/>
      <c r="AM46" s="285">
        <f t="shared" si="6"/>
        <v>0</v>
      </c>
      <c r="AN46" s="260"/>
      <c r="AO46" s="257">
        <v>10</v>
      </c>
      <c r="AP46" s="253">
        <v>0.60416666666666674</v>
      </c>
      <c r="AQ46" s="253">
        <v>0.4375</v>
      </c>
      <c r="AR46" s="285">
        <f t="shared" si="7"/>
        <v>10</v>
      </c>
      <c r="AS46" s="260"/>
      <c r="AT46" s="257">
        <v>7</v>
      </c>
      <c r="AU46" s="253">
        <v>0.71739130434782616</v>
      </c>
      <c r="AV46" s="253">
        <v>0.58695652173913038</v>
      </c>
      <c r="AW46" s="285">
        <f t="shared" si="8"/>
        <v>7</v>
      </c>
      <c r="AX46" s="260"/>
      <c r="AY46" s="257">
        <v>9</v>
      </c>
      <c r="AZ46" s="253">
        <v>0.68518518518518512</v>
      </c>
      <c r="BA46" s="253">
        <v>0.46296296296296291</v>
      </c>
      <c r="BB46" s="285">
        <f t="shared" si="9"/>
        <v>9</v>
      </c>
      <c r="BC46" s="260"/>
      <c r="BD46" s="257">
        <v>15</v>
      </c>
      <c r="BE46" s="304">
        <v>0.46296296296296291</v>
      </c>
      <c r="BF46" s="253">
        <v>0.27777777777777779</v>
      </c>
      <c r="BG46" s="285">
        <f t="shared" si="10"/>
        <v>15</v>
      </c>
      <c r="BH46" s="298"/>
      <c r="BI46" s="257"/>
      <c r="BJ46" s="287"/>
      <c r="BK46" s="301"/>
      <c r="BL46" s="285">
        <f t="shared" si="11"/>
        <v>0</v>
      </c>
      <c r="BM46" s="305"/>
      <c r="BN46" s="257">
        <v>7</v>
      </c>
      <c r="BO46" s="304">
        <v>0.72916666666666674</v>
      </c>
      <c r="BP46" s="253">
        <v>0.47916666666666663</v>
      </c>
      <c r="BQ46" s="285">
        <f t="shared" si="12"/>
        <v>7</v>
      </c>
      <c r="BR46" s="298"/>
      <c r="BS46" s="257">
        <v>6</v>
      </c>
      <c r="BT46" s="304">
        <v>0.78</v>
      </c>
      <c r="BU46" s="253">
        <v>0.54</v>
      </c>
      <c r="BV46" s="285">
        <f t="shared" si="13"/>
        <v>6</v>
      </c>
      <c r="BW46" s="298"/>
      <c r="BX46" s="257">
        <v>7</v>
      </c>
      <c r="BY46" s="304">
        <v>0.78333333333333333</v>
      </c>
      <c r="BZ46" s="253">
        <v>0.55000000000000004</v>
      </c>
      <c r="CA46" s="285">
        <f t="shared" si="14"/>
        <v>7</v>
      </c>
      <c r="CB46" s="298"/>
      <c r="CC46" s="257">
        <v>10</v>
      </c>
      <c r="CD46" s="304">
        <v>0.65</v>
      </c>
      <c r="CE46" s="253">
        <v>0.58333333333333326</v>
      </c>
      <c r="CF46" s="285">
        <f t="shared" si="15"/>
        <v>10</v>
      </c>
      <c r="CG46" s="298"/>
      <c r="CH46" s="257">
        <v>9</v>
      </c>
      <c r="CI46" s="304">
        <v>0.71666666666666667</v>
      </c>
      <c r="CJ46" s="253">
        <v>0.55000000000000004</v>
      </c>
      <c r="CK46" s="285">
        <f t="shared" si="48"/>
        <v>9</v>
      </c>
      <c r="CL46" s="298"/>
      <c r="CM46" s="257">
        <v>8</v>
      </c>
      <c r="CN46" s="304">
        <v>0.765625</v>
      </c>
      <c r="CO46" s="454">
        <v>0.515625</v>
      </c>
      <c r="CP46" s="285">
        <f t="shared" si="17"/>
        <v>8</v>
      </c>
      <c r="CQ46" s="298"/>
      <c r="CR46" s="257"/>
      <c r="CS46" s="287"/>
      <c r="CT46" s="301"/>
      <c r="CU46" s="285">
        <f t="shared" si="18"/>
        <v>0</v>
      </c>
      <c r="CV46" s="298"/>
      <c r="CW46" s="257">
        <v>11</v>
      </c>
      <c r="CX46" s="304">
        <v>0.68181818181818188</v>
      </c>
      <c r="CY46" s="253">
        <v>0.46969696969696972</v>
      </c>
      <c r="CZ46" s="285">
        <f t="shared" si="19"/>
        <v>11</v>
      </c>
      <c r="DA46" s="298"/>
      <c r="DB46" s="257"/>
      <c r="DC46" s="287"/>
      <c r="DD46" s="301"/>
      <c r="DE46" s="285">
        <f t="shared" si="20"/>
        <v>0</v>
      </c>
      <c r="DF46" s="298"/>
      <c r="DG46" s="257">
        <v>7</v>
      </c>
      <c r="DH46" s="304">
        <v>0.81944444444444442</v>
      </c>
      <c r="DI46" s="253">
        <v>0.51388888888888884</v>
      </c>
      <c r="DJ46" s="285">
        <f t="shared" si="21"/>
        <v>7</v>
      </c>
      <c r="DK46" s="298"/>
      <c r="DL46" s="257">
        <v>11</v>
      </c>
      <c r="DM46" s="304">
        <v>0.625</v>
      </c>
      <c r="DN46" s="253">
        <v>0.625</v>
      </c>
      <c r="DO46" s="285">
        <f t="shared" si="22"/>
        <v>11</v>
      </c>
      <c r="DP46" s="298"/>
      <c r="DQ46" s="257">
        <v>14</v>
      </c>
      <c r="DR46" s="304">
        <v>0.53448275862068972</v>
      </c>
      <c r="DS46" s="253">
        <v>0.36206896551724133</v>
      </c>
      <c r="DT46" s="285">
        <f t="shared" si="23"/>
        <v>14</v>
      </c>
      <c r="DU46" s="298"/>
      <c r="DV46" s="257">
        <v>13</v>
      </c>
      <c r="DW46" s="461">
        <v>0.62121212121212122</v>
      </c>
      <c r="DX46" s="463">
        <v>0.37878787878787878</v>
      </c>
      <c r="DY46" s="285">
        <f t="shared" si="24"/>
        <v>13</v>
      </c>
      <c r="DZ46" s="475"/>
      <c r="EA46" s="456">
        <v>18</v>
      </c>
      <c r="EB46" s="461">
        <v>0.58888888888888891</v>
      </c>
      <c r="EC46" s="463">
        <v>0.3666666666666667</v>
      </c>
      <c r="ED46" s="285">
        <f t="shared" si="25"/>
        <v>18</v>
      </c>
      <c r="EE46" s="475"/>
      <c r="EF46" s="456"/>
      <c r="EG46" s="461"/>
      <c r="EH46" s="463"/>
      <c r="EI46" s="285">
        <f t="shared" si="26"/>
        <v>0</v>
      </c>
      <c r="EJ46" s="467">
        <f t="shared" si="27"/>
        <v>19</v>
      </c>
      <c r="EK46" s="522">
        <f t="shared" si="28"/>
        <v>12</v>
      </c>
      <c r="EL46" s="267">
        <f t="shared" si="29"/>
        <v>19</v>
      </c>
      <c r="EM46" s="267">
        <f t="shared" si="30"/>
        <v>1</v>
      </c>
      <c r="EN46" s="516">
        <f t="shared" si="31"/>
        <v>0</v>
      </c>
      <c r="EO46" s="273">
        <f t="shared" si="32"/>
        <v>12</v>
      </c>
      <c r="EP46" s="15"/>
      <c r="EQ46" s="61">
        <f t="shared" si="33"/>
        <v>177</v>
      </c>
      <c r="ER46" s="187">
        <f>IF(OR($E46="B",$F46="B"),0,$I46)+IF(OR($J46="B",$K46="B"),0,$N46)+IF(OR($O46="B",$P46="B"),0,$S46)+IF(OR($T46="B",$U46="B"),0,$X46)+IF(OR($Y46="B",$Z46="B"),0,$AC46)+IF(OR($AD46="B",$AE46="B"),0,$AH46)+IF(OR($AI46="B",$AJ46="B"),0,$AM46)+IF(OR($HP25="B",$AO46="B"),0,$AR46)+IF(OR($AS46="B",$AT46="B"),0,$AW46)+IF(OR($AX46="B",$AY46="B"),0,$BB46)+IF(OR($BC46="B",$BD46="B"),0,$BG46)+IF(OR($BH46="B",$BI46="B"),0,$BL46)+IF(OR($BM46="B",$BN46="B"),0,$BQ46)+IF(OR($BR46="B",$BS46="B"),0,$BV46)+IF(OR($BW46="B",$BX46="B"),0,$CA46)+IF(OR($CB46="B",$CC46="B"),0,$CF46)+IF(OR($CG46="B",$CH46="B"),0,$CK46)+IF(OR($CL46="B",$CM46="B"),0,$CP46)+IF(OR($CQ46="B",$CR46="B"),0,$CU46)+IF(OR($CV46="B",$CW46="B"),0,$CZ46)+IF(OR($DA46="B",$DB46="B"),0,$DE46)+IF(OR($DF46="B",$DG46="B"),0,$DJ46)+IF(OR($DK46="B",$DL46="B"),0,$DO46)+IF(OR($DP46="B",$DQ46="B"),0,$DT46)+IF(OR($DU46="B",$DV46="B"),0,$DY46)+IF(OR($DZ46="B",$EA46="B"),0,$ED46)+IF(OR($EE46="B",$EF46="B"),0,$EI46)</f>
        <v>177</v>
      </c>
      <c r="ES46" s="28">
        <f t="shared" si="34"/>
        <v>9.3157894736842106</v>
      </c>
      <c r="ET46" s="62">
        <f t="shared" si="35"/>
        <v>9.3157894736842106</v>
      </c>
      <c r="EU46" s="63"/>
      <c r="EV46" s="247">
        <f t="shared" si="36"/>
        <v>185</v>
      </c>
      <c r="EW46" s="249">
        <f t="shared" si="37"/>
        <v>185</v>
      </c>
      <c r="EX46" s="23">
        <f t="shared" si="38"/>
        <v>9.7368421052631575</v>
      </c>
      <c r="EY46" s="74">
        <f t="shared" si="39"/>
        <v>9.7368421052631575</v>
      </c>
      <c r="EZ46" s="63"/>
      <c r="FA46" s="336">
        <f t="shared" si="40"/>
        <v>18</v>
      </c>
      <c r="FB46" s="337">
        <f t="shared" si="41"/>
        <v>1</v>
      </c>
      <c r="FC46" s="333">
        <f t="shared" si="42"/>
        <v>13.191611461919626</v>
      </c>
      <c r="FD46" s="420">
        <f t="shared" si="43"/>
        <v>0.694295340101033</v>
      </c>
      <c r="FE46" s="433">
        <f t="shared" si="44"/>
        <v>9.853809512221849</v>
      </c>
      <c r="FF46" s="213">
        <f t="shared" si="45"/>
        <v>0.51862155327483417</v>
      </c>
      <c r="FG46" s="15"/>
      <c r="FH46" s="37">
        <f t="shared" si="46"/>
        <v>20</v>
      </c>
    </row>
    <row r="47" spans="2:167" ht="15.75" thickBot="1" x14ac:dyDescent="0.25">
      <c r="B47" s="258" t="s">
        <v>86</v>
      </c>
      <c r="C47" s="259" t="s">
        <v>87</v>
      </c>
      <c r="D47" s="299">
        <v>226020</v>
      </c>
      <c r="E47" s="300"/>
      <c r="F47" s="285"/>
      <c r="G47" s="285"/>
      <c r="H47" s="285"/>
      <c r="I47" s="285">
        <f t="shared" si="0"/>
        <v>0</v>
      </c>
      <c r="J47" s="301"/>
      <c r="K47" s="302"/>
      <c r="L47" s="301"/>
      <c r="M47" s="301"/>
      <c r="N47" s="285">
        <f t="shared" si="1"/>
        <v>0</v>
      </c>
      <c r="O47" s="303"/>
      <c r="P47" s="302"/>
      <c r="Q47" s="301"/>
      <c r="R47" s="301"/>
      <c r="S47" s="285">
        <f t="shared" si="2"/>
        <v>0</v>
      </c>
      <c r="T47" s="303"/>
      <c r="U47" s="302"/>
      <c r="V47" s="301"/>
      <c r="W47" s="301"/>
      <c r="X47" s="285">
        <f t="shared" si="3"/>
        <v>0</v>
      </c>
      <c r="Y47" s="303"/>
      <c r="Z47" s="287">
        <v>16</v>
      </c>
      <c r="AA47" s="253">
        <v>0.5</v>
      </c>
      <c r="AB47" s="253">
        <v>0.30645161290322576</v>
      </c>
      <c r="AC47" s="285">
        <f t="shared" si="4"/>
        <v>16</v>
      </c>
      <c r="AD47" s="175"/>
      <c r="AE47" s="287">
        <v>16</v>
      </c>
      <c r="AF47" s="253">
        <v>0.2142857142857143</v>
      </c>
      <c r="AG47" s="253">
        <v>0.16666666666666663</v>
      </c>
      <c r="AH47" s="285">
        <f t="shared" si="5"/>
        <v>16</v>
      </c>
      <c r="AI47" s="260" t="s">
        <v>2</v>
      </c>
      <c r="AJ47" s="257"/>
      <c r="AK47" s="253">
        <v>7.1428571428571397E-2</v>
      </c>
      <c r="AL47" s="253">
        <v>7.1428571428571397E-2</v>
      </c>
      <c r="AM47" s="285">
        <f t="shared" si="6"/>
        <v>3</v>
      </c>
      <c r="AN47" s="260"/>
      <c r="AO47" s="81" t="s">
        <v>7</v>
      </c>
      <c r="AP47" s="253">
        <v>0.85416666666666663</v>
      </c>
      <c r="AQ47" s="253">
        <v>0.72916666666666674</v>
      </c>
      <c r="AR47" s="285">
        <f t="shared" si="7"/>
        <v>4</v>
      </c>
      <c r="AS47" s="260"/>
      <c r="AT47" s="257" t="s">
        <v>2</v>
      </c>
      <c r="AU47" s="253">
        <v>6.5217391304347783E-2</v>
      </c>
      <c r="AV47" s="253">
        <v>6.5217391304347783E-2</v>
      </c>
      <c r="AW47" s="285">
        <f t="shared" si="8"/>
        <v>18</v>
      </c>
      <c r="AX47" s="260"/>
      <c r="AY47" s="257">
        <v>16</v>
      </c>
      <c r="AZ47" s="253">
        <v>0.42592592592592593</v>
      </c>
      <c r="BA47" s="253">
        <v>0.31481481481481477</v>
      </c>
      <c r="BB47" s="285">
        <f t="shared" si="9"/>
        <v>16</v>
      </c>
      <c r="BC47" s="260"/>
      <c r="BD47" s="257">
        <v>12</v>
      </c>
      <c r="BE47" s="304">
        <v>0.57407407407407407</v>
      </c>
      <c r="BF47" s="253">
        <v>0.35185185185185186</v>
      </c>
      <c r="BG47" s="285">
        <f t="shared" si="10"/>
        <v>12</v>
      </c>
      <c r="BH47" s="298"/>
      <c r="BI47" s="257"/>
      <c r="BJ47" s="287"/>
      <c r="BK47" s="301"/>
      <c r="BL47" s="285">
        <f t="shared" si="11"/>
        <v>0</v>
      </c>
      <c r="BM47" s="305"/>
      <c r="BN47" s="257">
        <v>19</v>
      </c>
      <c r="BO47" s="304">
        <v>0.1875</v>
      </c>
      <c r="BP47" s="253">
        <v>0.6875</v>
      </c>
      <c r="BQ47" s="285">
        <f t="shared" si="12"/>
        <v>19</v>
      </c>
      <c r="BR47" s="298"/>
      <c r="BS47" s="257"/>
      <c r="BT47" s="287"/>
      <c r="BU47" s="301"/>
      <c r="BV47" s="285">
        <f t="shared" si="13"/>
        <v>0</v>
      </c>
      <c r="BW47" s="298"/>
      <c r="BX47" s="257"/>
      <c r="BY47" s="287"/>
      <c r="BZ47" s="301"/>
      <c r="CA47" s="285">
        <f t="shared" si="14"/>
        <v>0</v>
      </c>
      <c r="CB47" s="298"/>
      <c r="CC47" s="257">
        <v>25</v>
      </c>
      <c r="CD47" s="304">
        <v>0.15000000000000002</v>
      </c>
      <c r="CE47" s="253">
        <v>8.333333333333337E-2</v>
      </c>
      <c r="CF47" s="285">
        <f t="shared" si="15"/>
        <v>25</v>
      </c>
      <c r="CG47" s="298"/>
      <c r="CH47" s="257">
        <v>25</v>
      </c>
      <c r="CI47" s="304">
        <v>0.18333333333333335</v>
      </c>
      <c r="CJ47" s="253">
        <v>0.1166666666666667</v>
      </c>
      <c r="CK47" s="285">
        <f t="shared" si="48"/>
        <v>25</v>
      </c>
      <c r="CL47" s="182"/>
      <c r="CM47" s="452">
        <v>24</v>
      </c>
      <c r="CN47" s="453">
        <v>0.265625</v>
      </c>
      <c r="CO47" s="454">
        <v>0.203125</v>
      </c>
      <c r="CP47" s="285">
        <f t="shared" si="17"/>
        <v>24</v>
      </c>
      <c r="CQ47" s="298"/>
      <c r="CR47" s="257"/>
      <c r="CS47" s="287"/>
      <c r="CT47" s="301"/>
      <c r="CU47" s="285">
        <f t="shared" si="18"/>
        <v>0</v>
      </c>
      <c r="CV47" s="298"/>
      <c r="CW47" s="257"/>
      <c r="CX47" s="304"/>
      <c r="CY47" s="301"/>
      <c r="CZ47" s="285">
        <f t="shared" si="19"/>
        <v>0</v>
      </c>
      <c r="DA47" s="298"/>
      <c r="DB47" s="257"/>
      <c r="DC47" s="287"/>
      <c r="DD47" s="301"/>
      <c r="DE47" s="285">
        <f t="shared" si="20"/>
        <v>0</v>
      </c>
      <c r="DF47" s="298"/>
      <c r="DG47" s="257"/>
      <c r="DH47" s="287"/>
      <c r="DI47" s="301"/>
      <c r="DJ47" s="285">
        <f t="shared" si="21"/>
        <v>0</v>
      </c>
      <c r="DK47" s="298"/>
      <c r="DL47" s="257">
        <v>18</v>
      </c>
      <c r="DM47" s="304">
        <v>0.375</v>
      </c>
      <c r="DN47" s="253">
        <v>0.3392857142857143</v>
      </c>
      <c r="DO47" s="285">
        <f t="shared" si="22"/>
        <v>18</v>
      </c>
      <c r="DP47" s="298"/>
      <c r="DQ47" s="257"/>
      <c r="DR47" s="287"/>
      <c r="DS47" s="301"/>
      <c r="DT47" s="285">
        <f t="shared" si="23"/>
        <v>0</v>
      </c>
      <c r="DU47" s="298"/>
      <c r="DV47" s="257"/>
      <c r="DW47" s="287"/>
      <c r="DX47" s="301"/>
      <c r="DY47" s="285">
        <f t="shared" si="24"/>
        <v>0</v>
      </c>
      <c r="DZ47" s="475"/>
      <c r="EA47" s="456">
        <v>16</v>
      </c>
      <c r="EB47" s="461">
        <v>0.6333333333333333</v>
      </c>
      <c r="EC47" s="463">
        <v>0.58888888888888891</v>
      </c>
      <c r="ED47" s="285">
        <f t="shared" si="25"/>
        <v>16</v>
      </c>
      <c r="EE47" s="475"/>
      <c r="EF47" s="456">
        <v>12</v>
      </c>
      <c r="EG47" s="461">
        <v>0.70512820512820507</v>
      </c>
      <c r="EH47" s="463">
        <v>0.5</v>
      </c>
      <c r="EI47" s="285">
        <f t="shared" si="26"/>
        <v>12</v>
      </c>
      <c r="EJ47" s="467">
        <f t="shared" si="27"/>
        <v>14</v>
      </c>
      <c r="EK47" s="522">
        <f t="shared" si="28"/>
        <v>7</v>
      </c>
      <c r="EL47" s="267">
        <f t="shared" si="29"/>
        <v>12</v>
      </c>
      <c r="EM47" s="267">
        <f t="shared" si="30"/>
        <v>1</v>
      </c>
      <c r="EN47" s="516">
        <f t="shared" si="31"/>
        <v>0</v>
      </c>
      <c r="EO47" s="273">
        <f t="shared" si="32"/>
        <v>7</v>
      </c>
      <c r="EP47" s="15"/>
      <c r="EQ47" s="61">
        <f t="shared" si="33"/>
        <v>224</v>
      </c>
      <c r="ER47" s="187">
        <f>IF(OR($E47="B",$F47="B"),0,$I47)+IF(OR($J47="B",$K47="B"),0,$N47)+IF(OR($O47="B",$P47="B"),0,$S47)+IF(OR($T47="B",$U47="B"),0,$X47)+IF(OR($Y47="B",$Z47="B"),0,$AC47)+IF(OR($AD47="B",$AE47="B"),0,$AH47)+IF(OR($AI47="B",$AJ47="B"),0,$AM47)+IF(OR($HP25="B",$AO47="B"),0,$AR47)+IF(OR($AS47="B",$AT47="B"),0,$AW47)+IF(OR($AX47="B",$AY47="B"),0,$BB47)+IF(OR($BC47="B",$BD47="B"),0,$BG47)+IF(OR($BH47="B",$BI47="B"),0,$BL47)+IF(OR($BM47="B",$BN47="B"),0,$BQ47)+IF(OR($BR47="B",$BS47="B"),0,$BV47)+IF(OR($BW47="B",$BX47="B"),0,$CA47)+IF(OR($CB47="B",$CC47="B"),0,$CF47)+IF(OR($CG47="B",$CH47="B"),0,$CK47)+IF(OR($CL47="B",$CM47="B"),0,$CP47)+IF(OR($CQ47="B",$CR47="B"),0,$CU47)+IF(OR($CV47="B",$CW47="B"),0,$CZ47)+IF(OR($DA47="B",$DB47="B"),0,$DE47)+IF(OR($DF47="B",$DG47="B"),0,$DJ47)+IF(OR($DK47="B",$DL47="B"),0,$DO47)+IF(OR($DP47="B",$DQ47="B"),0,$DT47)+IF(OR($DU47="B",$DV47="B"),0,$DY47)+IF(OR($DZ47="B",$EA47="B"),0,$ED47)+IF(OR($EE47="B",$EF47="B"),0,$EI47)</f>
        <v>203</v>
      </c>
      <c r="ES47" s="28">
        <f t="shared" si="34"/>
        <v>16</v>
      </c>
      <c r="ET47" s="62">
        <f t="shared" si="35"/>
        <v>16.916666666666668</v>
      </c>
      <c r="EU47" s="63"/>
      <c r="EV47" s="247">
        <f t="shared" si="36"/>
        <v>237</v>
      </c>
      <c r="EW47" s="249">
        <f t="shared" si="37"/>
        <v>218</v>
      </c>
      <c r="EX47" s="23">
        <f t="shared" si="38"/>
        <v>16.928571428571427</v>
      </c>
      <c r="EY47" s="74">
        <f t="shared" si="39"/>
        <v>18.166666666666668</v>
      </c>
      <c r="EZ47" s="63"/>
      <c r="FA47" s="336">
        <f t="shared" si="40"/>
        <v>13</v>
      </c>
      <c r="FB47" s="337">
        <f t="shared" si="41"/>
        <v>1</v>
      </c>
      <c r="FC47" s="333">
        <f t="shared" si="42"/>
        <v>5.2050182154801723</v>
      </c>
      <c r="FD47" s="420">
        <f t="shared" si="43"/>
        <v>0.37178701539144088</v>
      </c>
      <c r="FE47" s="433">
        <f t="shared" si="44"/>
        <v>4.524397178810748</v>
      </c>
      <c r="FF47" s="213">
        <f t="shared" si="45"/>
        <v>0.32317122705791057</v>
      </c>
      <c r="FG47" s="15"/>
      <c r="FH47" s="37">
        <f t="shared" si="46"/>
        <v>21</v>
      </c>
    </row>
    <row r="48" spans="2:167" ht="17" thickBot="1" x14ac:dyDescent="0.25">
      <c r="B48" s="258" t="s">
        <v>72</v>
      </c>
      <c r="C48" s="259" t="s">
        <v>73</v>
      </c>
      <c r="D48" s="299">
        <v>531342</v>
      </c>
      <c r="E48" s="300"/>
      <c r="F48" s="285"/>
      <c r="G48" s="285"/>
      <c r="H48" s="285"/>
      <c r="I48" s="285">
        <f t="shared" si="0"/>
        <v>0</v>
      </c>
      <c r="J48" s="301"/>
      <c r="K48" s="302"/>
      <c r="L48" s="301"/>
      <c r="M48" s="301"/>
      <c r="N48" s="285">
        <f t="shared" si="1"/>
        <v>0</v>
      </c>
      <c r="O48" s="303">
        <v>13</v>
      </c>
      <c r="P48" s="302"/>
      <c r="Q48" s="253">
        <v>0.47916666666666663</v>
      </c>
      <c r="R48" s="253">
        <v>0.39583333333333337</v>
      </c>
      <c r="S48" s="285">
        <f t="shared" si="2"/>
        <v>13</v>
      </c>
      <c r="T48" s="303">
        <v>13</v>
      </c>
      <c r="U48" s="302"/>
      <c r="V48" s="253">
        <v>0.47916666666666663</v>
      </c>
      <c r="W48" s="253">
        <v>0.4375</v>
      </c>
      <c r="X48" s="285">
        <f t="shared" si="3"/>
        <v>13</v>
      </c>
      <c r="Y48" s="303"/>
      <c r="Z48" s="287">
        <v>24</v>
      </c>
      <c r="AA48" s="253">
        <v>0.17741935483870963</v>
      </c>
      <c r="AB48" s="253">
        <v>8.064516129032262E-2</v>
      </c>
      <c r="AC48" s="285">
        <f t="shared" si="4"/>
        <v>24</v>
      </c>
      <c r="AD48" s="303"/>
      <c r="AE48" s="43" t="s">
        <v>7</v>
      </c>
      <c r="AF48" s="253">
        <v>0.83333333333333337</v>
      </c>
      <c r="AG48" s="253">
        <v>0.83333333333333337</v>
      </c>
      <c r="AH48" s="285">
        <f t="shared" si="5"/>
        <v>4</v>
      </c>
      <c r="AI48" s="260"/>
      <c r="AJ48" s="257"/>
      <c r="AK48" s="301"/>
      <c r="AL48" s="301"/>
      <c r="AM48" s="285">
        <f t="shared" si="6"/>
        <v>0</v>
      </c>
      <c r="AN48" s="260"/>
      <c r="AO48" s="257">
        <v>12</v>
      </c>
      <c r="AP48" s="253">
        <v>0.52083333333333326</v>
      </c>
      <c r="AQ48" s="253">
        <v>0.35416666666666663</v>
      </c>
      <c r="AR48" s="285">
        <f t="shared" si="7"/>
        <v>12</v>
      </c>
      <c r="AS48" s="260"/>
      <c r="AT48" s="257">
        <v>11</v>
      </c>
      <c r="AU48" s="253">
        <v>0.54347826086956519</v>
      </c>
      <c r="AV48" s="253">
        <v>0.36956521739130432</v>
      </c>
      <c r="AW48" s="285">
        <f t="shared" si="8"/>
        <v>11</v>
      </c>
      <c r="AX48" s="260"/>
      <c r="AY48" s="257"/>
      <c r="AZ48" s="253"/>
      <c r="BA48" s="253"/>
      <c r="BB48" s="285">
        <f t="shared" si="9"/>
        <v>0</v>
      </c>
      <c r="BC48" s="260"/>
      <c r="BD48" s="257"/>
      <c r="BE48" s="287"/>
      <c r="BF48" s="301"/>
      <c r="BG48" s="285">
        <f t="shared" si="10"/>
        <v>0</v>
      </c>
      <c r="BH48" s="298"/>
      <c r="BI48" s="257">
        <v>8</v>
      </c>
      <c r="BJ48" s="304">
        <v>0.42307692307692313</v>
      </c>
      <c r="BK48" s="253">
        <v>0.80769230769230771</v>
      </c>
      <c r="BL48" s="285">
        <f t="shared" si="11"/>
        <v>8</v>
      </c>
      <c r="BM48" s="305"/>
      <c r="BN48" s="257">
        <v>16</v>
      </c>
      <c r="BO48" s="304">
        <v>0.3125</v>
      </c>
      <c r="BP48" s="253">
        <v>0.8125</v>
      </c>
      <c r="BQ48" s="285">
        <f t="shared" si="12"/>
        <v>16</v>
      </c>
      <c r="BR48" s="298"/>
      <c r="BS48" s="257">
        <v>22</v>
      </c>
      <c r="BT48" s="304">
        <v>0.02</v>
      </c>
      <c r="BU48" s="253">
        <v>2.0000000000000018E-2</v>
      </c>
      <c r="BV48" s="285">
        <f t="shared" si="13"/>
        <v>22</v>
      </c>
      <c r="BW48" s="298"/>
      <c r="BX48" s="257">
        <v>25</v>
      </c>
      <c r="BY48" s="304">
        <v>0.15000000000000002</v>
      </c>
      <c r="BZ48" s="253">
        <v>0.25</v>
      </c>
      <c r="CA48" s="285">
        <f t="shared" si="14"/>
        <v>25</v>
      </c>
      <c r="CB48" s="298"/>
      <c r="CC48" s="257">
        <v>13</v>
      </c>
      <c r="CD48" s="304">
        <v>0.55000000000000004</v>
      </c>
      <c r="CE48" s="253">
        <v>0.48333333333333328</v>
      </c>
      <c r="CF48" s="285">
        <f t="shared" si="15"/>
        <v>13</v>
      </c>
      <c r="CG48" s="298"/>
      <c r="CH48" s="257"/>
      <c r="CI48" s="287"/>
      <c r="CJ48" s="301"/>
      <c r="CK48" s="285">
        <f t="shared" si="48"/>
        <v>0</v>
      </c>
      <c r="CL48" s="298"/>
      <c r="CM48" s="257"/>
      <c r="CN48" s="287"/>
      <c r="CO48" s="301"/>
      <c r="CP48" s="285">
        <f t="shared" si="17"/>
        <v>0</v>
      </c>
      <c r="CQ48" s="298"/>
      <c r="CR48" s="257"/>
      <c r="CS48" s="287"/>
      <c r="CT48" s="287"/>
      <c r="CU48" s="285">
        <f t="shared" si="18"/>
        <v>0</v>
      </c>
      <c r="CV48" s="298"/>
      <c r="CW48" s="257"/>
      <c r="CX48" s="304"/>
      <c r="CY48" s="301"/>
      <c r="CZ48" s="285">
        <f t="shared" si="19"/>
        <v>0</v>
      </c>
      <c r="DA48" s="298"/>
      <c r="DB48" s="257"/>
      <c r="DC48" s="304"/>
      <c r="DD48" s="301"/>
      <c r="DE48" s="285">
        <f t="shared" si="20"/>
        <v>0</v>
      </c>
      <c r="DF48" s="298"/>
      <c r="DG48" s="257"/>
      <c r="DH48" s="287"/>
      <c r="DI48" s="301"/>
      <c r="DJ48" s="285">
        <f t="shared" si="21"/>
        <v>0</v>
      </c>
      <c r="DK48" s="298"/>
      <c r="DL48" s="257"/>
      <c r="DM48" s="287"/>
      <c r="DN48" s="301"/>
      <c r="DO48" s="285">
        <f t="shared" si="22"/>
        <v>0</v>
      </c>
      <c r="DP48" s="298"/>
      <c r="DQ48" s="257"/>
      <c r="DR48" s="287"/>
      <c r="DS48" s="301"/>
      <c r="DT48" s="285">
        <f t="shared" si="23"/>
        <v>0</v>
      </c>
      <c r="DU48" s="298"/>
      <c r="DV48" s="257"/>
      <c r="DW48" s="287"/>
      <c r="DX48" s="301"/>
      <c r="DY48" s="285">
        <f t="shared" si="24"/>
        <v>0</v>
      </c>
      <c r="DZ48" s="475"/>
      <c r="EA48" s="456">
        <v>20</v>
      </c>
      <c r="EB48" s="461">
        <v>0.54444444444444451</v>
      </c>
      <c r="EC48" s="463">
        <v>0.41111111111111109</v>
      </c>
      <c r="ED48" s="285">
        <f t="shared" si="25"/>
        <v>20</v>
      </c>
      <c r="EE48" s="475"/>
      <c r="EF48" s="456">
        <v>26</v>
      </c>
      <c r="EG48" s="461">
        <v>8.9743589743589758E-2</v>
      </c>
      <c r="EH48" s="463">
        <v>3.8461538461538436E-2</v>
      </c>
      <c r="EI48" s="285">
        <f t="shared" si="26"/>
        <v>26</v>
      </c>
      <c r="EJ48" s="467">
        <f t="shared" si="27"/>
        <v>13</v>
      </c>
      <c r="EK48" s="522">
        <f t="shared" si="28"/>
        <v>7</v>
      </c>
      <c r="EL48" s="267">
        <f t="shared" si="29"/>
        <v>13</v>
      </c>
      <c r="EM48" s="267">
        <f t="shared" si="30"/>
        <v>1</v>
      </c>
      <c r="EN48" s="516">
        <f t="shared" si="31"/>
        <v>0</v>
      </c>
      <c r="EO48" s="273">
        <f t="shared" si="32"/>
        <v>7</v>
      </c>
      <c r="EP48" s="15"/>
      <c r="EQ48" s="61">
        <f t="shared" si="33"/>
        <v>207</v>
      </c>
      <c r="ER48" s="187">
        <f>IF(OR($E48="B",$F48="B"),0,$I48)+IF(OR($J48="B",$K48="B"),0,$N48)+IF(OR($O48="B",$P48="B"),0,$S48)+IF(OR($T48="B",$U48="B"),0,$X48)+IF(OR($Y48="B",$Z48="B"),0,$AC48)+IF(OR($AD48="B",$AE48="B"),0,$AH48)+IF(OR($AI48="B",$AJ48="B"),0,$AM48)+IF(OR($HP27="B",$AO48="B"),0,$AR48)+IF(OR($AS48="B",$AT48="B"),0,$AW48)+IF(OR($AX48="B",$AY48="B"),0,$BB48)+IF(OR($BC48="B",$BD48="B"),0,$BG48)+IF(OR($BH48="B",$BI48="B"),0,$BL48)+IF(OR($BM48="B",$BN48="B"),0,$BQ48)+IF(OR($BR48="B",$BS48="B"),0,$BV48)+IF(OR($BW48="B",$BX48="B"),0,$CA48)+IF(OR($CB48="B",$CC48="B"),0,$CF48)+IF(OR($CG48="B",$CH48="B"),0,$CK48)+IF(OR($CL48="B",$CM48="B"),0,$CP48)+IF(OR($CQ48="B",$CR48="B"),0,$CU48)+IF(OR($CV48="B",$CW48="B"),0,$CZ48)+IF(OR($DA48="B",$DB48="B"),0,$DE48)+IF(OR($DF48="B",$DG48="B"),0,$DJ48)+IF(OR($DK48="B",$DL48="B"),0,$DO48)+IF(OR($DP48="B",$DQ48="B"),0,$DT48)+IF(OR($DU48="B",$DV48="B"),0,$DY48)+IF(OR($DZ48="B",$EA48="B"),0,$ED48)+IF(OR($EE48="B",$EF48="B"),0,$EI48)</f>
        <v>207</v>
      </c>
      <c r="ES48" s="28">
        <f t="shared" si="34"/>
        <v>15.923076923076923</v>
      </c>
      <c r="ET48" s="62">
        <f t="shared" si="35"/>
        <v>15.923076923076923</v>
      </c>
      <c r="EU48" s="63"/>
      <c r="EV48" s="247">
        <f t="shared" si="36"/>
        <v>221</v>
      </c>
      <c r="EW48" s="249">
        <f t="shared" si="37"/>
        <v>221</v>
      </c>
      <c r="EX48" s="23">
        <f t="shared" si="38"/>
        <v>17</v>
      </c>
      <c r="EY48" s="74">
        <f t="shared" si="39"/>
        <v>17</v>
      </c>
      <c r="EZ48" s="63"/>
      <c r="FA48" s="336">
        <f t="shared" si="40"/>
        <v>12</v>
      </c>
      <c r="FB48" s="337">
        <f t="shared" si="41"/>
        <v>1</v>
      </c>
      <c r="FC48" s="333">
        <f t="shared" si="42"/>
        <v>5.1231625729732322</v>
      </c>
      <c r="FD48" s="420">
        <f t="shared" si="43"/>
        <v>0.39408942869024866</v>
      </c>
      <c r="FE48" s="433">
        <f t="shared" si="44"/>
        <v>5.2941420026132517</v>
      </c>
      <c r="FF48" s="213">
        <f t="shared" si="45"/>
        <v>0.40724169250871167</v>
      </c>
      <c r="FG48" s="15"/>
      <c r="FH48" s="37">
        <f t="shared" si="46"/>
        <v>22</v>
      </c>
    </row>
    <row r="49" spans="2:164" ht="17" thickBot="1" x14ac:dyDescent="0.25">
      <c r="B49" s="258" t="s">
        <v>99</v>
      </c>
      <c r="C49" s="259" t="s">
        <v>100</v>
      </c>
      <c r="D49" s="138">
        <v>241365</v>
      </c>
      <c r="E49" s="300"/>
      <c r="F49" s="285"/>
      <c r="G49" s="306"/>
      <c r="H49" s="306"/>
      <c r="I49" s="285">
        <f t="shared" si="0"/>
        <v>0</v>
      </c>
      <c r="J49" s="301"/>
      <c r="K49" s="302"/>
      <c r="L49" s="253"/>
      <c r="M49" s="253"/>
      <c r="N49" s="285">
        <f t="shared" si="1"/>
        <v>0</v>
      </c>
      <c r="O49" s="303"/>
      <c r="P49" s="302"/>
      <c r="Q49" s="253"/>
      <c r="R49" s="253"/>
      <c r="S49" s="285">
        <f t="shared" si="2"/>
        <v>0</v>
      </c>
      <c r="T49" s="303"/>
      <c r="U49" s="302"/>
      <c r="V49" s="253"/>
      <c r="W49" s="253"/>
      <c r="X49" s="285">
        <f t="shared" si="3"/>
        <v>0</v>
      </c>
      <c r="Y49" s="303"/>
      <c r="Z49" s="287">
        <v>13</v>
      </c>
      <c r="AA49" s="253">
        <v>0.59677419354838712</v>
      </c>
      <c r="AB49" s="253">
        <v>0.20967741935483875</v>
      </c>
      <c r="AC49" s="285">
        <f t="shared" si="4"/>
        <v>13</v>
      </c>
      <c r="AD49" s="303"/>
      <c r="AE49" s="287"/>
      <c r="AF49" s="253"/>
      <c r="AG49" s="253"/>
      <c r="AH49" s="285">
        <f t="shared" si="5"/>
        <v>0</v>
      </c>
      <c r="AI49" s="260"/>
      <c r="AJ49" s="257">
        <v>15</v>
      </c>
      <c r="AK49" s="253">
        <v>0.30952380952380953</v>
      </c>
      <c r="AL49" s="253">
        <v>0.2142857142857143</v>
      </c>
      <c r="AM49" s="285">
        <f t="shared" si="6"/>
        <v>15</v>
      </c>
      <c r="AN49" s="260"/>
      <c r="AO49" s="257"/>
      <c r="AP49" s="326"/>
      <c r="AQ49" s="301"/>
      <c r="AR49" s="285">
        <f t="shared" si="7"/>
        <v>0</v>
      </c>
      <c r="AS49" s="260"/>
      <c r="AT49" s="257"/>
      <c r="AU49" s="301"/>
      <c r="AV49" s="301"/>
      <c r="AW49" s="285">
        <f t="shared" si="8"/>
        <v>0</v>
      </c>
      <c r="AX49" s="260"/>
      <c r="AY49" s="257">
        <v>11</v>
      </c>
      <c r="AZ49" s="253">
        <v>0.61111111111111116</v>
      </c>
      <c r="BA49" s="253">
        <v>0.27777777777777779</v>
      </c>
      <c r="BB49" s="285">
        <f t="shared" si="9"/>
        <v>11</v>
      </c>
      <c r="BC49" s="260"/>
      <c r="BD49" s="257" t="s">
        <v>2</v>
      </c>
      <c r="BE49" s="304">
        <v>9.259259259259256E-2</v>
      </c>
      <c r="BF49" s="253">
        <v>9.259259259259256E-2</v>
      </c>
      <c r="BG49" s="285">
        <f t="shared" si="10"/>
        <v>23</v>
      </c>
      <c r="BH49" s="298"/>
      <c r="BI49" s="257"/>
      <c r="BJ49" s="287"/>
      <c r="BK49" s="301"/>
      <c r="BL49" s="285">
        <f t="shared" si="11"/>
        <v>0</v>
      </c>
      <c r="BM49" s="305"/>
      <c r="BN49" s="257">
        <v>12</v>
      </c>
      <c r="BO49" s="304">
        <v>0.52083333333333326</v>
      </c>
      <c r="BP49" s="253">
        <v>0.3125</v>
      </c>
      <c r="BQ49" s="285">
        <f t="shared" si="12"/>
        <v>12</v>
      </c>
      <c r="BR49" s="298"/>
      <c r="BS49" s="257">
        <v>13</v>
      </c>
      <c r="BT49" s="304">
        <v>0.45999999999999996</v>
      </c>
      <c r="BU49" s="253">
        <v>9.9999999999999978E-2</v>
      </c>
      <c r="BV49" s="285">
        <f t="shared" si="13"/>
        <v>13</v>
      </c>
      <c r="BW49" s="298"/>
      <c r="BX49" s="81" t="s">
        <v>62</v>
      </c>
      <c r="BY49" s="304">
        <v>0.98333333333333328</v>
      </c>
      <c r="BZ49" s="253">
        <v>0.98333333333333328</v>
      </c>
      <c r="CA49" s="285">
        <f t="shared" si="14"/>
        <v>1</v>
      </c>
      <c r="CB49" s="298"/>
      <c r="CC49" s="257">
        <v>9</v>
      </c>
      <c r="CD49" s="304">
        <v>0.71666666666666667</v>
      </c>
      <c r="CE49" s="253">
        <v>0.65</v>
      </c>
      <c r="CF49" s="285">
        <f t="shared" si="15"/>
        <v>9</v>
      </c>
      <c r="CG49" s="298"/>
      <c r="CH49" s="257"/>
      <c r="CI49" s="287"/>
      <c r="CJ49" s="301"/>
      <c r="CK49" s="285">
        <f t="shared" si="48"/>
        <v>0</v>
      </c>
      <c r="CL49" s="298"/>
      <c r="CM49" s="257">
        <v>15</v>
      </c>
      <c r="CN49" s="304">
        <v>0.546875</v>
      </c>
      <c r="CO49" s="454">
        <v>0.171875</v>
      </c>
      <c r="CP49" s="285">
        <f t="shared" si="17"/>
        <v>15</v>
      </c>
      <c r="CQ49" s="298"/>
      <c r="CR49" s="257"/>
      <c r="CS49" s="287"/>
      <c r="CT49" s="287"/>
      <c r="CU49" s="285">
        <f t="shared" si="18"/>
        <v>0</v>
      </c>
      <c r="CV49" s="298"/>
      <c r="CW49" s="257">
        <v>9</v>
      </c>
      <c r="CX49" s="304">
        <v>0.74242424242424243</v>
      </c>
      <c r="CY49" s="253">
        <v>0.77272727272727271</v>
      </c>
      <c r="CZ49" s="285">
        <f t="shared" si="19"/>
        <v>9</v>
      </c>
      <c r="DA49" s="298"/>
      <c r="DB49" s="257"/>
      <c r="DC49" s="287"/>
      <c r="DD49" s="301"/>
      <c r="DE49" s="285">
        <f t="shared" si="20"/>
        <v>0</v>
      </c>
      <c r="DF49" s="298"/>
      <c r="DG49" s="257"/>
      <c r="DH49" s="287"/>
      <c r="DI49" s="301"/>
      <c r="DJ49" s="285">
        <f t="shared" si="21"/>
        <v>0</v>
      </c>
      <c r="DK49" s="298"/>
      <c r="DL49" s="257">
        <v>5</v>
      </c>
      <c r="DM49" s="304">
        <v>0.8392857142857143</v>
      </c>
      <c r="DN49" s="253">
        <v>0.51785714285714279</v>
      </c>
      <c r="DO49" s="285">
        <f t="shared" si="22"/>
        <v>5</v>
      </c>
      <c r="DP49" s="298"/>
      <c r="DQ49" s="257">
        <v>13</v>
      </c>
      <c r="DR49" s="304">
        <v>0.56896551724137934</v>
      </c>
      <c r="DS49" s="253">
        <v>0.25862068965517238</v>
      </c>
      <c r="DT49" s="285">
        <f t="shared" si="23"/>
        <v>13</v>
      </c>
      <c r="DU49" s="298"/>
      <c r="DV49" s="257"/>
      <c r="DW49" s="287"/>
      <c r="DX49" s="301"/>
      <c r="DY49" s="285">
        <f t="shared" si="24"/>
        <v>0</v>
      </c>
      <c r="DZ49" s="475"/>
      <c r="EA49" s="456">
        <v>11</v>
      </c>
      <c r="EB49" s="461">
        <v>0.74444444444444446</v>
      </c>
      <c r="EC49" s="463">
        <v>0.25555555555555554</v>
      </c>
      <c r="ED49" s="285">
        <f t="shared" si="25"/>
        <v>11</v>
      </c>
      <c r="EE49" s="475"/>
      <c r="EF49" s="456"/>
      <c r="EG49" s="461"/>
      <c r="EH49" s="463"/>
      <c r="EI49" s="285">
        <f t="shared" si="26"/>
        <v>0</v>
      </c>
      <c r="EJ49" s="467">
        <f t="shared" si="27"/>
        <v>13</v>
      </c>
      <c r="EK49" s="522">
        <f t="shared" si="28"/>
        <v>9</v>
      </c>
      <c r="EL49" s="267">
        <f t="shared" si="29"/>
        <v>12</v>
      </c>
      <c r="EM49" s="267">
        <f t="shared" si="30"/>
        <v>1</v>
      </c>
      <c r="EN49" s="516">
        <f t="shared" si="31"/>
        <v>1</v>
      </c>
      <c r="EO49" s="273">
        <f t="shared" si="32"/>
        <v>8</v>
      </c>
      <c r="EP49" s="15"/>
      <c r="EQ49" s="61">
        <f t="shared" si="33"/>
        <v>150</v>
      </c>
      <c r="ER49" s="187">
        <f>IF(OR($E49="B",$F49="B"),0,$I49)+IF(OR($J49="B",$K49="B"),0,$N49)+IF(OR($O49="B",$P49="B"),0,$S49)+IF(OR($T49="B",$U49="B"),0,$X49)+IF(OR($Y49="B",$Z49="B"),0,$AC49)+IF(OR($AD49="B",$AE49="B"),0,$AH49)+IF(OR($AI49="B",$AJ49="B"),0,$AM49)+IF(OR($HP27="B",$AO49="B"),0,$AR49)+IF(OR($AS49="B",$AT49="B"),0,$AW49)+IF(OR($AX49="B",$AY49="B"),0,$BB49)+IF(OR($BC49="B",$BD49="B"),0,$BG49)+IF(OR($BH49="B",$BI49="B"),0,$BL49)+IF(OR($BM49="B",$BN49="B"),0,$BQ49)+IF(OR($BR49="B",$BS49="B"),0,$BV49)+IF(OR($BW49="B",$BX49="B"),0,$CA49)+IF(OR($CB49="B",$CC49="B"),0,$CF49)+IF(OR($CG49="B",$CH49="B"),0,$CK49)+IF(OR($CL49="B",$CM49="B"),0,$CP49)+IF(OR($CQ49="B",$CR49="B"),0,$CU49)+IF(OR($CV49="B",$CW49="B"),0,$CZ49)+IF(OR($DA49="B",$DB49="B"),0,$DE49)+IF(OR($DF49="B",$DG49="B"),0,$DJ49)+IF(OR($DK49="B",$DL49="B"),0,$DO49)+IF(OR($DP49="B",$DQ49="B"),0,$DT49)+IF(OR($DU49="B",$DV49="B"),0,$DY49)+IF(OR($DZ49="B",$EA49="B"),0,$ED49)+IF(OR($EE49="B",$EF49="B"),0,$EI49)</f>
        <v>127</v>
      </c>
      <c r="ES49" s="28">
        <f t="shared" si="34"/>
        <v>11.538461538461538</v>
      </c>
      <c r="ET49" s="62">
        <f t="shared" si="35"/>
        <v>10.583333333333334</v>
      </c>
      <c r="EU49" s="63"/>
      <c r="EV49" s="247">
        <f t="shared" si="36"/>
        <v>164</v>
      </c>
      <c r="EW49" s="249">
        <f t="shared" si="37"/>
        <v>142</v>
      </c>
      <c r="EX49" s="23">
        <f t="shared" si="38"/>
        <v>12.615384615384615</v>
      </c>
      <c r="EY49" s="74">
        <f t="shared" si="39"/>
        <v>11.833333333333334</v>
      </c>
      <c r="EZ49" s="63"/>
      <c r="FA49" s="336">
        <f t="shared" si="40"/>
        <v>12</v>
      </c>
      <c r="FB49" s="337">
        <f t="shared" si="41"/>
        <v>1</v>
      </c>
      <c r="FC49" s="333">
        <f t="shared" si="42"/>
        <v>7.7328299585050138</v>
      </c>
      <c r="FD49" s="420">
        <f t="shared" si="43"/>
        <v>0.5948330737311549</v>
      </c>
      <c r="FE49" s="433">
        <f t="shared" si="44"/>
        <v>4.8168024981394</v>
      </c>
      <c r="FF49" s="213">
        <f t="shared" si="45"/>
        <v>0.37052326908764616</v>
      </c>
      <c r="FG49" s="15"/>
      <c r="FH49" s="37">
        <f t="shared" si="46"/>
        <v>23</v>
      </c>
    </row>
    <row r="50" spans="2:164" ht="17" thickBot="1" x14ac:dyDescent="0.25">
      <c r="B50" s="258" t="s">
        <v>116</v>
      </c>
      <c r="C50" s="259" t="s">
        <v>117</v>
      </c>
      <c r="D50" s="299">
        <v>522952</v>
      </c>
      <c r="E50" s="300"/>
      <c r="F50" s="285">
        <v>20</v>
      </c>
      <c r="G50" s="306">
        <v>7.1428571428571397E-2</v>
      </c>
      <c r="H50" s="306">
        <v>0.11904761904761907</v>
      </c>
      <c r="I50" s="285">
        <f t="shared" si="0"/>
        <v>20</v>
      </c>
      <c r="J50" s="301">
        <v>4</v>
      </c>
      <c r="K50" s="503"/>
      <c r="L50" s="552">
        <v>0.10416666666666663</v>
      </c>
      <c r="M50" s="253">
        <v>0.60416666666666674</v>
      </c>
      <c r="N50" s="285">
        <f t="shared" si="1"/>
        <v>4</v>
      </c>
      <c r="O50" s="163" t="s">
        <v>62</v>
      </c>
      <c r="P50" s="302"/>
      <c r="Q50" s="253">
        <v>0.97916666666666663</v>
      </c>
      <c r="R50" s="253">
        <v>0.97916666666666663</v>
      </c>
      <c r="S50" s="285">
        <f t="shared" si="2"/>
        <v>1</v>
      </c>
      <c r="T50" s="303">
        <v>21</v>
      </c>
      <c r="U50" s="302"/>
      <c r="V50" s="253">
        <v>0.14583333333333337</v>
      </c>
      <c r="W50" s="253">
        <v>0.22916666666666663</v>
      </c>
      <c r="X50" s="285">
        <f t="shared" si="3"/>
        <v>21</v>
      </c>
      <c r="Y50" s="303">
        <v>3</v>
      </c>
      <c r="Z50" s="287"/>
      <c r="AA50" s="253">
        <v>0.11290322580645162</v>
      </c>
      <c r="AB50" s="253">
        <v>0.467741935483871</v>
      </c>
      <c r="AC50" s="285">
        <f t="shared" si="4"/>
        <v>3</v>
      </c>
      <c r="AD50" s="303"/>
      <c r="AE50" s="287"/>
      <c r="AF50" s="253"/>
      <c r="AG50" s="253"/>
      <c r="AH50" s="285">
        <f t="shared" si="5"/>
        <v>0</v>
      </c>
      <c r="AI50" s="260"/>
      <c r="AJ50" s="257"/>
      <c r="AK50" s="301"/>
      <c r="AL50" s="301"/>
      <c r="AM50" s="285">
        <f t="shared" si="6"/>
        <v>0</v>
      </c>
      <c r="AN50" s="260"/>
      <c r="AO50" s="257"/>
      <c r="AP50" s="301"/>
      <c r="AQ50" s="301"/>
      <c r="AR50" s="285">
        <f t="shared" si="7"/>
        <v>0</v>
      </c>
      <c r="AS50" s="260"/>
      <c r="AT50" s="257"/>
      <c r="AU50" s="301"/>
      <c r="AV50" s="301"/>
      <c r="AW50" s="285">
        <f t="shared" si="8"/>
        <v>0</v>
      </c>
      <c r="AX50" s="260"/>
      <c r="AY50" s="257">
        <v>22</v>
      </c>
      <c r="AZ50" s="253">
        <v>0.20370370370370372</v>
      </c>
      <c r="BA50" s="253">
        <v>0.5</v>
      </c>
      <c r="BB50" s="285">
        <f t="shared" si="9"/>
        <v>22</v>
      </c>
      <c r="BC50" s="260"/>
      <c r="BD50" s="257"/>
      <c r="BE50" s="287"/>
      <c r="BF50" s="301"/>
      <c r="BG50" s="285">
        <f t="shared" si="10"/>
        <v>0</v>
      </c>
      <c r="BH50" s="298"/>
      <c r="BI50" s="257"/>
      <c r="BJ50" s="287"/>
      <c r="BK50" s="301"/>
      <c r="BL50" s="285">
        <f t="shared" si="11"/>
        <v>0</v>
      </c>
      <c r="BM50" s="305"/>
      <c r="BN50" s="257"/>
      <c r="BO50" s="287"/>
      <c r="BP50" s="301"/>
      <c r="BQ50" s="285">
        <f t="shared" si="12"/>
        <v>0</v>
      </c>
      <c r="BR50" s="298"/>
      <c r="BS50" s="257"/>
      <c r="BT50" s="287"/>
      <c r="BU50" s="301"/>
      <c r="BV50" s="285">
        <f t="shared" si="13"/>
        <v>0</v>
      </c>
      <c r="BW50" s="298"/>
      <c r="BX50" s="257"/>
      <c r="BY50" s="554"/>
      <c r="BZ50" s="530"/>
      <c r="CA50" s="285">
        <f t="shared" si="14"/>
        <v>0</v>
      </c>
      <c r="CB50" s="298"/>
      <c r="CC50" s="257"/>
      <c r="CD50" s="287"/>
      <c r="CE50" s="301"/>
      <c r="CF50" s="285">
        <f t="shared" si="15"/>
        <v>0</v>
      </c>
      <c r="CG50" s="298"/>
      <c r="CH50" s="257" t="s">
        <v>2</v>
      </c>
      <c r="CI50" s="304">
        <v>0.5</v>
      </c>
      <c r="CJ50" s="253">
        <v>5.0000000000000044E-2</v>
      </c>
      <c r="CK50" s="285">
        <f t="shared" si="48"/>
        <v>28</v>
      </c>
      <c r="CL50" s="298">
        <v>3</v>
      </c>
      <c r="CM50" s="257"/>
      <c r="CN50" s="304">
        <v>7.8125E-2</v>
      </c>
      <c r="CO50" s="253">
        <v>0.109375</v>
      </c>
      <c r="CP50" s="285">
        <f t="shared" si="17"/>
        <v>3</v>
      </c>
      <c r="CQ50" s="298"/>
      <c r="CR50" s="257"/>
      <c r="CS50" s="287"/>
      <c r="CT50" s="287"/>
      <c r="CU50" s="285">
        <f t="shared" si="18"/>
        <v>0</v>
      </c>
      <c r="CV50" s="298"/>
      <c r="CW50" s="257"/>
      <c r="CX50" s="304"/>
      <c r="CY50" s="301"/>
      <c r="CZ50" s="285">
        <f t="shared" si="19"/>
        <v>0</v>
      </c>
      <c r="DA50" s="298"/>
      <c r="DB50" s="257"/>
      <c r="DC50" s="287"/>
      <c r="DD50" s="301"/>
      <c r="DE50" s="285">
        <f t="shared" si="20"/>
        <v>0</v>
      </c>
      <c r="DF50" s="298"/>
      <c r="DG50" s="257"/>
      <c r="DH50" s="287"/>
      <c r="DI50" s="301"/>
      <c r="DJ50" s="285">
        <f t="shared" si="21"/>
        <v>0</v>
      </c>
      <c r="DK50" s="298"/>
      <c r="DL50" s="257"/>
      <c r="DM50" s="287"/>
      <c r="DN50" s="301"/>
      <c r="DO50" s="285">
        <f t="shared" si="22"/>
        <v>0</v>
      </c>
      <c r="DP50" s="298"/>
      <c r="DQ50" s="257">
        <v>21</v>
      </c>
      <c r="DR50" s="304">
        <v>0.12068965517241381</v>
      </c>
      <c r="DS50" s="253">
        <v>0.32758620689655171</v>
      </c>
      <c r="DT50" s="285">
        <f t="shared" si="23"/>
        <v>21</v>
      </c>
      <c r="DU50" s="298"/>
      <c r="DV50" s="257">
        <v>26</v>
      </c>
      <c r="DW50" s="304">
        <v>0.16666666666666663</v>
      </c>
      <c r="DX50" s="253">
        <v>0.46969696969696972</v>
      </c>
      <c r="DY50" s="285">
        <f t="shared" si="24"/>
        <v>26</v>
      </c>
      <c r="DZ50" s="475"/>
      <c r="EA50" s="456">
        <v>24</v>
      </c>
      <c r="EB50" s="461">
        <v>0.4555555555555556</v>
      </c>
      <c r="EC50" s="463">
        <v>0.9</v>
      </c>
      <c r="ED50" s="285">
        <f t="shared" si="25"/>
        <v>24</v>
      </c>
      <c r="EE50" s="475"/>
      <c r="EF50" s="456">
        <v>28</v>
      </c>
      <c r="EG50" s="461">
        <v>3.8461538461538436E-2</v>
      </c>
      <c r="EH50" s="463">
        <v>0.16666666666666663</v>
      </c>
      <c r="EI50" s="285">
        <f t="shared" si="26"/>
        <v>28</v>
      </c>
      <c r="EJ50" s="467">
        <f t="shared" si="27"/>
        <v>12</v>
      </c>
      <c r="EK50" s="522">
        <f t="shared" si="28"/>
        <v>6</v>
      </c>
      <c r="EL50" s="267">
        <f t="shared" si="29"/>
        <v>11</v>
      </c>
      <c r="EM50" s="267">
        <f t="shared" si="30"/>
        <v>1</v>
      </c>
      <c r="EN50" s="516">
        <f t="shared" si="31"/>
        <v>0</v>
      </c>
      <c r="EO50" s="273">
        <f t="shared" si="32"/>
        <v>6</v>
      </c>
      <c r="EP50" s="15"/>
      <c r="EQ50" s="61">
        <f t="shared" si="33"/>
        <v>201</v>
      </c>
      <c r="ER50" s="187">
        <f>IF(OR($E50="B",$F50="B"),0,$I50)+IF(OR($J50="B",$K50="B"),0,$N50)+IF(OR($O50="B",$P50="B"),0,$S50)+IF(OR($T50="B",$U50="B"),0,$X50)+IF(OR($Y50="B",$Z50="B"),0,$AC50)+IF(OR($AD50="B",$AE50="B"),0,$AH50)+IF(OR($AI50="B",$AJ50="B"),0,$AM50)+IF(OR($HP28="B",$AO50="B"),0,$AR50)+IF(OR($AS50="B",$AT50="B"),0,$AW50)+IF(OR($AX50="B",$AY50="B"),0,$BB50)+IF(OR($BC50="B",$BD50="B"),0,$BG50)+IF(OR($BH50="B",$BI50="B"),0,$BL50)+IF(OR($BM50="B",$BN50="B"),0,$BQ50)+IF(OR($BR50="B",$BS50="B"),0,$BV50)+IF(OR($BW50="B",$BX50="B"),0,$CA50)+IF(OR($CB50="B",$CC50="B"),0,$CF50)+IF(OR($CG50="B",$CH50="B"),0,$CK50)+IF(OR($CL50="B",$CM50="B"),0,$CP50)+IF(OR($CQ50="B",$CR50="B"),0,$CU50)+IF(OR($CV50="B",$CW50="B"),0,$CZ50)+IF(OR($DA50="B",$DB50="B"),0,$DE50)+IF(OR($DF50="B",$DG50="B"),0,$DJ50)+IF(OR($DK50="B",$DL50="B"),0,$DO50)+IF(OR($DP50="B",$DQ50="B"),0,$DT50)+IF(OR($DU50="B",$DV50="B"),0,$DY50)+IF(OR($DZ50="B",$EA50="B"),0,$ED50)+IF(OR($EE50="B",$EF50="B"),0,$EI50)</f>
        <v>173</v>
      </c>
      <c r="ES50" s="28">
        <f t="shared" si="34"/>
        <v>16.75</v>
      </c>
      <c r="ET50" s="62">
        <f t="shared" si="35"/>
        <v>15.727272727272727</v>
      </c>
      <c r="EU50" s="63"/>
      <c r="EV50" s="247">
        <f t="shared" si="36"/>
        <v>216</v>
      </c>
      <c r="EW50" s="249">
        <f t="shared" si="37"/>
        <v>189</v>
      </c>
      <c r="EX50" s="23">
        <f t="shared" si="38"/>
        <v>18</v>
      </c>
      <c r="EY50" s="74">
        <f t="shared" si="39"/>
        <v>17.181818181818183</v>
      </c>
      <c r="EZ50" s="63"/>
      <c r="FA50" s="336">
        <f t="shared" si="40"/>
        <v>11</v>
      </c>
      <c r="FB50" s="337">
        <f t="shared" si="41"/>
        <v>1</v>
      </c>
      <c r="FC50" s="333">
        <f t="shared" si="42"/>
        <v>2.9767005834615676</v>
      </c>
      <c r="FD50" s="420">
        <f t="shared" si="43"/>
        <v>0.24805838195513064</v>
      </c>
      <c r="FE50" s="433">
        <f t="shared" si="44"/>
        <v>4.922614397791679</v>
      </c>
      <c r="FF50" s="213">
        <f t="shared" si="45"/>
        <v>0.41021786648263991</v>
      </c>
      <c r="FG50" s="15"/>
      <c r="FH50" s="37">
        <f t="shared" si="46"/>
        <v>24</v>
      </c>
    </row>
    <row r="51" spans="2:164" ht="17" thickBot="1" x14ac:dyDescent="0.25">
      <c r="B51" s="258" t="s">
        <v>220</v>
      </c>
      <c r="C51" s="259" t="s">
        <v>221</v>
      </c>
      <c r="D51" s="327">
        <v>528324</v>
      </c>
      <c r="E51" s="288"/>
      <c r="F51" s="289"/>
      <c r="G51" s="289"/>
      <c r="H51" s="289"/>
      <c r="I51" s="285">
        <f t="shared" si="0"/>
        <v>0</v>
      </c>
      <c r="J51" s="290"/>
      <c r="K51" s="291"/>
      <c r="L51" s="290"/>
      <c r="M51" s="290"/>
      <c r="N51" s="285">
        <f t="shared" si="1"/>
        <v>0</v>
      </c>
      <c r="O51" s="292"/>
      <c r="P51" s="291"/>
      <c r="Q51" s="290"/>
      <c r="R51" s="290"/>
      <c r="S51" s="285">
        <f t="shared" si="2"/>
        <v>0</v>
      </c>
      <c r="T51" s="292"/>
      <c r="U51" s="291"/>
      <c r="V51" s="290"/>
      <c r="W51" s="290"/>
      <c r="X51" s="285">
        <f t="shared" si="3"/>
        <v>0</v>
      </c>
      <c r="Y51" s="292"/>
      <c r="Z51" s="293"/>
      <c r="AA51" s="329"/>
      <c r="AB51" s="329"/>
      <c r="AC51" s="285">
        <f t="shared" si="4"/>
        <v>0</v>
      </c>
      <c r="AD51" s="292"/>
      <c r="AE51" s="293"/>
      <c r="AF51" s="290"/>
      <c r="AG51" s="290"/>
      <c r="AH51" s="285">
        <f t="shared" si="5"/>
        <v>0</v>
      </c>
      <c r="AI51" s="294"/>
      <c r="AJ51" s="295"/>
      <c r="AK51" s="290"/>
      <c r="AL51" s="290"/>
      <c r="AM51" s="285">
        <f t="shared" si="6"/>
        <v>0</v>
      </c>
      <c r="AN51" s="294"/>
      <c r="AO51" s="295"/>
      <c r="AP51" s="329"/>
      <c r="AQ51" s="329"/>
      <c r="AR51" s="285">
        <f t="shared" si="7"/>
        <v>0</v>
      </c>
      <c r="AS51" s="294"/>
      <c r="AT51" s="295"/>
      <c r="AU51" s="290"/>
      <c r="AV51" s="290"/>
      <c r="AW51" s="285">
        <f t="shared" si="8"/>
        <v>0</v>
      </c>
      <c r="AX51" s="294"/>
      <c r="AY51" s="295"/>
      <c r="AZ51" s="329"/>
      <c r="BA51" s="329"/>
      <c r="BB51" s="285">
        <f t="shared" si="9"/>
        <v>0</v>
      </c>
      <c r="BC51" s="294"/>
      <c r="BD51" s="295"/>
      <c r="BE51" s="293"/>
      <c r="BF51" s="290"/>
      <c r="BG51" s="285">
        <f t="shared" si="10"/>
        <v>0</v>
      </c>
      <c r="BH51" s="296"/>
      <c r="BI51" s="295"/>
      <c r="BJ51" s="293"/>
      <c r="BK51" s="290"/>
      <c r="BL51" s="285">
        <f t="shared" si="11"/>
        <v>0</v>
      </c>
      <c r="BM51" s="297"/>
      <c r="BN51" s="295"/>
      <c r="BO51" s="293"/>
      <c r="BP51" s="290"/>
      <c r="BQ51" s="285">
        <f t="shared" si="12"/>
        <v>0</v>
      </c>
      <c r="BR51" s="296"/>
      <c r="BS51" s="295">
        <v>2</v>
      </c>
      <c r="BT51" s="324">
        <v>0.94</v>
      </c>
      <c r="BU51" s="329">
        <v>0.18000000000000005</v>
      </c>
      <c r="BV51" s="285">
        <f t="shared" si="13"/>
        <v>2</v>
      </c>
      <c r="BW51" s="296"/>
      <c r="BX51" s="295"/>
      <c r="BY51" s="559"/>
      <c r="BZ51" s="290"/>
      <c r="CA51" s="285">
        <f t="shared" si="14"/>
        <v>0</v>
      </c>
      <c r="CB51" s="296"/>
      <c r="CC51" s="295">
        <v>2</v>
      </c>
      <c r="CD51" s="324">
        <v>0.95</v>
      </c>
      <c r="CE51" s="329">
        <v>0.91666666666666663</v>
      </c>
      <c r="CF51" s="285">
        <f t="shared" si="15"/>
        <v>2</v>
      </c>
      <c r="CG51" s="296"/>
      <c r="CH51" s="295"/>
      <c r="CI51" s="293"/>
      <c r="CJ51" s="290"/>
      <c r="CK51" s="285">
        <f t="shared" si="48"/>
        <v>0</v>
      </c>
      <c r="CL51" s="296"/>
      <c r="CM51" s="295"/>
      <c r="CN51" s="293"/>
      <c r="CO51" s="290"/>
      <c r="CP51" s="285">
        <f t="shared" si="17"/>
        <v>0</v>
      </c>
      <c r="CQ51" s="296"/>
      <c r="CR51" s="295">
        <v>5</v>
      </c>
      <c r="CS51" s="293">
        <v>0.77500000000000002</v>
      </c>
      <c r="CT51" s="290">
        <v>0.32499999999999996</v>
      </c>
      <c r="CU51" s="285">
        <f t="shared" si="18"/>
        <v>5</v>
      </c>
      <c r="CV51" s="296"/>
      <c r="CW51" s="295"/>
      <c r="CX51" s="293"/>
      <c r="CY51" s="290"/>
      <c r="CZ51" s="285">
        <f t="shared" si="19"/>
        <v>0</v>
      </c>
      <c r="DA51" s="296"/>
      <c r="DB51" s="295">
        <v>1</v>
      </c>
      <c r="DC51" s="562">
        <v>0.97916666666666663</v>
      </c>
      <c r="DD51" s="329">
        <v>0.60416666666666674</v>
      </c>
      <c r="DE51" s="285">
        <f t="shared" si="20"/>
        <v>1</v>
      </c>
      <c r="DF51" s="296"/>
      <c r="DG51" s="295">
        <v>2</v>
      </c>
      <c r="DH51" s="324">
        <v>0.95833333333333337</v>
      </c>
      <c r="DI51" s="329">
        <v>0.625</v>
      </c>
      <c r="DJ51" s="285">
        <f t="shared" si="21"/>
        <v>2</v>
      </c>
      <c r="DK51" s="296"/>
      <c r="DL51" s="477" t="s">
        <v>62</v>
      </c>
      <c r="DM51" s="324">
        <v>0.9821428571428571</v>
      </c>
      <c r="DN51" s="253">
        <v>0.9821428571428571</v>
      </c>
      <c r="DO51" s="285">
        <f t="shared" si="22"/>
        <v>1</v>
      </c>
      <c r="DP51" s="298"/>
      <c r="DQ51" s="257">
        <v>3</v>
      </c>
      <c r="DR51" s="304">
        <v>0.9137931034482758</v>
      </c>
      <c r="DS51" s="253">
        <v>0.77586206896551724</v>
      </c>
      <c r="DT51" s="285">
        <f t="shared" si="23"/>
        <v>3</v>
      </c>
      <c r="DU51" s="296"/>
      <c r="DV51" s="295">
        <v>3</v>
      </c>
      <c r="DW51" s="324">
        <v>0.9242424242424242</v>
      </c>
      <c r="DX51" s="329">
        <v>0.56060606060606055</v>
      </c>
      <c r="DY51" s="285">
        <f t="shared" si="24"/>
        <v>3</v>
      </c>
      <c r="DZ51" s="475"/>
      <c r="EA51" s="456">
        <v>2</v>
      </c>
      <c r="EB51" s="461">
        <v>0.96666666666666667</v>
      </c>
      <c r="EC51" s="463">
        <v>0.74444444444444446</v>
      </c>
      <c r="ED51" s="285">
        <f t="shared" si="25"/>
        <v>2</v>
      </c>
      <c r="EE51" s="475"/>
      <c r="EF51" s="456"/>
      <c r="EG51" s="461"/>
      <c r="EH51" s="463"/>
      <c r="EI51" s="285">
        <f t="shared" si="26"/>
        <v>0</v>
      </c>
      <c r="EJ51" s="467">
        <f t="shared" si="27"/>
        <v>9</v>
      </c>
      <c r="EK51" s="522">
        <f t="shared" si="28"/>
        <v>9</v>
      </c>
      <c r="EL51" s="267">
        <f t="shared" si="29"/>
        <v>9</v>
      </c>
      <c r="EM51" s="267">
        <f t="shared" si="30"/>
        <v>1</v>
      </c>
      <c r="EN51" s="516">
        <f t="shared" si="31"/>
        <v>1</v>
      </c>
      <c r="EO51" s="273">
        <f t="shared" si="32"/>
        <v>8</v>
      </c>
      <c r="EP51" s="15"/>
      <c r="EQ51" s="61">
        <f t="shared" si="33"/>
        <v>21</v>
      </c>
      <c r="ER51" s="187">
        <f>IF(OR($E51="B",$F51="B"),0,$I51)+IF(OR($J51="B",$K51="B"),0,$N51)+IF(OR($O51="B",$P51="B"),0,$S51)+IF(OR($T51="B",$U51="B"),0,$X51)+IF(OR($Y51="B",$Z51="B"),0,$AC51)+IF(OR($AD51="B",$AE51="B"),0,$AH51)+IF(OR($AI51="B",$AJ51="B"),0,$AM51)+IF(OR($HP29="B",$AO51="B"),0,$AR51)+IF(OR($AS51="B",$AT51="B"),0,$AW51)+IF(OR($AX51="B",$AY51="B"),0,$BB51)+IF(OR($BC51="B",$BD51="B"),0,$BG51)+IF(OR($BH51="B",$BI51="B"),0,$BL51)+IF(OR($BM51="B",$BN51="B"),0,$BQ51)+IF(OR($BR51="B",$BS51="B"),0,$BV51)+IF(OR($BW51="B",$BX51="B"),0,$CA51)+IF(OR($CB51="B",$CC51="B"),0,$CF51)+IF(OR($CG51="B",$CH51="B"),0,$CK51)+IF(OR($CL51="B",$CM51="B"),0,$CP51)+IF(OR($CQ51="B",$CR51="B"),0,$CU51)+IF(OR($CV51="B",$CW51="B"),0,$CZ51)+IF(OR($DA51="B",$DB51="B"),0,$DE51)+IF(OR($DF51="B",$DG51="B"),0,$DJ51)+IF(OR($DK51="B",$DL51="B"),0,$DO51)+IF(OR($DP51="B",$DQ51="B"),0,$DT51)+IF(OR($DU51="B",$DV51="B"),0,$DY51)+IF(OR($DZ51="B",$EA51="B"),0,$ED51)+IF(OR($EE51="B",$EF51="B"),0,$EI51)</f>
        <v>21</v>
      </c>
      <c r="ES51" s="28">
        <f t="shared" si="34"/>
        <v>2.3333333333333335</v>
      </c>
      <c r="ET51" s="62">
        <f t="shared" si="35"/>
        <v>2.3333333333333335</v>
      </c>
      <c r="EU51" s="63"/>
      <c r="EV51" s="247">
        <f t="shared" si="36"/>
        <v>39</v>
      </c>
      <c r="EW51" s="249">
        <f t="shared" si="37"/>
        <v>39</v>
      </c>
      <c r="EX51" s="23">
        <f t="shared" si="38"/>
        <v>4.333333333333333</v>
      </c>
      <c r="EY51" s="74">
        <f t="shared" si="39"/>
        <v>4.333333333333333</v>
      </c>
      <c r="EZ51" s="63"/>
      <c r="FA51" s="336">
        <f t="shared" si="40"/>
        <v>8</v>
      </c>
      <c r="FB51" s="337">
        <f t="shared" si="41"/>
        <v>1</v>
      </c>
      <c r="FC51" s="333">
        <f t="shared" si="42"/>
        <v>8.3893450515002232</v>
      </c>
      <c r="FD51" s="420">
        <f t="shared" si="43"/>
        <v>0.93214945016669148</v>
      </c>
      <c r="FE51" s="433">
        <f t="shared" si="44"/>
        <v>5.7138887644922125</v>
      </c>
      <c r="FF51" s="213">
        <f t="shared" si="45"/>
        <v>0.63487652938802364</v>
      </c>
      <c r="FG51" s="15"/>
      <c r="FH51" s="37">
        <f t="shared" si="46"/>
        <v>25</v>
      </c>
    </row>
    <row r="52" spans="2:164" ht="17" customHeight="1" thickBot="1" x14ac:dyDescent="0.25">
      <c r="B52" s="258" t="s">
        <v>155</v>
      </c>
      <c r="C52" s="259" t="s">
        <v>156</v>
      </c>
      <c r="D52" s="299">
        <v>538019</v>
      </c>
      <c r="E52" s="300"/>
      <c r="F52" s="285"/>
      <c r="G52" s="285"/>
      <c r="H52" s="285"/>
      <c r="I52" s="285">
        <f t="shared" si="0"/>
        <v>0</v>
      </c>
      <c r="J52" s="301"/>
      <c r="K52" s="302"/>
      <c r="L52" s="301"/>
      <c r="M52" s="301"/>
      <c r="N52" s="285">
        <f t="shared" si="1"/>
        <v>0</v>
      </c>
      <c r="O52" s="303"/>
      <c r="P52" s="302"/>
      <c r="Q52" s="301"/>
      <c r="R52" s="301"/>
      <c r="S52" s="285">
        <f t="shared" si="2"/>
        <v>0</v>
      </c>
      <c r="T52" s="303">
        <v>6</v>
      </c>
      <c r="U52" s="302"/>
      <c r="V52" s="253">
        <v>0.77083333333333337</v>
      </c>
      <c r="W52" s="253">
        <v>0.89583333333333337</v>
      </c>
      <c r="X52" s="285">
        <f t="shared" si="3"/>
        <v>6</v>
      </c>
      <c r="Y52" s="303"/>
      <c r="Z52" s="287"/>
      <c r="AA52" s="301"/>
      <c r="AB52" s="301"/>
      <c r="AC52" s="285">
        <f t="shared" si="4"/>
        <v>0</v>
      </c>
      <c r="AD52" s="303"/>
      <c r="AE52" s="43" t="s">
        <v>7</v>
      </c>
      <c r="AF52" s="253">
        <v>0.83333333333333337</v>
      </c>
      <c r="AG52" s="253">
        <v>0.83333333333333337</v>
      </c>
      <c r="AH52" s="285">
        <f t="shared" si="5"/>
        <v>4</v>
      </c>
      <c r="AI52" s="260"/>
      <c r="AJ52" s="257"/>
      <c r="AK52" s="260"/>
      <c r="AL52" s="301"/>
      <c r="AM52" s="285">
        <f t="shared" si="6"/>
        <v>0</v>
      </c>
      <c r="AN52" s="260"/>
      <c r="AO52" s="257">
        <v>2</v>
      </c>
      <c r="AP52" s="253">
        <v>0.9375</v>
      </c>
      <c r="AQ52" s="253">
        <v>0.97916666666666663</v>
      </c>
      <c r="AR52" s="285">
        <f t="shared" si="7"/>
        <v>2</v>
      </c>
      <c r="AS52" s="260"/>
      <c r="AT52" s="257"/>
      <c r="AU52" s="301"/>
      <c r="AV52" s="301"/>
      <c r="AW52" s="285">
        <f t="shared" si="8"/>
        <v>0</v>
      </c>
      <c r="AX52" s="260"/>
      <c r="AY52" s="257"/>
      <c r="AZ52" s="301"/>
      <c r="BA52" s="301"/>
      <c r="BB52" s="285">
        <f t="shared" si="9"/>
        <v>0</v>
      </c>
      <c r="BC52" s="260"/>
      <c r="BD52" s="257"/>
      <c r="BE52" s="287"/>
      <c r="BF52" s="301"/>
      <c r="BG52" s="285">
        <f t="shared" si="10"/>
        <v>0</v>
      </c>
      <c r="BH52" s="298"/>
      <c r="BI52" s="257"/>
      <c r="BJ52" s="287"/>
      <c r="BK52" s="301"/>
      <c r="BL52" s="285">
        <f t="shared" si="11"/>
        <v>0</v>
      </c>
      <c r="BM52" s="305"/>
      <c r="BN52" s="257"/>
      <c r="BO52" s="287"/>
      <c r="BP52" s="301"/>
      <c r="BQ52" s="285">
        <f t="shared" si="12"/>
        <v>0</v>
      </c>
      <c r="BR52" s="298"/>
      <c r="BS52" s="257"/>
      <c r="BT52" s="287"/>
      <c r="BU52" s="301"/>
      <c r="BV52" s="285">
        <f t="shared" si="13"/>
        <v>0</v>
      </c>
      <c r="BW52" s="298"/>
      <c r="BX52" s="257">
        <v>2</v>
      </c>
      <c r="BY52" s="492">
        <v>0.95</v>
      </c>
      <c r="BZ52" s="253">
        <v>0.98333333333333328</v>
      </c>
      <c r="CA52" s="285">
        <f t="shared" si="14"/>
        <v>2</v>
      </c>
      <c r="CB52" s="298"/>
      <c r="CC52" s="257"/>
      <c r="CD52" s="287"/>
      <c r="CE52" s="301"/>
      <c r="CF52" s="285">
        <f t="shared" si="15"/>
        <v>0</v>
      </c>
      <c r="CG52" s="298"/>
      <c r="CH52" s="257"/>
      <c r="CI52" s="287"/>
      <c r="CJ52" s="301"/>
      <c r="CK52" s="285">
        <f t="shared" si="48"/>
        <v>0</v>
      </c>
      <c r="CL52" s="298"/>
      <c r="CM52" s="257"/>
      <c r="CN52" s="287"/>
      <c r="CO52" s="301"/>
      <c r="CP52" s="285">
        <f t="shared" si="17"/>
        <v>0</v>
      </c>
      <c r="CQ52" s="298"/>
      <c r="CR52" s="257"/>
      <c r="CS52" s="287"/>
      <c r="CT52" s="301"/>
      <c r="CU52" s="285">
        <f t="shared" si="18"/>
        <v>0</v>
      </c>
      <c r="CV52" s="298"/>
      <c r="CW52" s="257"/>
      <c r="CX52" s="287"/>
      <c r="CY52" s="301"/>
      <c r="CZ52" s="285">
        <f t="shared" si="19"/>
        <v>0</v>
      </c>
      <c r="DA52" s="298"/>
      <c r="DB52" s="257"/>
      <c r="DC52" s="287"/>
      <c r="DD52" s="287"/>
      <c r="DE52" s="285">
        <f t="shared" si="20"/>
        <v>0</v>
      </c>
      <c r="DF52" s="298"/>
      <c r="DG52" s="257"/>
      <c r="DH52" s="287"/>
      <c r="DI52" s="301"/>
      <c r="DJ52" s="285">
        <f t="shared" si="21"/>
        <v>0</v>
      </c>
      <c r="DK52" s="298"/>
      <c r="DL52" s="257"/>
      <c r="DM52" s="287"/>
      <c r="DN52" s="301"/>
      <c r="DO52" s="285">
        <f t="shared" si="22"/>
        <v>0</v>
      </c>
      <c r="DP52" s="298"/>
      <c r="DQ52" s="257"/>
      <c r="DR52" s="287"/>
      <c r="DS52" s="301"/>
      <c r="DT52" s="285">
        <f t="shared" si="23"/>
        <v>0</v>
      </c>
      <c r="DU52" s="298"/>
      <c r="DV52" s="257"/>
      <c r="DW52" s="287"/>
      <c r="DX52" s="301"/>
      <c r="DY52" s="285">
        <f t="shared" si="24"/>
        <v>0</v>
      </c>
      <c r="DZ52" s="475"/>
      <c r="EA52" s="456"/>
      <c r="EB52" s="43"/>
      <c r="EC52" s="191"/>
      <c r="ED52" s="285">
        <f t="shared" si="25"/>
        <v>0</v>
      </c>
      <c r="EE52" s="475"/>
      <c r="EF52" s="456"/>
      <c r="EG52" s="43"/>
      <c r="EH52" s="191"/>
      <c r="EI52" s="285">
        <f t="shared" si="26"/>
        <v>0</v>
      </c>
      <c r="EJ52" s="467">
        <f t="shared" si="27"/>
        <v>4</v>
      </c>
      <c r="EK52" s="522">
        <f t="shared" si="28"/>
        <v>1</v>
      </c>
      <c r="EL52" s="267">
        <f t="shared" si="29"/>
        <v>4</v>
      </c>
      <c r="EM52" s="267">
        <f t="shared" si="30"/>
        <v>1</v>
      </c>
      <c r="EN52" s="516">
        <f t="shared" si="31"/>
        <v>0</v>
      </c>
      <c r="EO52" s="273">
        <f t="shared" si="32"/>
        <v>1</v>
      </c>
      <c r="EP52" s="15"/>
      <c r="EQ52" s="61">
        <f t="shared" si="33"/>
        <v>14</v>
      </c>
      <c r="ER52" s="187">
        <f>IF(OR($E52="B",$F52="B"),0,$I52)+IF(OR($J52="B",$K52="B"),0,$N52)+IF(OR($O52="B",$P52="B"),0,$S52)+IF(OR($T52="B",$U52="B"),0,$X52)+IF(OR($Y52="B",$Z52="B"),0,$AC52)+IF(OR($AD52="B",$AE52="B"),0,$AH52)+IF(OR($AI52="B",$AJ52="B"),0,$AM52)+IF(OR($HP31="B",$AO52="B"),0,$AR52)+IF(OR($AS52="B",$AT52="B"),0,$AW52)+IF(OR($AX52="B",$AY52="B"),0,$BB52)+IF(OR($BC52="B",$BD52="B"),0,$BG52)+IF(OR($BH52="B",$BI52="B"),0,$BL52)+IF(OR($BM52="B",$BN52="B"),0,$BQ52)+IF(OR($BR52="B",$BS52="B"),0,$BV52)+IF(OR($BW52="B",$BX52="B"),0,$CA52)+IF(OR($CB52="B",$CC52="B"),0,$CF52)+IF(OR($CG52="B",$CH52="B"),0,$CK52)+IF(OR($CL52="B",$CM52="B"),0,$CP52)+IF(OR($CQ52="B",$CR52="B"),0,$CU52)+IF(OR($CV52="B",$CW52="B"),0,$CZ52)+IF(OR($DA52="B",$DB52="B"),0,$DE52)+IF(OR($DF52="B",$DG52="B"),0,$DJ52)+IF(OR($DK52="B",$DL52="B"),0,$DO52)+IF(OR($DP52="B",$DQ52="B"),0,$DT52)+IF(OR($DU52="B",$DV52="B"),0,$DY52)+IF(OR($DZ52="B",$EA52="B"),0,$ED52)+IF(OR($EE52="B",$EF52="B"),0,$EI52)</f>
        <v>14</v>
      </c>
      <c r="ES52" s="28">
        <f t="shared" si="34"/>
        <v>3.5</v>
      </c>
      <c r="ET52" s="62">
        <f t="shared" si="35"/>
        <v>3.5</v>
      </c>
      <c r="EU52" s="63"/>
      <c r="EV52" s="247">
        <f t="shared" si="36"/>
        <v>37</v>
      </c>
      <c r="EW52" s="249">
        <f t="shared" si="37"/>
        <v>37</v>
      </c>
      <c r="EX52" s="23">
        <f t="shared" si="38"/>
        <v>9.25</v>
      </c>
      <c r="EY52" s="74">
        <f t="shared" si="39"/>
        <v>9.25</v>
      </c>
      <c r="EZ52" s="63"/>
      <c r="FA52" s="336">
        <f t="shared" si="40"/>
        <v>3</v>
      </c>
      <c r="FB52" s="337">
        <f t="shared" si="41"/>
        <v>1</v>
      </c>
      <c r="FC52" s="333">
        <f t="shared" si="42"/>
        <v>3.4916666666666671</v>
      </c>
      <c r="FD52" s="420">
        <f t="shared" si="43"/>
        <v>0.87291666666666679</v>
      </c>
      <c r="FE52" s="433">
        <f t="shared" si="44"/>
        <v>3.6916666666666669</v>
      </c>
      <c r="FF52" s="213">
        <f t="shared" si="45"/>
        <v>0.92291666666666672</v>
      </c>
      <c r="FG52" s="15"/>
      <c r="FH52" s="37">
        <f t="shared" si="46"/>
        <v>26</v>
      </c>
    </row>
    <row r="53" spans="2:164" ht="17" customHeight="1" thickBot="1" x14ac:dyDescent="0.25">
      <c r="B53" s="459" t="s">
        <v>248</v>
      </c>
      <c r="C53" s="460" t="s">
        <v>249</v>
      </c>
      <c r="D53" s="299"/>
      <c r="E53" s="300"/>
      <c r="F53" s="285"/>
      <c r="G53" s="285"/>
      <c r="H53" s="285"/>
      <c r="I53" s="285"/>
      <c r="J53" s="301"/>
      <c r="K53" s="302"/>
      <c r="L53" s="301"/>
      <c r="M53" s="301"/>
      <c r="N53" s="285"/>
      <c r="O53" s="303"/>
      <c r="P53" s="302"/>
      <c r="Q53" s="301"/>
      <c r="R53" s="301"/>
      <c r="S53" s="285"/>
      <c r="T53" s="303"/>
      <c r="U53" s="302"/>
      <c r="V53" s="301"/>
      <c r="W53" s="301"/>
      <c r="X53" s="285"/>
      <c r="Y53" s="303"/>
      <c r="Z53" s="287"/>
      <c r="AA53" s="253"/>
      <c r="AB53" s="253"/>
      <c r="AC53" s="285"/>
      <c r="AD53" s="303"/>
      <c r="AE53" s="287"/>
      <c r="AF53" s="301"/>
      <c r="AG53" s="301"/>
      <c r="AH53" s="285"/>
      <c r="AI53" s="260"/>
      <c r="AJ53" s="257"/>
      <c r="AK53" s="260"/>
      <c r="AL53" s="301"/>
      <c r="AM53" s="285"/>
      <c r="AN53" s="260"/>
      <c r="AO53" s="257"/>
      <c r="AP53" s="301"/>
      <c r="AQ53" s="301"/>
      <c r="AR53" s="285"/>
      <c r="AS53" s="260"/>
      <c r="AT53" s="257"/>
      <c r="AU53" s="301"/>
      <c r="AV53" s="301"/>
      <c r="AW53" s="285"/>
      <c r="AX53" s="260"/>
      <c r="AY53" s="257"/>
      <c r="AZ53" s="301"/>
      <c r="BA53" s="301"/>
      <c r="BB53" s="285"/>
      <c r="BC53" s="260"/>
      <c r="BD53" s="257"/>
      <c r="BE53" s="304"/>
      <c r="BF53" s="253"/>
      <c r="BG53" s="285"/>
      <c r="BH53" s="298"/>
      <c r="BI53" s="257"/>
      <c r="BJ53" s="287"/>
      <c r="BK53" s="301"/>
      <c r="BL53" s="285"/>
      <c r="BM53" s="305"/>
      <c r="BN53" s="257"/>
      <c r="BO53" s="287"/>
      <c r="BP53" s="301"/>
      <c r="BQ53" s="285"/>
      <c r="BR53" s="298"/>
      <c r="BS53" s="257"/>
      <c r="BT53" s="287"/>
      <c r="BU53" s="301"/>
      <c r="BV53" s="285"/>
      <c r="BW53" s="298"/>
      <c r="BX53" s="257"/>
      <c r="BY53" s="494"/>
      <c r="BZ53" s="253"/>
      <c r="CA53" s="285"/>
      <c r="CB53" s="298"/>
      <c r="CC53" s="257"/>
      <c r="CD53" s="287"/>
      <c r="CE53" s="301"/>
      <c r="CF53" s="285"/>
      <c r="CG53" s="298"/>
      <c r="CH53" s="257"/>
      <c r="CI53" s="287"/>
      <c r="CJ53" s="301"/>
      <c r="CK53" s="285"/>
      <c r="CL53" s="298"/>
      <c r="CM53" s="257"/>
      <c r="CN53" s="287"/>
      <c r="CO53" s="301"/>
      <c r="CP53" s="285"/>
      <c r="CQ53" s="298"/>
      <c r="CR53" s="257"/>
      <c r="CS53" s="287"/>
      <c r="CT53" s="301"/>
      <c r="CU53" s="285"/>
      <c r="CV53" s="298"/>
      <c r="CW53" s="456" t="s">
        <v>7</v>
      </c>
      <c r="CX53" s="304">
        <v>0.89393939393939392</v>
      </c>
      <c r="CY53" s="253">
        <v>0.89393939393939392</v>
      </c>
      <c r="CZ53" s="285">
        <f t="shared" si="19"/>
        <v>4</v>
      </c>
      <c r="DA53" s="298"/>
      <c r="DB53" s="257"/>
      <c r="DC53" s="287"/>
      <c r="DD53" s="301"/>
      <c r="DE53" s="285">
        <f t="shared" si="20"/>
        <v>0</v>
      </c>
      <c r="DF53" s="298"/>
      <c r="DG53" s="257"/>
      <c r="DH53" s="287"/>
      <c r="DI53" s="301"/>
      <c r="DJ53" s="285">
        <f t="shared" si="21"/>
        <v>0</v>
      </c>
      <c r="DK53" s="298"/>
      <c r="DL53" s="257"/>
      <c r="DM53" s="287"/>
      <c r="DN53" s="301"/>
      <c r="DO53" s="285">
        <f t="shared" si="22"/>
        <v>0</v>
      </c>
      <c r="DP53" s="298">
        <v>5</v>
      </c>
      <c r="DQ53" s="257"/>
      <c r="DR53" s="304">
        <v>0.15517241379310343</v>
      </c>
      <c r="DS53" s="253">
        <v>8.6206896551724088E-2</v>
      </c>
      <c r="DT53" s="285">
        <f t="shared" si="23"/>
        <v>5</v>
      </c>
      <c r="DU53" s="298"/>
      <c r="DV53" s="257"/>
      <c r="DW53" s="287"/>
      <c r="DX53" s="301"/>
      <c r="DY53" s="285">
        <f t="shared" si="24"/>
        <v>0</v>
      </c>
      <c r="DZ53" s="475">
        <v>8</v>
      </c>
      <c r="EA53" s="456"/>
      <c r="EB53" s="461">
        <v>0.16666666666666663</v>
      </c>
      <c r="EC53" s="463">
        <v>0.18888888888888888</v>
      </c>
      <c r="ED53" s="285">
        <f t="shared" si="25"/>
        <v>8</v>
      </c>
      <c r="EE53" s="475"/>
      <c r="EF53" s="456"/>
      <c r="EG53" s="461"/>
      <c r="EH53" s="463"/>
      <c r="EI53" s="285">
        <f t="shared" si="26"/>
        <v>0</v>
      </c>
      <c r="EJ53" s="467">
        <f t="shared" si="27"/>
        <v>3</v>
      </c>
      <c r="EK53" s="522">
        <f t="shared" si="28"/>
        <v>3</v>
      </c>
      <c r="EL53" s="267">
        <f t="shared" si="29"/>
        <v>3</v>
      </c>
      <c r="EM53" s="267">
        <f t="shared" si="30"/>
        <v>1</v>
      </c>
      <c r="EN53" s="516">
        <f t="shared" si="31"/>
        <v>1</v>
      </c>
      <c r="EO53" s="273">
        <f t="shared" si="32"/>
        <v>2</v>
      </c>
      <c r="EP53" s="15"/>
      <c r="EQ53" s="61">
        <f t="shared" si="33"/>
        <v>17</v>
      </c>
      <c r="ER53" s="187">
        <f>IF(OR($E53="B",$F53="B"),0,$I53)+IF(OR($J53="B",$K53="B"),0,$N53)+IF(OR($O53="B",$P53="B"),0,$S53)+IF(OR($T53="B",$U53="B"),0,$X53)+IF(OR($Y53="B",$Z53="B"),0,$AC53)+IF(OR($AD53="B",$AE53="B"),0,$AH53)+IF(OR($AI53="B",$AJ53="B"),0,$AM53)+IF(OR($HP31="B",$AO53="B"),0,$AR53)+IF(OR($AS53="B",$AT53="B"),0,$AW53)+IF(OR($AX53="B",$AY53="B"),0,$BB53)+IF(OR($BC53="B",$BD53="B"),0,$BG53)+IF(OR($BH53="B",$BI53="B"),0,$BL53)+IF(OR($BM53="B",$BN53="B"),0,$BQ53)+IF(OR($BR53="B",$BS53="B"),0,$BV53)+IF(OR($BW53="B",$BX53="B"),0,$CA53)+IF(OR($CB53="B",$CC53="B"),0,$CF53)+IF(OR($CG53="B",$CH53="B"),0,$CK53)+IF(OR($CL53="B",$CM53="B"),0,$CP53)+IF(OR($CQ53="B",$CR53="B"),0,$CU53)+IF(OR($CV53="B",$CW53="B"),0,$CZ53)+IF(OR($DA53="B",$DB53="B"),0,$DE53)+IF(OR($DF53="B",$DG53="B"),0,$DJ53)+IF(OR($DK53="B",$DL53="B"),0,$DO53)+IF(OR($DP53="B",$DQ53="B"),0,$DT53)+IF(OR($DU53="B",$DV53="B"),0,$DY53)+IF(OR($DZ53="B",$EA53="B"),0,$ED53)+IF(OR($EE53="B",$EF53="B"),0,$EI53)</f>
        <v>17</v>
      </c>
      <c r="ES53" s="28">
        <f t="shared" si="34"/>
        <v>5.666666666666667</v>
      </c>
      <c r="ET53" s="62">
        <f t="shared" si="35"/>
        <v>5.666666666666667</v>
      </c>
      <c r="EU53" s="63"/>
      <c r="EV53" s="247">
        <f t="shared" si="36"/>
        <v>41</v>
      </c>
      <c r="EW53" s="249">
        <f t="shared" si="37"/>
        <v>41</v>
      </c>
      <c r="EX53" s="23">
        <f t="shared" si="38"/>
        <v>13.666666666666666</v>
      </c>
      <c r="EY53" s="74">
        <f t="shared" si="39"/>
        <v>13.666666666666666</v>
      </c>
      <c r="EZ53" s="63"/>
      <c r="FA53" s="336">
        <f t="shared" si="40"/>
        <v>2</v>
      </c>
      <c r="FB53" s="337">
        <f t="shared" si="41"/>
        <v>1</v>
      </c>
      <c r="FC53" s="333">
        <f t="shared" si="42"/>
        <v>1.2157784743991638</v>
      </c>
      <c r="FD53" s="420">
        <f t="shared" si="43"/>
        <v>0.4052594914663879</v>
      </c>
      <c r="FE53" s="433">
        <f t="shared" si="44"/>
        <v>1.1690351793800069</v>
      </c>
      <c r="FF53" s="213">
        <f t="shared" si="45"/>
        <v>0.38967839312666896</v>
      </c>
      <c r="FG53" s="15"/>
      <c r="FH53" s="37">
        <f t="shared" si="46"/>
        <v>27</v>
      </c>
    </row>
    <row r="54" spans="2:164" ht="17" customHeight="1" thickBot="1" x14ac:dyDescent="0.25">
      <c r="B54" s="258" t="s">
        <v>60</v>
      </c>
      <c r="C54" s="259" t="s">
        <v>61</v>
      </c>
      <c r="D54" s="139">
        <v>527355</v>
      </c>
      <c r="E54" s="240"/>
      <c r="F54" s="241">
        <v>2</v>
      </c>
      <c r="G54" s="396">
        <v>0.9285714285714286</v>
      </c>
      <c r="H54" s="396">
        <v>0.88095238095238093</v>
      </c>
      <c r="I54" s="285">
        <f t="shared" ref="I54:I73" si="49">SUM(E54:F54)+IF(E54="B",1,0)*E$102+IF(F54="B",1,0)*F$102+IF(E54="Løype",1)*$O$4+IF(F54="Løype",1)*$O$4+IF(E54="Arr",1)*$O$5+IF(F54="Arr",1)*$O$5</f>
        <v>2</v>
      </c>
      <c r="J54" s="141"/>
      <c r="K54" s="242"/>
      <c r="L54" s="141"/>
      <c r="M54" s="141"/>
      <c r="N54" s="285">
        <f t="shared" ref="N54:N73" si="50">SUM(J54:K54)+IF(J54="B",1,0)*J$102+IF(K54="B",1,0)*K$102+IF(J54="Løype",1)*$O$4+IF(K54="Løype",1)*$O$4+IF(J54="Arr",1)*$O$5+IF(K54="Arr",1)*$O$5</f>
        <v>0</v>
      </c>
      <c r="O54" s="243"/>
      <c r="P54" s="242"/>
      <c r="Q54" s="141"/>
      <c r="R54" s="141"/>
      <c r="S54" s="285">
        <f t="shared" ref="S54:S73" si="51">SUM(O54:P54)+IF(O54="B",1,0)*O$102+IF(P54="B",1,0)*P$102+IF(O54="Løype",1)*$O$4+IF(P54="Løype",1)*$O$4+IF(O54="Arr",1)*$O$5+IF(P54="Arr",1)*$O$5</f>
        <v>0</v>
      </c>
      <c r="T54" s="243"/>
      <c r="U54" s="242"/>
      <c r="V54" s="141"/>
      <c r="W54" s="141"/>
      <c r="X54" s="285">
        <f t="shared" ref="X54:X73" si="52">SUM(T54:U54)+IF(T54="B",1,0)*T$102+IF(U54="B",1,0)*U$102+IF(T54="Løype",1)*$O$4+IF(U54="Løype",1)*$O$4+IF(T54="Arr",1)*$O$5+IF(U54="Arr",1)*$O$5</f>
        <v>0</v>
      </c>
      <c r="Y54" s="166"/>
      <c r="Z54" s="246" t="s">
        <v>62</v>
      </c>
      <c r="AA54" s="261">
        <v>0.9838709677419355</v>
      </c>
      <c r="AB54" s="261">
        <v>0.9838709677419355</v>
      </c>
      <c r="AC54" s="285">
        <f t="shared" ref="AC54:AC73" si="53">SUM(Y54:Z54)+IF(Y54="B",1,0)*Y$102+IF(Z54="B",1,0)*Z$102+IF(Y54="Løype",1)*$O$4+IF(Z54="Løype",1)*$O$4+IF(Y54="Arr",1)*$O$5+IF(Z54="Arr",1)*$O$5</f>
        <v>1</v>
      </c>
      <c r="AD54" s="166"/>
      <c r="AE54" s="41"/>
      <c r="AF54" s="251"/>
      <c r="AG54" s="251"/>
      <c r="AH54" s="285">
        <f t="shared" ref="AH54:AH73" si="54">SUM(AD54:AE54)+IF(AD54="B",1,0)*AD$102+IF(AE54="B",1,0)*AE$102+IF(AD54="Løype",1)*$O$4+IF(AE54="Løype",1)*$O$4+IF(AD54="Arr",1)*$O$5+IF(AE54="Arr",1)*$O$5</f>
        <v>0</v>
      </c>
      <c r="AI54" s="532"/>
      <c r="AJ54" s="85"/>
      <c r="AK54" s="532"/>
      <c r="AL54" s="83"/>
      <c r="AM54" s="285">
        <f t="shared" ref="AM54:AM73" si="55">SUM(AI54:AJ54)+IF(AI54="B",1,0)*AI$102+IF(AJ54="B",1,0)*AJ$102+IF(AI54="Løype",1)*$O$4+IF(AJ54="Løype",1)*$O$4+IF(AI54="Arr",1)*$O$5+IF(AJ54="Arr",1)*$O$5</f>
        <v>0</v>
      </c>
      <c r="AN54" s="532"/>
      <c r="AO54" s="85"/>
      <c r="AP54" s="251"/>
      <c r="AQ54" s="251"/>
      <c r="AR54" s="285">
        <f t="shared" ref="AR54:AR73" si="56">SUM(AN54:AO54)+IF(AN54="B",1,0)*AN$102+IF(AO54="B",1,0)*AO$102+IF(AN54="Løype",1)*$O$4+IF(AO54="Løype",1)*$O$4+IF(AN54="Arr",1)*$O$5+IF(AO54="Arr",1)*$O$5</f>
        <v>0</v>
      </c>
      <c r="AS54" s="532"/>
      <c r="AT54" s="85"/>
      <c r="AU54" s="83"/>
      <c r="AV54" s="83"/>
      <c r="AW54" s="285">
        <f t="shared" ref="AW54:AW73" si="57">SUM(AS54:AT54)+IF(AS54="B",1,0)*AS$102+IF(AT54="B",1,0)*AT$102+IF(AS54="Løype",1)*$O$4+IF(AT54="Løype",1)*$O$4+IF(AS54="Arr",1)*$O$5+IF(AT54="Arr",1)*$O$5</f>
        <v>0</v>
      </c>
      <c r="AX54" s="532"/>
      <c r="AY54" s="85"/>
      <c r="AZ54" s="251"/>
      <c r="BA54" s="251"/>
      <c r="BB54" s="285">
        <f t="shared" ref="BB54:BB73" si="58">SUM(AX54:AY54)+IF(AX54="B",1,0)*AX$102+IF(AY54="B",1,0)*AY$102+IF(AX54="Løype",1)*$O$4+IF(AY54="Løype",1)*$O$4+IF(AX54="Arr",1)*$O$5+IF(AY54="Arr",1)*$O$5</f>
        <v>0</v>
      </c>
      <c r="BC54" s="532"/>
      <c r="BD54" s="85"/>
      <c r="BE54" s="41"/>
      <c r="BF54" s="83"/>
      <c r="BG54" s="285">
        <f t="shared" ref="BG54:BG73" si="59">SUM(BC54:BD54)+IF(BC54="B",1,0)*BC$102+IF(BD54="B",1,0)*BD$102+IF(BC54="Løype",1)*$O$4+IF(BD54="Løype",1)*$O$4+IF(BC54="Arr",1)*$O$5+IF(BD54="Arr",1)*$O$5</f>
        <v>0</v>
      </c>
      <c r="BH54" s="252"/>
      <c r="BI54" s="85"/>
      <c r="BJ54" s="41"/>
      <c r="BK54" s="83"/>
      <c r="BL54" s="285">
        <f t="shared" ref="BL54:BL73" si="60">SUM(BH54:BI54)+IF(BH54="B",1,0)*BH$102+IF(BI54="B",1,0)*BI$102+IF(BH54="Løype",1)*$O$4+IF(BI54="Løype",1)*$O$4+IF(BH54="Arr",1)*$O$5+IF(BI54="Arr",1)*$O$5</f>
        <v>0</v>
      </c>
      <c r="BM54" s="547"/>
      <c r="BN54" s="85"/>
      <c r="BO54" s="41"/>
      <c r="BP54" s="83"/>
      <c r="BQ54" s="285">
        <f t="shared" ref="BQ54:BQ73" si="61">SUM(BM54:BN54)+IF(BM54="B",1,0)*BM$102+IF(BN54="B",1,0)*BN$102+IF(BM54="Løype",1)*$O$4+IF(BN54="Løype",1)*$O$4+IF(BM54="Arr",1)*$O$5+IF(BN54="Arr",1)*$O$5</f>
        <v>0</v>
      </c>
      <c r="BR54" s="252"/>
      <c r="BS54" s="85"/>
      <c r="BT54" s="41"/>
      <c r="BU54" s="83"/>
      <c r="BV54" s="285">
        <f t="shared" ref="BV54:BV73" si="62">SUM(BR54:BS54)+IF(BR54="B",1,0)*BR$102+IF(BS54="B",1,0)*BS$102+IF(BR54="Løype",1)*$O$4+IF(BS54="Løype",1)*$O$4+IF(BR54="Arr",1)*$O$5+IF(BS54="Arr",1)*$O$5</f>
        <v>0</v>
      </c>
      <c r="BW54" s="252"/>
      <c r="BX54" s="85"/>
      <c r="BY54" s="85"/>
      <c r="BZ54" s="83"/>
      <c r="CA54" s="285">
        <f t="shared" ref="CA54:CA73" si="63">SUM(BW54:BX54)+IF(BW54="B",1,0)*BW$102+IF(BX54="B",1,0)*BX$102+IF(BW54="Løype",1)*$O$4+IF(BX54="Løype",1)*$O$4+IF(BW54="Arr",1)*$O$5+IF(BX54="Arr",1)*$O$5</f>
        <v>0</v>
      </c>
      <c r="CB54" s="252"/>
      <c r="CC54" s="85"/>
      <c r="CD54" s="41"/>
      <c r="CE54" s="83"/>
      <c r="CF54" s="285">
        <f t="shared" ref="CF54:CF73" si="64">SUM(CB54:CC54)+IF(CB54="B",1,0)*CB$102+IF(CC54="B",1,0)*CC$102+IF(CB54="Løype",1)*$O$4+IF(CC54="Løype",1)*$O$4+IF(CB54="Arr",1)*$O$5+IF(CC54="Arr",1)*$O$5</f>
        <v>0</v>
      </c>
      <c r="CG54" s="252"/>
      <c r="CH54" s="85"/>
      <c r="CI54" s="41"/>
      <c r="CJ54" s="83"/>
      <c r="CK54" s="285">
        <f t="shared" ref="CK54:CK73" si="65">SUM(CG54:CH54)+IF(CG54="B",1,0)*CG$102+IF(CH54="B",1,0)*CH$102+IF(CG54="Løype",1)*$O$4+IF(CH54="Løype",1)*$O$4+IF(CG54="Arr",1)*$O$5+IF(CH54="Arr",1)*$O$5</f>
        <v>0</v>
      </c>
      <c r="CL54" s="252"/>
      <c r="CM54" s="85"/>
      <c r="CN54" s="41"/>
      <c r="CO54" s="83"/>
      <c r="CP54" s="285">
        <f t="shared" ref="CP54:CP73" si="66">SUM(CL54:CM54)+IF(CL54="B",1,0)*CL$102+IF(CM54="B",1,0)*CM$102+IF(CL54="Løype",1)*$O$4+IF(CM54="Løype",1)*$O$4+IF(CL54="Arr",1)*$O$5+IF(CM54="Arr",1)*$O$5</f>
        <v>0</v>
      </c>
      <c r="CQ54" s="252"/>
      <c r="CR54" s="85"/>
      <c r="CS54" s="41"/>
      <c r="CT54" s="83"/>
      <c r="CU54" s="285">
        <f t="shared" ref="CU54:CU73" si="67">SUM(CQ54:CR54)+IF(CQ54="B",1,0)*CQ$102+IF(CR54="B",1,0)*CR$102+IF(CQ54="Løype",1)*$O$4+IF(CR54="Løype",1)*$O$4+IF(CQ54="Arr",1)*$O$5+IF(CR54="Arr",1)*$O$5</f>
        <v>0</v>
      </c>
      <c r="CV54" s="252"/>
      <c r="CW54" s="85"/>
      <c r="CX54" s="462"/>
      <c r="CY54" s="83"/>
      <c r="CZ54" s="285">
        <f t="shared" si="19"/>
        <v>0</v>
      </c>
      <c r="DA54" s="252"/>
      <c r="DB54" s="85"/>
      <c r="DC54" s="462"/>
      <c r="DD54" s="4"/>
      <c r="DE54" s="285">
        <f t="shared" si="20"/>
        <v>0</v>
      </c>
      <c r="DF54" s="252"/>
      <c r="DG54" s="85"/>
      <c r="DH54" s="462"/>
      <c r="DI54" s="83"/>
      <c r="DJ54" s="285">
        <f t="shared" si="21"/>
        <v>0</v>
      </c>
      <c r="DK54" s="252"/>
      <c r="DL54" s="85"/>
      <c r="DM54" s="457"/>
      <c r="DN54" s="83"/>
      <c r="DO54" s="285">
        <f t="shared" si="22"/>
        <v>0</v>
      </c>
      <c r="DP54" s="298"/>
      <c r="DQ54" s="257"/>
      <c r="DR54" s="287"/>
      <c r="DS54" s="301"/>
      <c r="DT54" s="285">
        <f t="shared" si="23"/>
        <v>0</v>
      </c>
      <c r="DU54" s="252"/>
      <c r="DV54" s="85"/>
      <c r="DW54" s="41"/>
      <c r="DX54" s="83"/>
      <c r="DY54" s="285">
        <f t="shared" si="24"/>
        <v>0</v>
      </c>
      <c r="DZ54" s="475"/>
      <c r="EA54" s="456"/>
      <c r="EB54" s="43"/>
      <c r="EC54" s="191"/>
      <c r="ED54" s="285">
        <f t="shared" si="25"/>
        <v>0</v>
      </c>
      <c r="EE54" s="475"/>
      <c r="EF54" s="456"/>
      <c r="EG54" s="43"/>
      <c r="EH54" s="191"/>
      <c r="EI54" s="285">
        <f t="shared" si="26"/>
        <v>0</v>
      </c>
      <c r="EJ54" s="467">
        <f t="shared" si="27"/>
        <v>2</v>
      </c>
      <c r="EK54" s="522">
        <f t="shared" si="28"/>
        <v>0</v>
      </c>
      <c r="EL54" s="267">
        <f t="shared" si="29"/>
        <v>2</v>
      </c>
      <c r="EM54" s="267">
        <f t="shared" si="30"/>
        <v>1</v>
      </c>
      <c r="EN54" s="516">
        <f t="shared" si="31"/>
        <v>0</v>
      </c>
      <c r="EO54" s="273">
        <f t="shared" si="32"/>
        <v>0</v>
      </c>
      <c r="EP54" s="39"/>
      <c r="EQ54" s="61">
        <f t="shared" si="33"/>
        <v>3</v>
      </c>
      <c r="ER54" s="187">
        <f>IF(OR($E54="B",$F54="B"),0,$I54)+IF(OR($J54="B",$K54="B"),0,$N54)+IF(OR($O54="B",$P54="B"),0,$S54)+IF(OR($T54="B",$U54="B"),0,$X54)+IF(OR($Y54="B",$Z54="B"),0,$AC54)+IF(OR($AD54="B",$AE54="B"),0,$AH54)+IF(OR($AI54="B",$AJ54="B"),0,$AM54)+IF(OR($HP33="B",$AO54="B"),0,$AR54)+IF(OR($AS54="B",$AT54="B"),0,$AW54)+IF(OR($AX54="B",$AY54="B"),0,$BB54)+IF(OR($BC54="B",$BD54="B"),0,$BG54)+IF(OR($BH54="B",$BI54="B"),0,$BL54)+IF(OR($BM54="B",$BN54="B"),0,$BQ54)+IF(OR($BR54="B",$BS54="B"),0,$BV54)+IF(OR($BW54="B",$BX54="B"),0,$CA54)+IF(OR($CB54="B",$CC54="B"),0,$CF54)+IF(OR($CG54="B",$CH54="B"),0,$CK54)+IF(OR($CL54="B",$CM54="B"),0,$CP54)+IF(OR($CQ54="B",$CR54="B"),0,$CU54)+IF(OR($CV54="B",$CW54="B"),0,$CZ54)+IF(OR($DA54="B",$DB54="B"),0,$DE54)+IF(OR($DF54="B",$DG54="B"),0,$DJ54)+IF(OR($DK54="B",$DL54="B"),0,$DO54)+IF(OR($DP54="B",$DQ54="B"),0,$DT54)+IF(OR($DU54="B",$DV54="B"),0,$DY54)+IF(OR($DZ54="B",$EA54="B"),0,$ED54)+IF(OR($EE54="B",$EF54="B"),0,$EI54)</f>
        <v>3</v>
      </c>
      <c r="ES54" s="28">
        <f t="shared" si="34"/>
        <v>1.5</v>
      </c>
      <c r="ET54" s="62">
        <f t="shared" si="35"/>
        <v>1.5</v>
      </c>
      <c r="EU54" s="15"/>
      <c r="EV54" s="247">
        <f t="shared" si="36"/>
        <v>28</v>
      </c>
      <c r="EW54" s="249">
        <f t="shared" si="37"/>
        <v>28</v>
      </c>
      <c r="EX54" s="23">
        <f t="shared" si="38"/>
        <v>14</v>
      </c>
      <c r="EY54" s="74">
        <f t="shared" si="39"/>
        <v>14</v>
      </c>
      <c r="EZ54" s="63"/>
      <c r="FA54" s="336">
        <f t="shared" si="40"/>
        <v>1</v>
      </c>
      <c r="FB54" s="337">
        <f t="shared" si="41"/>
        <v>1</v>
      </c>
      <c r="FC54" s="333">
        <f t="shared" si="42"/>
        <v>1.9124423963133641</v>
      </c>
      <c r="FD54" s="420">
        <f t="shared" si="43"/>
        <v>0.95622119815668205</v>
      </c>
      <c r="FE54" s="433">
        <f t="shared" si="44"/>
        <v>1.8648233486943164</v>
      </c>
      <c r="FF54" s="213">
        <f t="shared" si="45"/>
        <v>0.93241167434715821</v>
      </c>
      <c r="FG54" s="15"/>
      <c r="FH54" s="37">
        <f t="shared" si="46"/>
        <v>28</v>
      </c>
    </row>
    <row r="55" spans="2:164" ht="17" customHeight="1" thickBot="1" x14ac:dyDescent="0.25">
      <c r="B55" s="258" t="s">
        <v>92</v>
      </c>
      <c r="C55" s="259" t="s">
        <v>93</v>
      </c>
      <c r="D55" s="299">
        <v>268651</v>
      </c>
      <c r="E55" s="300"/>
      <c r="F55" s="285"/>
      <c r="G55" s="285"/>
      <c r="H55" s="285"/>
      <c r="I55" s="285">
        <f t="shared" si="49"/>
        <v>0</v>
      </c>
      <c r="J55" s="301"/>
      <c r="K55" s="302"/>
      <c r="L55" s="301"/>
      <c r="M55" s="301"/>
      <c r="N55" s="285">
        <f t="shared" si="50"/>
        <v>0</v>
      </c>
      <c r="O55" s="303"/>
      <c r="P55" s="302"/>
      <c r="Q55" s="301"/>
      <c r="R55" s="301"/>
      <c r="S55" s="285">
        <f t="shared" si="51"/>
        <v>0</v>
      </c>
      <c r="T55" s="303"/>
      <c r="U55" s="302"/>
      <c r="V55" s="301"/>
      <c r="W55" s="301"/>
      <c r="X55" s="285">
        <f t="shared" si="52"/>
        <v>0</v>
      </c>
      <c r="Y55" s="303"/>
      <c r="Z55" s="287"/>
      <c r="AA55" s="301"/>
      <c r="AB55" s="301"/>
      <c r="AC55" s="285">
        <f t="shared" si="53"/>
        <v>0</v>
      </c>
      <c r="AD55" s="303"/>
      <c r="AE55" s="287"/>
      <c r="AF55" s="301"/>
      <c r="AG55" s="301"/>
      <c r="AH55" s="285">
        <f t="shared" si="54"/>
        <v>0</v>
      </c>
      <c r="AI55" s="176"/>
      <c r="AJ55" s="81"/>
      <c r="AK55" s="191"/>
      <c r="AL55" s="191"/>
      <c r="AM55" s="285">
        <f t="shared" si="55"/>
        <v>0</v>
      </c>
      <c r="AN55" s="260"/>
      <c r="AO55" s="81" t="s">
        <v>7</v>
      </c>
      <c r="AP55" s="253">
        <v>0.85416666666666663</v>
      </c>
      <c r="AQ55" s="253">
        <v>0.85416666666666663</v>
      </c>
      <c r="AR55" s="285">
        <f t="shared" si="56"/>
        <v>4</v>
      </c>
      <c r="AS55" s="260"/>
      <c r="AT55" s="257"/>
      <c r="AU55" s="301"/>
      <c r="AV55" s="301"/>
      <c r="AW55" s="285">
        <f t="shared" si="57"/>
        <v>0</v>
      </c>
      <c r="AX55" s="260"/>
      <c r="AY55" s="257" t="s">
        <v>2</v>
      </c>
      <c r="AZ55" s="253">
        <v>9.259259259259256E-2</v>
      </c>
      <c r="BA55" s="253">
        <v>9.259259259259256E-2</v>
      </c>
      <c r="BB55" s="285">
        <f t="shared" si="58"/>
        <v>23</v>
      </c>
      <c r="BC55" s="260"/>
      <c r="BD55" s="257"/>
      <c r="BE55" s="287"/>
      <c r="BF55" s="301"/>
      <c r="BG55" s="285">
        <f t="shared" si="59"/>
        <v>0</v>
      </c>
      <c r="BH55" s="298"/>
      <c r="BI55" s="257"/>
      <c r="BJ55" s="287"/>
      <c r="BK55" s="301"/>
      <c r="BL55" s="285">
        <f t="shared" si="60"/>
        <v>0</v>
      </c>
      <c r="BM55" s="305"/>
      <c r="BN55" s="257"/>
      <c r="BO55" s="287"/>
      <c r="BP55" s="301"/>
      <c r="BQ55" s="285">
        <f t="shared" si="61"/>
        <v>0</v>
      </c>
      <c r="BR55" s="298"/>
      <c r="BS55" s="257"/>
      <c r="BT55" s="287"/>
      <c r="BU55" s="301"/>
      <c r="BV55" s="285">
        <f t="shared" si="62"/>
        <v>0</v>
      </c>
      <c r="BW55" s="298"/>
      <c r="BX55" s="257"/>
      <c r="BY55" s="287"/>
      <c r="BZ55" s="301"/>
      <c r="CA55" s="285">
        <f t="shared" si="63"/>
        <v>0</v>
      </c>
      <c r="CB55" s="182"/>
      <c r="CC55" s="81"/>
      <c r="CD55" s="43"/>
      <c r="CE55" s="191"/>
      <c r="CF55" s="285">
        <f t="shared" si="64"/>
        <v>0</v>
      </c>
      <c r="CG55" s="298"/>
      <c r="CH55" s="257"/>
      <c r="CI55" s="287"/>
      <c r="CJ55" s="301"/>
      <c r="CK55" s="285">
        <f t="shared" si="65"/>
        <v>0</v>
      </c>
      <c r="CL55" s="298"/>
      <c r="CM55" s="257"/>
      <c r="CN55" s="287"/>
      <c r="CO55" s="301"/>
      <c r="CP55" s="285">
        <f t="shared" si="66"/>
        <v>0</v>
      </c>
      <c r="CQ55" s="298"/>
      <c r="CR55" s="257"/>
      <c r="CS55" s="287"/>
      <c r="CT55" s="301"/>
      <c r="CU55" s="285">
        <f t="shared" si="67"/>
        <v>0</v>
      </c>
      <c r="CV55" s="298"/>
      <c r="CW55" s="257"/>
      <c r="CX55" s="304"/>
      <c r="CY55" s="301"/>
      <c r="CZ55" s="285">
        <f t="shared" si="19"/>
        <v>0</v>
      </c>
      <c r="DA55" s="298"/>
      <c r="DB55" s="257"/>
      <c r="DC55" s="287"/>
      <c r="DD55" s="301"/>
      <c r="DE55" s="285">
        <f t="shared" si="20"/>
        <v>0</v>
      </c>
      <c r="DF55" s="298"/>
      <c r="DG55" s="257"/>
      <c r="DH55" s="287"/>
      <c r="DI55" s="301"/>
      <c r="DJ55" s="285">
        <f t="shared" si="21"/>
        <v>0</v>
      </c>
      <c r="DK55" s="298"/>
      <c r="DL55" s="257"/>
      <c r="DM55" s="287"/>
      <c r="DN55" s="301"/>
      <c r="DO55" s="285">
        <f t="shared" si="22"/>
        <v>0</v>
      </c>
      <c r="DP55" s="298"/>
      <c r="DQ55" s="257"/>
      <c r="DR55" s="287"/>
      <c r="DS55" s="301"/>
      <c r="DT55" s="285">
        <f t="shared" si="23"/>
        <v>0</v>
      </c>
      <c r="DU55" s="298"/>
      <c r="DV55" s="257"/>
      <c r="DW55" s="287"/>
      <c r="DX55" s="301"/>
      <c r="DY55" s="285">
        <f t="shared" si="24"/>
        <v>0</v>
      </c>
      <c r="DZ55" s="475"/>
      <c r="EA55" s="456"/>
      <c r="EB55" s="43"/>
      <c r="EC55" s="191"/>
      <c r="ED55" s="285">
        <f t="shared" si="25"/>
        <v>0</v>
      </c>
      <c r="EE55" s="475"/>
      <c r="EF55" s="456"/>
      <c r="EG55" s="43"/>
      <c r="EH55" s="191"/>
      <c r="EI55" s="285">
        <f t="shared" si="26"/>
        <v>0</v>
      </c>
      <c r="EJ55" s="467">
        <f t="shared" si="27"/>
        <v>2</v>
      </c>
      <c r="EK55" s="522">
        <f t="shared" si="28"/>
        <v>0</v>
      </c>
      <c r="EL55" s="267">
        <f t="shared" si="29"/>
        <v>1</v>
      </c>
      <c r="EM55" s="267">
        <f t="shared" si="30"/>
        <v>1</v>
      </c>
      <c r="EN55" s="516">
        <f t="shared" si="31"/>
        <v>0</v>
      </c>
      <c r="EO55" s="273">
        <f t="shared" si="32"/>
        <v>0</v>
      </c>
      <c r="EP55" s="15"/>
      <c r="EQ55" s="61">
        <f t="shared" si="33"/>
        <v>27</v>
      </c>
      <c r="ER55" s="187">
        <f>IF(OR($E55="B",$F55="B"),0,$I55)+IF(OR($J55="B",$K55="B"),0,$N55)+IF(OR($O55="B",$P55="B"),0,$S55)+IF(OR($T55="B",$U55="B"),0,$X55)+IF(OR($Y55="B",$Z55="B"),0,$AC55)+IF(OR($AD55="B",$AE55="B"),0,$AH55)+IF(OR($AI55="B",$AJ55="B"),0,$AM55)+IF(OR($HP33="B",$AO55="B"),0,$AR55)+IF(OR($AS55="B",$AT55="B"),0,$AW55)+IF(OR($AX55="B",$AY55="B"),0,$BB55)+IF(OR($BC55="B",$BD55="B"),0,$BG55)+IF(OR($BH55="B",$BI55="B"),0,$BL55)+IF(OR($BM55="B",$BN55="B"),0,$BQ55)+IF(OR($BR55="B",$BS55="B"),0,$BV55)+IF(OR($BW55="B",$BX55="B"),0,$CA55)+IF(OR($CB55="B",$CC55="B"),0,$CF55)+IF(OR($CG55="B",$CH55="B"),0,$CK55)+IF(OR($CL55="B",$CM55="B"),0,$CP55)+IF(OR($CQ55="B",$CR55="B"),0,$CU55)+IF(OR($CV55="B",$CW55="B"),0,$CZ55)+IF(OR($DA55="B",$DB55="B"),0,$DE55)+IF(OR($DF55="B",$DG55="B"),0,$DJ55)+IF(OR($DK55="B",$DL55="B"),0,$DO55)+IF(OR($DP55="B",$DQ55="B"),0,$DT55)+IF(OR($DU55="B",$DV55="B"),0,$DY55)+IF(OR($DZ55="B",$EA55="B"),0,$ED55)+IF(OR($EE55="B",$EF55="B"),0,$EI55)</f>
        <v>4</v>
      </c>
      <c r="ES55" s="28">
        <f t="shared" si="34"/>
        <v>13.5</v>
      </c>
      <c r="ET55" s="62">
        <f t="shared" si="35"/>
        <v>4</v>
      </c>
      <c r="EU55" s="63"/>
      <c r="EV55" s="247">
        <f t="shared" si="36"/>
        <v>52</v>
      </c>
      <c r="EW55" s="249">
        <f t="shared" si="37"/>
        <v>30</v>
      </c>
      <c r="EX55" s="23">
        <f t="shared" si="38"/>
        <v>26</v>
      </c>
      <c r="EY55" s="74">
        <f t="shared" si="39"/>
        <v>30</v>
      </c>
      <c r="EZ55" s="63"/>
      <c r="FA55" s="336">
        <f t="shared" si="40"/>
        <v>1</v>
      </c>
      <c r="FB55" s="337">
        <f t="shared" si="41"/>
        <v>1</v>
      </c>
      <c r="FC55" s="333">
        <f t="shared" si="42"/>
        <v>0.94675925925925919</v>
      </c>
      <c r="FD55" s="420">
        <f t="shared" si="43"/>
        <v>0.47337962962962959</v>
      </c>
      <c r="FE55" s="433">
        <f t="shared" si="44"/>
        <v>0.94675925925925919</v>
      </c>
      <c r="FF55" s="213">
        <f t="shared" si="45"/>
        <v>0.47337962962962959</v>
      </c>
      <c r="FG55" s="15"/>
      <c r="FH55" s="37">
        <f t="shared" si="46"/>
        <v>29</v>
      </c>
    </row>
    <row r="56" spans="2:164" ht="17" thickBot="1" x14ac:dyDescent="0.25">
      <c r="B56" s="258" t="s">
        <v>128</v>
      </c>
      <c r="C56" s="259" t="s">
        <v>129</v>
      </c>
      <c r="D56" s="299">
        <v>202040</v>
      </c>
      <c r="E56" s="300"/>
      <c r="F56" s="285"/>
      <c r="G56" s="285"/>
      <c r="H56" s="285"/>
      <c r="I56" s="285">
        <f t="shared" si="49"/>
        <v>0</v>
      </c>
      <c r="J56" s="301"/>
      <c r="K56" s="302"/>
      <c r="L56" s="301"/>
      <c r="M56" s="301"/>
      <c r="N56" s="285">
        <f t="shared" si="50"/>
        <v>0</v>
      </c>
      <c r="O56" s="303"/>
      <c r="P56" s="302"/>
      <c r="Q56" s="301"/>
      <c r="R56" s="301"/>
      <c r="S56" s="285">
        <f t="shared" si="51"/>
        <v>0</v>
      </c>
      <c r="T56" s="303"/>
      <c r="U56" s="302"/>
      <c r="V56" s="301"/>
      <c r="W56" s="301"/>
      <c r="X56" s="285">
        <f t="shared" si="52"/>
        <v>0</v>
      </c>
      <c r="Y56" s="303"/>
      <c r="Z56" s="287"/>
      <c r="AA56" s="253"/>
      <c r="AB56" s="253"/>
      <c r="AC56" s="285">
        <f t="shared" si="53"/>
        <v>0</v>
      </c>
      <c r="AD56" s="303"/>
      <c r="AE56" s="287"/>
      <c r="AF56" s="301"/>
      <c r="AG56" s="301"/>
      <c r="AH56" s="285">
        <f t="shared" si="54"/>
        <v>0</v>
      </c>
      <c r="AI56" s="260"/>
      <c r="AJ56" s="257"/>
      <c r="AK56" s="301"/>
      <c r="AL56" s="301"/>
      <c r="AM56" s="285">
        <f t="shared" si="55"/>
        <v>0</v>
      </c>
      <c r="AN56" s="176"/>
      <c r="AO56" s="81"/>
      <c r="AP56" s="191"/>
      <c r="AQ56" s="191"/>
      <c r="AR56" s="285">
        <f t="shared" si="56"/>
        <v>0</v>
      </c>
      <c r="AS56" s="260"/>
      <c r="AT56" s="81" t="s">
        <v>7</v>
      </c>
      <c r="AU56" s="253">
        <v>0.84782608695652173</v>
      </c>
      <c r="AV56" s="253">
        <v>0.84782608695652173</v>
      </c>
      <c r="AW56" s="285">
        <f t="shared" si="57"/>
        <v>4</v>
      </c>
      <c r="AX56" s="260"/>
      <c r="AY56" s="257"/>
      <c r="AZ56" s="301"/>
      <c r="BA56" s="301"/>
      <c r="BB56" s="285">
        <f t="shared" si="58"/>
        <v>0</v>
      </c>
      <c r="BC56" s="260"/>
      <c r="BD56" s="257"/>
      <c r="BE56" s="287"/>
      <c r="BF56" s="301"/>
      <c r="BG56" s="285">
        <f t="shared" si="59"/>
        <v>0</v>
      </c>
      <c r="BH56" s="298"/>
      <c r="BI56" s="257"/>
      <c r="BJ56" s="287"/>
      <c r="BK56" s="301"/>
      <c r="BL56" s="285">
        <f t="shared" si="60"/>
        <v>0</v>
      </c>
      <c r="BM56" s="305"/>
      <c r="BN56" s="257"/>
      <c r="BO56" s="287"/>
      <c r="BP56" s="301"/>
      <c r="BQ56" s="285">
        <f t="shared" si="61"/>
        <v>0</v>
      </c>
      <c r="BR56" s="298"/>
      <c r="BS56" s="257"/>
      <c r="BT56" s="287"/>
      <c r="BU56" s="301"/>
      <c r="BV56" s="285">
        <f t="shared" si="62"/>
        <v>0</v>
      </c>
      <c r="BW56" s="298"/>
      <c r="BX56" s="257"/>
      <c r="BY56" s="287"/>
      <c r="BZ56" s="301"/>
      <c r="CA56" s="285">
        <f t="shared" si="63"/>
        <v>0</v>
      </c>
      <c r="CB56" s="298"/>
      <c r="CC56" s="257"/>
      <c r="CD56" s="287"/>
      <c r="CE56" s="301"/>
      <c r="CF56" s="285">
        <f t="shared" si="64"/>
        <v>0</v>
      </c>
      <c r="CG56" s="298"/>
      <c r="CH56" s="257"/>
      <c r="CI56" s="298"/>
      <c r="CJ56" s="301"/>
      <c r="CK56" s="285">
        <f t="shared" si="65"/>
        <v>0</v>
      </c>
      <c r="CL56" s="298"/>
      <c r="CM56" s="257"/>
      <c r="CN56" s="287"/>
      <c r="CO56" s="301"/>
      <c r="CP56" s="285">
        <f t="shared" si="66"/>
        <v>0</v>
      </c>
      <c r="CQ56" s="298"/>
      <c r="CR56" s="257"/>
      <c r="CS56" s="287"/>
      <c r="CT56" s="301"/>
      <c r="CU56" s="285">
        <f t="shared" si="67"/>
        <v>0</v>
      </c>
      <c r="CV56" s="298"/>
      <c r="CW56" s="257"/>
      <c r="CX56" s="287"/>
      <c r="CY56" s="301"/>
      <c r="CZ56" s="285">
        <f t="shared" si="19"/>
        <v>0</v>
      </c>
      <c r="DA56" s="298"/>
      <c r="DB56" s="257"/>
      <c r="DC56" s="287"/>
      <c r="DD56" s="301"/>
      <c r="DE56" s="285">
        <f t="shared" si="20"/>
        <v>0</v>
      </c>
      <c r="DF56" s="298"/>
      <c r="DG56" s="257"/>
      <c r="DH56" s="287"/>
      <c r="DI56" s="301"/>
      <c r="DJ56" s="285">
        <f t="shared" si="21"/>
        <v>0</v>
      </c>
      <c r="DK56" s="298"/>
      <c r="DL56" s="257"/>
      <c r="DM56" s="287"/>
      <c r="DN56" s="301"/>
      <c r="DO56" s="285">
        <f t="shared" si="22"/>
        <v>0</v>
      </c>
      <c r="DP56" s="298"/>
      <c r="DQ56" s="257"/>
      <c r="DR56" s="287"/>
      <c r="DS56" s="301"/>
      <c r="DT56" s="285">
        <f t="shared" si="23"/>
        <v>0</v>
      </c>
      <c r="DU56" s="298"/>
      <c r="DV56" s="257"/>
      <c r="DW56" s="287"/>
      <c r="DX56" s="301"/>
      <c r="DY56" s="285">
        <f t="shared" si="24"/>
        <v>0</v>
      </c>
      <c r="DZ56" s="475"/>
      <c r="EA56" s="81"/>
      <c r="EB56" s="43"/>
      <c r="EC56" s="191"/>
      <c r="ED56" s="285">
        <f t="shared" si="25"/>
        <v>0</v>
      </c>
      <c r="EE56" s="475"/>
      <c r="EF56" s="81"/>
      <c r="EG56" s="43"/>
      <c r="EH56" s="191"/>
      <c r="EI56" s="285">
        <f t="shared" si="26"/>
        <v>0</v>
      </c>
      <c r="EJ56" s="467">
        <f t="shared" si="27"/>
        <v>1</v>
      </c>
      <c r="EK56" s="522">
        <f t="shared" si="28"/>
        <v>0</v>
      </c>
      <c r="EL56" s="267">
        <f t="shared" si="29"/>
        <v>1</v>
      </c>
      <c r="EM56" s="267">
        <f t="shared" si="30"/>
        <v>1</v>
      </c>
      <c r="EN56" s="516">
        <f t="shared" si="31"/>
        <v>0</v>
      </c>
      <c r="EO56" s="273">
        <f t="shared" si="32"/>
        <v>0</v>
      </c>
      <c r="EP56" s="15"/>
      <c r="EQ56" s="61">
        <f t="shared" si="33"/>
        <v>4</v>
      </c>
      <c r="ER56" s="187">
        <f>IF(OR($E56="B",$F56="B"),0,$I56)+IF(OR($J56="B",$K56="B"),0,$N56)+IF(OR($O56="B",$P56="B"),0,$S56)+IF(OR($T56="B",$U56="B"),0,$X56)+IF(OR($Y56="B",$Z56="B"),0,$AC56)+IF(OR($AD56="B",$AE56="B"),0,$AH56)+IF(OR($AI56="B",$AJ56="B"),0,$AM56)+IF(OR($HP34="B",$AO56="B"),0,$AR56)+IF(OR($AS56="B",$AT56="B"),0,$AW56)+IF(OR($AX56="B",$AY56="B"),0,$BB56)+IF(OR($BC56="B",$BD56="B"),0,$BG56)+IF(OR($BH56="B",$BI56="B"),0,$BL56)+IF(OR($BM56="B",$BN56="B"),0,$BQ56)+IF(OR($BR56="B",$BS56="B"),0,$BV56)+IF(OR($BW56="B",$BX56="B"),0,$CA56)+IF(OR($CB56="B",$CC56="B"),0,$CF56)+IF(OR($CG56="B",$CH56="B"),0,$CK56)+IF(OR($CL56="B",$CM56="B"),0,$CP56)+IF(OR($CQ56="B",$CR56="B"),0,$CU56)+IF(OR($CV56="B",$CW56="B"),0,$CZ56)+IF(OR($DA56="B",$DB56="B"),0,$DE56)+IF(OR($DF56="B",$DG56="B"),0,$DJ56)+IF(OR($DK56="B",$DL56="B"),0,$DO56)+IF(OR($DP56="B",$DQ56="B"),0,$DT56)+IF(OR($DU56="B",$DV56="B"),0,$DY56)+IF(OR($DZ56="B",$EA56="B"),0,$ED56)+IF(OR($EE56="B",$EF56="B"),0,$EI56)</f>
        <v>4</v>
      </c>
      <c r="ES56" s="28">
        <f t="shared" si="34"/>
        <v>4</v>
      </c>
      <c r="ET56" s="62">
        <f t="shared" si="35"/>
        <v>4</v>
      </c>
      <c r="EU56" s="63"/>
      <c r="EV56" s="247">
        <f t="shared" si="36"/>
        <v>30</v>
      </c>
      <c r="EW56" s="249">
        <f t="shared" si="37"/>
        <v>30</v>
      </c>
      <c r="EX56" s="23">
        <f t="shared" si="38"/>
        <v>30</v>
      </c>
      <c r="EY56" s="74">
        <f t="shared" si="39"/>
        <v>30</v>
      </c>
      <c r="EZ56" s="63"/>
      <c r="FA56" s="336">
        <f t="shared" si="40"/>
        <v>0</v>
      </c>
      <c r="FB56" s="337">
        <f t="shared" si="41"/>
        <v>1</v>
      </c>
      <c r="FC56" s="333">
        <f t="shared" si="42"/>
        <v>0.84782608695652173</v>
      </c>
      <c r="FD56" s="420">
        <f t="shared" si="43"/>
        <v>0.84782608695652173</v>
      </c>
      <c r="FE56" s="433">
        <f t="shared" si="44"/>
        <v>0.84782608695652173</v>
      </c>
      <c r="FF56" s="213">
        <f t="shared" si="45"/>
        <v>0.84782608695652173</v>
      </c>
      <c r="FG56" s="15"/>
      <c r="FH56" s="37">
        <f t="shared" si="46"/>
        <v>30</v>
      </c>
    </row>
    <row r="57" spans="2:164" ht="17" thickBot="1" x14ac:dyDescent="0.25">
      <c r="B57" s="258" t="s">
        <v>138</v>
      </c>
      <c r="C57" s="259" t="s">
        <v>137</v>
      </c>
      <c r="D57" s="299">
        <v>248672</v>
      </c>
      <c r="E57" s="300"/>
      <c r="F57" s="285">
        <v>13</v>
      </c>
      <c r="G57" s="306">
        <v>0.40476190476190477</v>
      </c>
      <c r="H57" s="306">
        <v>0.54761904761904767</v>
      </c>
      <c r="I57" s="285">
        <f t="shared" si="49"/>
        <v>13</v>
      </c>
      <c r="J57" s="301"/>
      <c r="K57" s="302">
        <v>7</v>
      </c>
      <c r="L57" s="253">
        <v>0.72916666666666674</v>
      </c>
      <c r="M57" s="253">
        <v>0.97916666666666663</v>
      </c>
      <c r="N57" s="285">
        <f t="shared" si="50"/>
        <v>7</v>
      </c>
      <c r="O57" s="303">
        <v>10</v>
      </c>
      <c r="P57" s="302"/>
      <c r="Q57" s="253">
        <v>0.60416666666666674</v>
      </c>
      <c r="R57" s="253">
        <v>0.97916666666666663</v>
      </c>
      <c r="S57" s="285">
        <f t="shared" si="51"/>
        <v>10</v>
      </c>
      <c r="T57" s="303">
        <v>7</v>
      </c>
      <c r="U57" s="302"/>
      <c r="V57" s="253">
        <v>0.72916666666666674</v>
      </c>
      <c r="W57" s="253">
        <v>0.97916666666666663</v>
      </c>
      <c r="X57" s="285">
        <f t="shared" si="52"/>
        <v>7</v>
      </c>
      <c r="Y57" s="303"/>
      <c r="Z57" s="287">
        <v>19</v>
      </c>
      <c r="AA57" s="253">
        <v>0.37096774193548387</v>
      </c>
      <c r="AB57" s="253">
        <v>0.75806451612903225</v>
      </c>
      <c r="AC57" s="285">
        <f t="shared" si="53"/>
        <v>19</v>
      </c>
      <c r="AD57" s="303"/>
      <c r="AE57" s="287">
        <v>8</v>
      </c>
      <c r="AF57" s="253">
        <v>0.64285714285714279</v>
      </c>
      <c r="AG57" s="253">
        <v>0.88095238095238093</v>
      </c>
      <c r="AH57" s="285">
        <f t="shared" si="54"/>
        <v>8</v>
      </c>
      <c r="AI57" s="294"/>
      <c r="AJ57" s="295">
        <v>9</v>
      </c>
      <c r="AK57" s="329">
        <v>0.59523809523809523</v>
      </c>
      <c r="AL57" s="329">
        <v>0.97619047619047616</v>
      </c>
      <c r="AM57" s="285">
        <f t="shared" si="55"/>
        <v>9</v>
      </c>
      <c r="AN57" s="294"/>
      <c r="AO57" s="295">
        <v>13</v>
      </c>
      <c r="AP57" s="329">
        <v>0.47916666666666663</v>
      </c>
      <c r="AQ57" s="329">
        <v>0.85416666666666663</v>
      </c>
      <c r="AR57" s="285">
        <f t="shared" si="56"/>
        <v>13</v>
      </c>
      <c r="AS57" s="294"/>
      <c r="AT57" s="295">
        <v>5</v>
      </c>
      <c r="AU57" s="329">
        <v>0.80434782608695654</v>
      </c>
      <c r="AV57" s="329">
        <v>0.97826086956521741</v>
      </c>
      <c r="AW57" s="285">
        <f t="shared" si="57"/>
        <v>5</v>
      </c>
      <c r="AX57" s="294"/>
      <c r="AY57" s="295">
        <v>7</v>
      </c>
      <c r="AZ57" s="261">
        <v>0.7592592592592593</v>
      </c>
      <c r="BA57" s="329">
        <v>0.98148148148148151</v>
      </c>
      <c r="BB57" s="285">
        <f t="shared" si="58"/>
        <v>7</v>
      </c>
      <c r="BC57" s="399"/>
      <c r="BD57" s="295">
        <v>10</v>
      </c>
      <c r="BE57" s="324">
        <v>0.64814814814814814</v>
      </c>
      <c r="BF57" s="329">
        <v>0.94444444444444442</v>
      </c>
      <c r="BG57" s="285">
        <f t="shared" si="59"/>
        <v>10</v>
      </c>
      <c r="BH57" s="400"/>
      <c r="BI57" s="295">
        <v>10</v>
      </c>
      <c r="BJ57" s="324">
        <v>0.26923076923076927</v>
      </c>
      <c r="BK57" s="329">
        <v>0.57692307692307687</v>
      </c>
      <c r="BL57" s="285">
        <f t="shared" si="60"/>
        <v>10</v>
      </c>
      <c r="BM57" s="297"/>
      <c r="BN57" s="295">
        <v>6</v>
      </c>
      <c r="BO57" s="324">
        <v>0.77083333333333337</v>
      </c>
      <c r="BP57" s="329">
        <v>0.9375</v>
      </c>
      <c r="BQ57" s="285">
        <f t="shared" si="61"/>
        <v>6</v>
      </c>
      <c r="BR57" s="296"/>
      <c r="BS57" s="295">
        <v>7</v>
      </c>
      <c r="BT57" s="324">
        <v>0.74</v>
      </c>
      <c r="BU57" s="329">
        <v>0.98</v>
      </c>
      <c r="BV57" s="285">
        <f t="shared" si="62"/>
        <v>7</v>
      </c>
      <c r="BW57" s="296"/>
      <c r="BX57" s="295">
        <v>11</v>
      </c>
      <c r="BY57" s="324">
        <v>0.65</v>
      </c>
      <c r="BZ57" s="329">
        <v>0.91666666666666663</v>
      </c>
      <c r="CA57" s="285">
        <f t="shared" si="63"/>
        <v>11</v>
      </c>
      <c r="CB57" s="296"/>
      <c r="CC57" s="295">
        <v>12</v>
      </c>
      <c r="CD57" s="324">
        <v>0.58333333333333326</v>
      </c>
      <c r="CE57" s="329">
        <v>0.51666666666666661</v>
      </c>
      <c r="CF57" s="285">
        <f t="shared" si="64"/>
        <v>12</v>
      </c>
      <c r="CG57" s="296"/>
      <c r="CH57" s="295">
        <v>7</v>
      </c>
      <c r="CI57" s="560">
        <v>0.78333333333333333</v>
      </c>
      <c r="CJ57" s="329">
        <v>0.98333333333333328</v>
      </c>
      <c r="CK57" s="285">
        <f t="shared" si="65"/>
        <v>7</v>
      </c>
      <c r="CL57" s="296"/>
      <c r="CM57" s="295">
        <v>10</v>
      </c>
      <c r="CN57" s="324">
        <v>0.703125</v>
      </c>
      <c r="CO57" s="561">
        <v>0.984375</v>
      </c>
      <c r="CP57" s="285">
        <f t="shared" si="66"/>
        <v>10</v>
      </c>
      <c r="CQ57" s="296"/>
      <c r="CR57" s="295">
        <v>13</v>
      </c>
      <c r="CS57" s="293">
        <v>0.375</v>
      </c>
      <c r="CT57" s="290">
        <v>0.92500000000000004</v>
      </c>
      <c r="CU57" s="285">
        <f t="shared" si="67"/>
        <v>13</v>
      </c>
      <c r="CV57" s="296"/>
      <c r="CW57" s="295">
        <v>7</v>
      </c>
      <c r="CX57" s="324">
        <v>0.80303030303030298</v>
      </c>
      <c r="CY57" s="329">
        <v>0.98484848484848486</v>
      </c>
      <c r="CZ57" s="285">
        <f t="shared" si="19"/>
        <v>7</v>
      </c>
      <c r="DA57" s="296"/>
      <c r="DB57" s="295">
        <v>4</v>
      </c>
      <c r="DC57" s="324">
        <v>0.85416666666666663</v>
      </c>
      <c r="DD57" s="329">
        <v>0.97916666666666663</v>
      </c>
      <c r="DE57" s="285">
        <f t="shared" si="20"/>
        <v>4</v>
      </c>
      <c r="DF57" s="296"/>
      <c r="DG57" s="295">
        <v>9</v>
      </c>
      <c r="DH57" s="324">
        <v>0.76388888888888884</v>
      </c>
      <c r="DI57" s="329">
        <v>0.93055555555555558</v>
      </c>
      <c r="DJ57" s="285">
        <f t="shared" si="21"/>
        <v>9</v>
      </c>
      <c r="DK57" s="296"/>
      <c r="DL57" s="295">
        <v>6</v>
      </c>
      <c r="DM57" s="324">
        <v>0.8035714285714286</v>
      </c>
      <c r="DN57" s="329">
        <v>0.9821428571428571</v>
      </c>
      <c r="DO57" s="285">
        <f t="shared" si="22"/>
        <v>6</v>
      </c>
      <c r="DP57" s="298"/>
      <c r="DQ57" s="257">
        <v>11</v>
      </c>
      <c r="DR57" s="304">
        <v>0.63793103448275867</v>
      </c>
      <c r="DS57" s="253">
        <v>0.98275862068965514</v>
      </c>
      <c r="DT57" s="285">
        <f t="shared" si="23"/>
        <v>11</v>
      </c>
      <c r="DU57" s="296"/>
      <c r="DV57" s="295">
        <v>19</v>
      </c>
      <c r="DW57" s="480">
        <v>0.43939393939393945</v>
      </c>
      <c r="DX57" s="478">
        <v>0.53030303030303028</v>
      </c>
      <c r="DY57" s="285">
        <f t="shared" si="24"/>
        <v>19</v>
      </c>
      <c r="DZ57" s="475"/>
      <c r="EA57" s="456">
        <v>21</v>
      </c>
      <c r="EB57" s="481">
        <v>0.52222222222222214</v>
      </c>
      <c r="EC57" s="463">
        <v>0.87777777777777777</v>
      </c>
      <c r="ED57" s="285">
        <f t="shared" si="25"/>
        <v>21</v>
      </c>
      <c r="EE57" s="475"/>
      <c r="EF57" s="456">
        <v>21</v>
      </c>
      <c r="EG57" s="481">
        <v>0.32051282051282048</v>
      </c>
      <c r="EH57" s="463">
        <v>0.57692307692307687</v>
      </c>
      <c r="EI57" s="285">
        <f t="shared" si="26"/>
        <v>21</v>
      </c>
      <c r="EJ57" s="467">
        <f t="shared" si="27"/>
        <v>27</v>
      </c>
      <c r="EK57" s="522">
        <f t="shared" si="28"/>
        <v>16</v>
      </c>
      <c r="EL57" s="267">
        <f t="shared" si="29"/>
        <v>27</v>
      </c>
      <c r="EM57" s="513">
        <f t="shared" si="30"/>
        <v>0</v>
      </c>
      <c r="EN57" s="516">
        <f t="shared" si="31"/>
        <v>0</v>
      </c>
      <c r="EO57" s="401">
        <f t="shared" si="32"/>
        <v>16</v>
      </c>
      <c r="EP57" s="402"/>
      <c r="EQ57" s="403">
        <f t="shared" si="33"/>
        <v>282</v>
      </c>
      <c r="ER57" s="404">
        <f>IF(OR($E57="B",$F57="B"),0,$I57)+IF(OR($J57="B",$K57="B"),0,$N57)+IF(OR($O57="B",$P57="B"),0,$S57)+IF(OR($T57="B",$U57="B"),0,$X57)+IF(OR($Y57="B",$Z57="B"),0,$AC57)+IF(OR($AD57="B",$AE57="B"),0,$AH57)+IF(OR($AI57="B",$AJ57="B"),0,$AM57)+IF(OR($HP35="B",$AO57="B"),0,$AR57)+IF(OR($AS57="B",$AT57="B"),0,$AW57)+IF(OR($AX57="B",$AY57="B"),0,$BB57)+IF(OR($BC57="B",$BD57="B"),0,$BG57)+IF(OR($BH57="B",$BI57="B"),0,$BL57)+IF(OR($BM57="B",$BN57="B"),0,$BQ57)+IF(OR($BR57="B",$BS57="B"),0,$BV57)+IF(OR($BW57="B",$BX57="B"),0,$CA57)+IF(OR($CB57="B",$CC57="B"),0,$CF57)+IF(OR($CG57="B",$CH57="B"),0,$CK57)+IF(OR($CL57="B",$CM57="B"),0,$CP57)+IF(OR($CQ57="B",$CR57="B"),0,$CU57)+IF(OR($CV57="B",$CW57="B"),0,$CZ57)+IF(OR($DA57="B",$DB57="B"),0,$DE57)+IF(OR($DF57="B",$DG57="B"),0,$DJ57)+IF(OR($DK57="B",$DL57="B"),0,$DO57)+IF(OR($DP57="B",$DQ57="B"),0,$DT57)+IF(OR($DU57="B",$DV57="B"),0,$DY57)+IF(OR($DZ57="B",$EA57="B"),0,$ED57)+IF(OR($EE57="B",$EF57="B"),0,$EI57)</f>
        <v>282</v>
      </c>
      <c r="ES57" s="405">
        <f t="shared" si="34"/>
        <v>10.444444444444445</v>
      </c>
      <c r="ET57" s="406">
        <f t="shared" si="35"/>
        <v>10.444444444444445</v>
      </c>
      <c r="EU57" s="407"/>
      <c r="EV57" s="408">
        <f t="shared" si="36"/>
        <v>282</v>
      </c>
      <c r="EW57" s="409">
        <f t="shared" si="37"/>
        <v>282</v>
      </c>
      <c r="EX57" s="410">
        <f t="shared" si="38"/>
        <v>10.444444444444445</v>
      </c>
      <c r="EY57" s="411">
        <f t="shared" si="39"/>
        <v>10.444444444444445</v>
      </c>
      <c r="EZ57" s="407"/>
      <c r="FA57" s="336">
        <f t="shared" si="40"/>
        <v>27</v>
      </c>
      <c r="FB57" s="412">
        <f t="shared" si="41"/>
        <v>0</v>
      </c>
      <c r="FC57" s="333">
        <f t="shared" si="42"/>
        <v>16.786819857953457</v>
      </c>
      <c r="FD57" s="420">
        <f t="shared" si="43"/>
        <v>0.62173406881309101</v>
      </c>
      <c r="FE57" s="433">
        <f t="shared" si="44"/>
        <v>23.523620696545596</v>
      </c>
      <c r="FF57" s="213">
        <f t="shared" si="45"/>
        <v>0.8712452109831702</v>
      </c>
      <c r="FG57" s="15"/>
      <c r="FH57" s="37">
        <f t="shared" si="46"/>
        <v>31</v>
      </c>
    </row>
    <row r="58" spans="2:164" ht="17" thickBot="1" x14ac:dyDescent="0.25">
      <c r="B58" s="258" t="s">
        <v>94</v>
      </c>
      <c r="C58" s="259" t="s">
        <v>95</v>
      </c>
      <c r="D58" s="299">
        <v>525541</v>
      </c>
      <c r="E58" s="300"/>
      <c r="F58" s="285">
        <v>15</v>
      </c>
      <c r="G58" s="306">
        <v>0.30952380952380953</v>
      </c>
      <c r="H58" s="306">
        <v>0.64285714285714279</v>
      </c>
      <c r="I58" s="285">
        <f t="shared" si="49"/>
        <v>15</v>
      </c>
      <c r="J58" s="301"/>
      <c r="K58" s="302">
        <v>11</v>
      </c>
      <c r="L58" s="253">
        <v>0.5625</v>
      </c>
      <c r="M58" s="253">
        <v>0.52083333333333326</v>
      </c>
      <c r="N58" s="285">
        <f t="shared" si="50"/>
        <v>11</v>
      </c>
      <c r="O58" s="303">
        <v>11</v>
      </c>
      <c r="P58" s="302"/>
      <c r="Q58" s="253">
        <v>0.5625</v>
      </c>
      <c r="R58" s="253">
        <v>0.47916666666666663</v>
      </c>
      <c r="S58" s="285">
        <f t="shared" si="51"/>
        <v>11</v>
      </c>
      <c r="T58" s="303">
        <v>10</v>
      </c>
      <c r="U58" s="302"/>
      <c r="V58" s="253">
        <v>0.60416666666666674</v>
      </c>
      <c r="W58" s="253">
        <v>0.6875</v>
      </c>
      <c r="X58" s="285">
        <f t="shared" si="52"/>
        <v>10</v>
      </c>
      <c r="Y58" s="303"/>
      <c r="Z58" s="287">
        <v>15</v>
      </c>
      <c r="AA58" s="253">
        <v>0.532258064516129</v>
      </c>
      <c r="AB58" s="253">
        <v>0.59677419354838712</v>
      </c>
      <c r="AC58" s="285">
        <f t="shared" si="53"/>
        <v>15</v>
      </c>
      <c r="AD58" s="303"/>
      <c r="AE58" s="287">
        <v>13</v>
      </c>
      <c r="AF58" s="253">
        <v>0.3571428571428571</v>
      </c>
      <c r="AG58" s="253">
        <v>0.5</v>
      </c>
      <c r="AH58" s="285">
        <f t="shared" si="54"/>
        <v>13</v>
      </c>
      <c r="AI58" s="260"/>
      <c r="AJ58" s="257">
        <v>10</v>
      </c>
      <c r="AK58" s="253">
        <v>0.54761904761904767</v>
      </c>
      <c r="AL58" s="253">
        <v>0.7857142857142857</v>
      </c>
      <c r="AM58" s="285">
        <f t="shared" si="55"/>
        <v>10</v>
      </c>
      <c r="AN58" s="260"/>
      <c r="AO58" s="257">
        <v>7</v>
      </c>
      <c r="AP58" s="253">
        <v>0.72916666666666674</v>
      </c>
      <c r="AQ58" s="253">
        <v>0.8125</v>
      </c>
      <c r="AR58" s="285">
        <f t="shared" si="56"/>
        <v>7</v>
      </c>
      <c r="AS58" s="260"/>
      <c r="AT58" s="257">
        <v>8</v>
      </c>
      <c r="AU58" s="253">
        <v>0.67391304347826086</v>
      </c>
      <c r="AV58" s="253">
        <v>0.76086956521739135</v>
      </c>
      <c r="AW58" s="285">
        <f t="shared" si="57"/>
        <v>8</v>
      </c>
      <c r="AX58" s="260"/>
      <c r="AY58" s="257">
        <v>8</v>
      </c>
      <c r="AZ58" s="253">
        <v>0.72222222222222221</v>
      </c>
      <c r="BA58" s="253">
        <v>0.68518518518518512</v>
      </c>
      <c r="BB58" s="285">
        <f t="shared" si="58"/>
        <v>8</v>
      </c>
      <c r="BC58" s="260"/>
      <c r="BD58" s="257">
        <v>19</v>
      </c>
      <c r="BE58" s="304">
        <v>0.31481481481481477</v>
      </c>
      <c r="BF58" s="253">
        <v>0.38888888888888884</v>
      </c>
      <c r="BG58" s="285">
        <f t="shared" si="59"/>
        <v>19</v>
      </c>
      <c r="BH58" s="298"/>
      <c r="BI58" s="257">
        <v>7</v>
      </c>
      <c r="BJ58" s="304">
        <v>0.5</v>
      </c>
      <c r="BK58" s="253">
        <v>0.96153846153846156</v>
      </c>
      <c r="BL58" s="285">
        <f t="shared" si="60"/>
        <v>7</v>
      </c>
      <c r="BM58" s="305"/>
      <c r="BN58" s="257">
        <v>11</v>
      </c>
      <c r="BO58" s="304">
        <v>0.5625</v>
      </c>
      <c r="BP58" s="253">
        <v>0.97916666666666663</v>
      </c>
      <c r="BQ58" s="285">
        <f t="shared" si="61"/>
        <v>11</v>
      </c>
      <c r="BR58" s="298"/>
      <c r="BS58" s="257">
        <v>14</v>
      </c>
      <c r="BT58" s="304">
        <v>0.42000000000000004</v>
      </c>
      <c r="BU58" s="253">
        <v>0.5</v>
      </c>
      <c r="BV58" s="285">
        <f t="shared" si="62"/>
        <v>14</v>
      </c>
      <c r="BW58" s="298"/>
      <c r="BX58" s="257">
        <v>10</v>
      </c>
      <c r="BY58" s="304">
        <v>0.68333333333333335</v>
      </c>
      <c r="BZ58" s="253">
        <v>0.65</v>
      </c>
      <c r="CA58" s="285">
        <f t="shared" si="63"/>
        <v>10</v>
      </c>
      <c r="CB58" s="298"/>
      <c r="CC58" s="257">
        <v>26</v>
      </c>
      <c r="CD58" s="304">
        <v>0.1166666666666667</v>
      </c>
      <c r="CE58" s="253">
        <v>5.0000000000000044E-2</v>
      </c>
      <c r="CF58" s="285">
        <f t="shared" si="64"/>
        <v>26</v>
      </c>
      <c r="CG58" s="298"/>
      <c r="CH58" s="257">
        <v>17</v>
      </c>
      <c r="CI58" s="253">
        <v>0.44999999999999996</v>
      </c>
      <c r="CJ58" s="253">
        <v>0.44999999999999996</v>
      </c>
      <c r="CK58" s="285">
        <f t="shared" si="65"/>
        <v>17</v>
      </c>
      <c r="CL58" s="298"/>
      <c r="CM58" s="257">
        <v>18</v>
      </c>
      <c r="CN58" s="304">
        <v>0.453125</v>
      </c>
      <c r="CO58" s="454">
        <v>0.578125</v>
      </c>
      <c r="CP58" s="285">
        <f t="shared" si="66"/>
        <v>18</v>
      </c>
      <c r="CQ58" s="298"/>
      <c r="CR58" s="257">
        <v>11</v>
      </c>
      <c r="CS58" s="287">
        <v>0.47499999999999998</v>
      </c>
      <c r="CT58" s="301">
        <v>0.57499999999999996</v>
      </c>
      <c r="CU58" s="285">
        <f t="shared" si="67"/>
        <v>11</v>
      </c>
      <c r="CV58" s="298"/>
      <c r="CW58" s="257">
        <v>18</v>
      </c>
      <c r="CX58" s="304">
        <v>0.46969696969696972</v>
      </c>
      <c r="CY58" s="253">
        <v>0.43939393939393945</v>
      </c>
      <c r="CZ58" s="285">
        <f t="shared" si="19"/>
        <v>18</v>
      </c>
      <c r="DA58" s="298"/>
      <c r="DB58" s="257"/>
      <c r="DC58" s="287"/>
      <c r="DD58" s="301"/>
      <c r="DE58" s="285">
        <f t="shared" si="20"/>
        <v>0</v>
      </c>
      <c r="DF58" s="298"/>
      <c r="DG58" s="257">
        <v>13</v>
      </c>
      <c r="DH58" s="304">
        <v>0.65277777777777779</v>
      </c>
      <c r="DI58" s="253">
        <v>0.65277777777777779</v>
      </c>
      <c r="DJ58" s="285">
        <f t="shared" si="21"/>
        <v>13</v>
      </c>
      <c r="DK58" s="298"/>
      <c r="DL58" s="257">
        <v>13</v>
      </c>
      <c r="DM58" s="304">
        <v>0.5535714285714286</v>
      </c>
      <c r="DN58" s="253">
        <v>0.73214285714285721</v>
      </c>
      <c r="DO58" s="285">
        <f t="shared" si="22"/>
        <v>13</v>
      </c>
      <c r="DP58" s="298"/>
      <c r="DQ58" s="257">
        <v>16</v>
      </c>
      <c r="DR58" s="304">
        <v>0.46551724137931039</v>
      </c>
      <c r="DS58" s="253">
        <v>0.5</v>
      </c>
      <c r="DT58" s="285">
        <f t="shared" si="23"/>
        <v>16</v>
      </c>
      <c r="DU58" s="298"/>
      <c r="DV58" s="257">
        <v>12</v>
      </c>
      <c r="DW58" s="461">
        <v>0.65151515151515149</v>
      </c>
      <c r="DX58" s="463">
        <v>0.59090909090909083</v>
      </c>
      <c r="DY58" s="285">
        <f t="shared" si="24"/>
        <v>12</v>
      </c>
      <c r="DZ58" s="475"/>
      <c r="EA58" s="456">
        <v>17</v>
      </c>
      <c r="EB58" s="461">
        <v>0.61111111111111116</v>
      </c>
      <c r="EC58" s="463">
        <v>0.67777777777777781</v>
      </c>
      <c r="ED58" s="285">
        <f t="shared" si="25"/>
        <v>17</v>
      </c>
      <c r="EE58" s="475"/>
      <c r="EF58" s="456">
        <v>13</v>
      </c>
      <c r="EG58" s="461">
        <v>0.67948717948717952</v>
      </c>
      <c r="EH58" s="463">
        <v>0.62820512820512819</v>
      </c>
      <c r="EI58" s="285">
        <f t="shared" si="26"/>
        <v>13</v>
      </c>
      <c r="EJ58" s="467">
        <f t="shared" si="27"/>
        <v>26</v>
      </c>
      <c r="EK58" s="522">
        <f t="shared" si="28"/>
        <v>15</v>
      </c>
      <c r="EL58" s="267">
        <f t="shared" si="29"/>
        <v>26</v>
      </c>
      <c r="EM58" s="267">
        <f t="shared" si="30"/>
        <v>0</v>
      </c>
      <c r="EN58" s="516">
        <f t="shared" si="31"/>
        <v>0</v>
      </c>
      <c r="EO58" s="273">
        <f t="shared" si="32"/>
        <v>15</v>
      </c>
      <c r="EP58" s="15"/>
      <c r="EQ58" s="61">
        <f t="shared" si="33"/>
        <v>343</v>
      </c>
      <c r="ER58" s="187">
        <f>IF(OR($E58="B",$F58="B"),0,$I58)+IF(OR($J58="B",$K58="B"),0,$N58)+IF(OR($O58="B",$P58="B"),0,$S58)+IF(OR($T58="B",$U58="B"),0,$X58)+IF(OR($Y58="B",$Z58="B"),0,$AC58)+IF(OR($AD58="B",$AE58="B"),0,$AH58)+IF(OR($AI58="B",$AJ58="B"),0,$AM58)+IF(OR($HP36="B",$AO58="B"),0,$AR58)+IF(OR($AS58="B",$AT58="B"),0,$AW58)+IF(OR($AX58="B",$AY58="B"),0,$BB58)+IF(OR($BC58="B",$BD58="B"),0,$BG58)+IF(OR($BH58="B",$BI58="B"),0,$BL58)+IF(OR($BM58="B",$BN58="B"),0,$BQ58)+IF(OR($BR58="B",$BS58="B"),0,$BV58)+IF(OR($BW58="B",$BX58="B"),0,$CA58)+IF(OR($CB58="B",$CC58="B"),0,$CF58)+IF(OR($CG58="B",$CH58="B"),0,$CK58)+IF(OR($CL58="B",$CM58="B"),0,$CP58)+IF(OR($CQ58="B",$CR58="B"),0,$CU58)+IF(OR($CV58="B",$CW58="B"),0,$CZ58)+IF(OR($DA58="B",$DB58="B"),0,$DE58)+IF(OR($DF58="B",$DG58="B"),0,$DJ58)+IF(OR($DK58="B",$DL58="B"),0,$DO58)+IF(OR($DP58="B",$DQ58="B"),0,$DT58)+IF(OR($DU58="B",$DV58="B"),0,$DY58)+IF(OR($DZ58="B",$EA58="B"),0,$ED58)+IF(OR($EE58="B",$EF58="B"),0,$EI58)</f>
        <v>343</v>
      </c>
      <c r="ES58" s="28">
        <f t="shared" si="34"/>
        <v>13.192307692307692</v>
      </c>
      <c r="ET58" s="62">
        <f t="shared" si="35"/>
        <v>13.192307692307692</v>
      </c>
      <c r="EU58" s="63"/>
      <c r="EV58" s="247">
        <f t="shared" si="36"/>
        <v>344</v>
      </c>
      <c r="EW58" s="249">
        <f t="shared" si="37"/>
        <v>344</v>
      </c>
      <c r="EX58" s="23">
        <f t="shared" si="38"/>
        <v>13.23076923076923</v>
      </c>
      <c r="EY58" s="74">
        <f t="shared" si="39"/>
        <v>13.23076923076923</v>
      </c>
      <c r="EZ58" s="63"/>
      <c r="FA58" s="336">
        <f t="shared" si="40"/>
        <v>26</v>
      </c>
      <c r="FB58" s="337">
        <f t="shared" si="41"/>
        <v>0</v>
      </c>
      <c r="FC58" s="333">
        <f t="shared" si="42"/>
        <v>13.660129052189403</v>
      </c>
      <c r="FD58" s="420">
        <f t="shared" si="43"/>
        <v>0.52538957893036164</v>
      </c>
      <c r="FE58" s="433">
        <f t="shared" si="44"/>
        <v>15.82532596082298</v>
      </c>
      <c r="FF58" s="213">
        <f t="shared" si="45"/>
        <v>0.60866638310857613</v>
      </c>
      <c r="FG58" s="15"/>
      <c r="FH58" s="37">
        <f t="shared" si="46"/>
        <v>32</v>
      </c>
    </row>
    <row r="59" spans="2:164" ht="17" customHeight="1" thickBot="1" x14ac:dyDescent="0.25">
      <c r="B59" s="258" t="s">
        <v>114</v>
      </c>
      <c r="C59" s="259" t="s">
        <v>115</v>
      </c>
      <c r="D59" s="299">
        <v>516612</v>
      </c>
      <c r="E59" s="300"/>
      <c r="F59" s="285">
        <v>10</v>
      </c>
      <c r="G59" s="306">
        <v>0.54761904761904767</v>
      </c>
      <c r="H59" s="306">
        <v>0.73809523809523814</v>
      </c>
      <c r="I59" s="285">
        <f t="shared" si="49"/>
        <v>10</v>
      </c>
      <c r="J59" s="301"/>
      <c r="K59" s="302">
        <v>18</v>
      </c>
      <c r="L59" s="253">
        <v>5.2280092592592593E-2</v>
      </c>
      <c r="M59" s="253">
        <v>6.25E-2</v>
      </c>
      <c r="N59" s="285">
        <f t="shared" si="50"/>
        <v>18</v>
      </c>
      <c r="O59" s="303">
        <v>16</v>
      </c>
      <c r="P59" s="302"/>
      <c r="Q59" s="253">
        <v>0.35416666666666663</v>
      </c>
      <c r="R59" s="253">
        <v>0.6875</v>
      </c>
      <c r="S59" s="285">
        <f t="shared" si="51"/>
        <v>16</v>
      </c>
      <c r="T59" s="303">
        <v>14</v>
      </c>
      <c r="U59" s="302"/>
      <c r="V59" s="253">
        <v>0.4375</v>
      </c>
      <c r="W59" s="253">
        <v>0.77083333333333337</v>
      </c>
      <c r="X59" s="285">
        <f t="shared" si="52"/>
        <v>14</v>
      </c>
      <c r="Y59" s="303"/>
      <c r="Z59" s="287">
        <v>14</v>
      </c>
      <c r="AA59" s="330">
        <v>0.56451612903225801</v>
      </c>
      <c r="AB59" s="253">
        <v>0.79032258064516125</v>
      </c>
      <c r="AC59" s="285">
        <f t="shared" si="53"/>
        <v>14</v>
      </c>
      <c r="AD59" s="303"/>
      <c r="AE59" s="287">
        <v>15</v>
      </c>
      <c r="AF59" s="253">
        <v>0.26190476190476186</v>
      </c>
      <c r="AG59" s="253">
        <v>0.59523809523809523</v>
      </c>
      <c r="AH59" s="285">
        <f t="shared" si="54"/>
        <v>15</v>
      </c>
      <c r="AI59" s="260"/>
      <c r="AJ59" s="257">
        <v>16</v>
      </c>
      <c r="AK59" s="253">
        <v>0.26190476190476186</v>
      </c>
      <c r="AL59" s="253">
        <v>0.5</v>
      </c>
      <c r="AM59" s="285">
        <f t="shared" si="55"/>
        <v>16</v>
      </c>
      <c r="AN59" s="260"/>
      <c r="AO59" s="257">
        <v>15</v>
      </c>
      <c r="AP59" s="253">
        <v>0.39583333333333337</v>
      </c>
      <c r="AQ59" s="253">
        <v>0.77083333333333337</v>
      </c>
      <c r="AR59" s="285">
        <f t="shared" si="56"/>
        <v>15</v>
      </c>
      <c r="AS59" s="260"/>
      <c r="AT59" s="257">
        <v>13</v>
      </c>
      <c r="AU59" s="253">
        <v>0.45652173913043481</v>
      </c>
      <c r="AV59" s="253">
        <v>0.80434782608695654</v>
      </c>
      <c r="AW59" s="285">
        <f t="shared" si="57"/>
        <v>13</v>
      </c>
      <c r="AX59" s="260"/>
      <c r="AY59" s="257">
        <v>14</v>
      </c>
      <c r="AZ59" s="253">
        <v>0.5</v>
      </c>
      <c r="BA59" s="253">
        <v>0.72222222222222221</v>
      </c>
      <c r="BB59" s="285">
        <f t="shared" si="58"/>
        <v>14</v>
      </c>
      <c r="BC59" s="260"/>
      <c r="BD59" s="257"/>
      <c r="BE59" s="287"/>
      <c r="BF59" s="301"/>
      <c r="BG59" s="285">
        <f t="shared" si="59"/>
        <v>0</v>
      </c>
      <c r="BH59" s="298"/>
      <c r="BI59" s="257"/>
      <c r="BJ59" s="287"/>
      <c r="BK59" s="301"/>
      <c r="BL59" s="285">
        <f t="shared" si="60"/>
        <v>0</v>
      </c>
      <c r="BM59" s="305"/>
      <c r="BN59" s="257">
        <v>18</v>
      </c>
      <c r="BO59" s="304">
        <v>0.22916666666666663</v>
      </c>
      <c r="BP59" s="253">
        <v>0.85416666666666663</v>
      </c>
      <c r="BQ59" s="285">
        <f t="shared" si="61"/>
        <v>18</v>
      </c>
      <c r="BR59" s="298"/>
      <c r="BS59" s="257">
        <v>16</v>
      </c>
      <c r="BT59" s="304">
        <v>0.33999999999999997</v>
      </c>
      <c r="BU59" s="253">
        <v>0.82000000000000006</v>
      </c>
      <c r="BV59" s="285">
        <f t="shared" si="62"/>
        <v>16</v>
      </c>
      <c r="BW59" s="298"/>
      <c r="BX59" s="257">
        <v>20</v>
      </c>
      <c r="BY59" s="324">
        <v>0.35</v>
      </c>
      <c r="BZ59" s="329">
        <v>0.75</v>
      </c>
      <c r="CA59" s="285">
        <f t="shared" si="63"/>
        <v>20</v>
      </c>
      <c r="CB59" s="298"/>
      <c r="CC59" s="257"/>
      <c r="CD59" s="287"/>
      <c r="CE59" s="301"/>
      <c r="CF59" s="285">
        <f t="shared" si="64"/>
        <v>0</v>
      </c>
      <c r="CG59" s="298"/>
      <c r="CH59" s="257">
        <v>22</v>
      </c>
      <c r="CI59" s="304">
        <v>0.28333333333333333</v>
      </c>
      <c r="CJ59" s="253">
        <v>0.68333333333333335</v>
      </c>
      <c r="CK59" s="285">
        <f t="shared" si="65"/>
        <v>22</v>
      </c>
      <c r="CL59" s="298"/>
      <c r="CM59" s="257">
        <v>27</v>
      </c>
      <c r="CN59" s="304">
        <v>0.171875</v>
      </c>
      <c r="CO59" s="253">
        <v>0.421875</v>
      </c>
      <c r="CP59" s="285">
        <f t="shared" si="66"/>
        <v>27</v>
      </c>
      <c r="CQ59" s="298"/>
      <c r="CR59" s="257">
        <v>15</v>
      </c>
      <c r="CS59" s="287">
        <v>0.27500000000000002</v>
      </c>
      <c r="CT59" s="301">
        <v>0.67500000000000004</v>
      </c>
      <c r="CU59" s="285">
        <f t="shared" si="67"/>
        <v>15</v>
      </c>
      <c r="CV59" s="298"/>
      <c r="CW59" s="257">
        <v>24</v>
      </c>
      <c r="CX59" s="304">
        <v>0.28787878787878785</v>
      </c>
      <c r="CY59" s="253">
        <v>0.68181818181818188</v>
      </c>
      <c r="CZ59" s="285">
        <f t="shared" si="19"/>
        <v>24</v>
      </c>
      <c r="DA59" s="298"/>
      <c r="DB59" s="257">
        <v>16</v>
      </c>
      <c r="DC59" s="304">
        <v>0.35416666666666663</v>
      </c>
      <c r="DD59" s="253">
        <v>0.72916666666666674</v>
      </c>
      <c r="DE59" s="285">
        <f t="shared" si="20"/>
        <v>16</v>
      </c>
      <c r="DF59" s="298"/>
      <c r="DG59" s="257">
        <v>21</v>
      </c>
      <c r="DH59" s="304">
        <v>0.43055555555555558</v>
      </c>
      <c r="DI59" s="253">
        <v>0.68055555555555558</v>
      </c>
      <c r="DJ59" s="285">
        <f t="shared" ref="DJ59:DJ85" si="68">SUM(DF59:DG59)+IF(DF59="B",1,0)*DF$102+IF(DG59="B",1,0)*DG$102+IF(DF59="Løype",1)*$O$4+IF(DG59="Løype",1)*$O$4+IF(DF59="Arr",1)*$O$5+IF(DG59="Arr",1)*$O$5</f>
        <v>21</v>
      </c>
      <c r="DK59" s="298"/>
      <c r="DL59" s="257"/>
      <c r="DM59" s="287"/>
      <c r="DN59" s="301"/>
      <c r="DO59" s="285">
        <f t="shared" ref="DO59:DO85" si="69">SUM(DK59:DL59)+IF(DK59="B",1,0)*DK$102+IF(DL59="B",1,0)*DL$102+IF(DK59="Løype",1)*$O$4+IF(DL59="Løype",1)*$O$4+IF(DK59="Arr",1)*$O$5+IF(DL59="Arr",1)*$O$5</f>
        <v>0</v>
      </c>
      <c r="DP59" s="298"/>
      <c r="DQ59" s="257"/>
      <c r="DR59" s="287"/>
      <c r="DS59" s="301"/>
      <c r="DT59" s="285">
        <f t="shared" ref="DT59:DT85" si="70">SUM(DP59:DQ59)+IF(DP59="B",1,0)*DP$102+IF(DQ59="B",1,0)*DQ$102+IF(DP59="Løype",1)*$O$4+IF(DQ59="Løype",1)*$O$4+IF(DP59="Arr",1)*$O$5+IF(DQ59="Arr",1)*$O$5</f>
        <v>0</v>
      </c>
      <c r="DU59" s="298"/>
      <c r="DV59" s="257">
        <v>16</v>
      </c>
      <c r="DW59" s="461">
        <v>0.53030303030303028</v>
      </c>
      <c r="DX59" s="463">
        <v>0.71212121212121215</v>
      </c>
      <c r="DY59" s="285">
        <f t="shared" ref="DY59:DY85" si="71">SUM(DU59:DV59)+IF(DU59="B",1,0)*DU$102+IF(DV59="B",1,0)*DV$102+IF(DU59="Løype",1)*$O$4+IF(DV59="Løype",1)*$O$4+IF(DU59="Arr",1)*$O$5+IF(DV59="Arr",1)*$O$5</f>
        <v>16</v>
      </c>
      <c r="DZ59" s="475"/>
      <c r="EA59" s="456">
        <v>23</v>
      </c>
      <c r="EB59" s="461">
        <v>0.47777777777777775</v>
      </c>
      <c r="EC59" s="463">
        <v>0.78888888888888886</v>
      </c>
      <c r="ED59" s="285">
        <f t="shared" ref="ED59:ED85" si="72">SUM(DZ59:EA59)+IF(DZ59="B",1,0)*DZ$102+IF(EA59="B",1,0)*EA$102+IF(DZ59="Løype",1)*$O$4+IF(EA59="Løype",1)*$O$4+IF(DZ59="Arr",1)*$O$5+IF(EA59="Arr",1)*$O$5</f>
        <v>23</v>
      </c>
      <c r="EE59" s="475"/>
      <c r="EF59" s="456">
        <v>14</v>
      </c>
      <c r="EG59" s="461">
        <v>0.65384615384615385</v>
      </c>
      <c r="EH59" s="463">
        <v>0.83333333333333337</v>
      </c>
      <c r="EI59" s="285">
        <f t="shared" ref="EI59:EI90" si="73">SUM(EE59:EF59)+IF(EE59="B",1,0)*EE$102+IF(EF59="B",1,0)*EF$102+IF(EE59="Løype",1)*$O$4+IF(EF59="Løype",1)*$O$4+IF(EE59="Arr",1)*$O$5+IF(EF59="Arr",1)*$O$5</f>
        <v>14</v>
      </c>
      <c r="EJ59" s="467">
        <f t="shared" ref="EJ59:EJ90" si="74">COUNTIF($E59:$EI59,"&gt;0")/4+COUNTIF($E59:$EI59,"B")/4+COUNTIF($E59:$EI59,"Arr")/4+COUNTIF($E59:$EI59,"Løype")/4</f>
        <v>22</v>
      </c>
      <c r="EK59" s="522">
        <f t="shared" ref="EK59:EK90" si="75">COUNTIF($BH59:$EI59,"&gt;0")/4+COUNTIF($BH59:$EI59,"B")/4+COUNTIF($BH59:$EI59,"Arr")/4+COUNTIF($BH59:$EI59,"Løype")/4</f>
        <v>12</v>
      </c>
      <c r="EL59" s="267">
        <f t="shared" ref="EL59:EL90" si="76">COUNTIF($E59:$EI59,"&gt;0")/4+COUNTIF($E59:$EI59,"Arr")/4+COUNTIF($E59:$EI59,"Løype")/4-COUNTIF($E59:$EI59,"B")*3/4</f>
        <v>22</v>
      </c>
      <c r="EM59" s="267">
        <f t="shared" ref="EM59:EM90" si="77">COUNTIF(E59:EI59,"Arr")+COUNTIF(E59:EI59,"Løype")</f>
        <v>0</v>
      </c>
      <c r="EN59" s="516">
        <f t="shared" ref="EN59:EN90" si="78">COUNTIF(BH59:EI59,"Arr")+COUNTIF(BH59:EI59,"Løype")</f>
        <v>0</v>
      </c>
      <c r="EO59" s="273">
        <f t="shared" ref="EO59:EO90" si="79">EK59-EN59</f>
        <v>12</v>
      </c>
      <c r="EP59" s="15"/>
      <c r="EQ59" s="61">
        <f t="shared" ref="EQ59:EQ90" si="80">$I59+$N59+$S59+$X59+$AC59+$AH59+$AM59+$AR59+$AW59+$BB59+$BG59+$BL59+$BQ59+$BV59+$CA59+$CF59+$CK59+$CP59+$CU59+$CZ59+$DE59+$DJ59+$DO59+$DT59+$DY59+$ED59+$EI59</f>
        <v>377</v>
      </c>
      <c r="ER59" s="187">
        <f>IF(OR($E59="B",$F59="B"),0,$I59)+IF(OR($J59="B",$K59="B"),0,$N59)+IF(OR($O59="B",$P59="B"),0,$S59)+IF(OR($T59="B",$U59="B"),0,$X59)+IF(OR($Y59="B",$Z59="B"),0,$AC59)+IF(OR($AD59="B",$AE59="B"),0,$AH59)+IF(OR($AI59="B",$AJ59="B"),0,$AM59)+IF(OR($HP36="B",$AO59="B"),0,$AR59)+IF(OR($AS59="B",$AT59="B"),0,$AW59)+IF(OR($AX59="B",$AY59="B"),0,$BB59)+IF(OR($BC59="B",$BD59="B"),0,$BG59)+IF(OR($BH59="B",$BI59="B"),0,$BL59)+IF(OR($BM59="B",$BN59="B"),0,$BQ59)+IF(OR($BR59="B",$BS59="B"),0,$BV59)+IF(OR($BW59="B",$BX59="B"),0,$CA59)+IF(OR($CB59="B",$CC59="B"),0,$CF59)+IF(OR($CG59="B",$CH59="B"),0,$CK59)+IF(OR($CL59="B",$CM59="B"),0,$CP59)+IF(OR($CQ59="B",$CR59="B"),0,$CU59)+IF(OR($CV59="B",$CW59="B"),0,$CZ59)+IF(OR($DA59="B",$DB59="B"),0,$DE59)+IF(OR($DF59="B",$DG59="B"),0,$DJ59)+IF(OR($DK59="B",$DL59="B"),0,$DO59)+IF(OR($DP59="B",$DQ59="B"),0,$DT59)+IF(OR($DU59="B",$DV59="B"),0,$DY59)+IF(OR($DZ59="B",$EA59="B"),0,$ED59)+IF(OR($EE59="B",$EF59="B"),0,$EI59)</f>
        <v>377</v>
      </c>
      <c r="ES59" s="28">
        <f t="shared" ref="ES59:ES90" si="81">IF(EJ59&gt;0,EQ59/EJ59," " )</f>
        <v>17.136363636363637</v>
      </c>
      <c r="ET59" s="62">
        <f t="shared" ref="ET59:ET90" si="82">IF(EL59&gt;0,ER59/EL59," " )</f>
        <v>17.136363636363637</v>
      </c>
      <c r="EU59" s="63"/>
      <c r="EV59" s="247">
        <f t="shared" ref="EV59:EV90" si="83">EQ59+EX$20-EJ59</f>
        <v>382</v>
      </c>
      <c r="EW59" s="249">
        <f t="shared" ref="EW59:EW90" si="84">ER59+EX$20-EL59</f>
        <v>382</v>
      </c>
      <c r="EX59" s="23">
        <f t="shared" ref="EX59:EX90" si="85">IF(EJ59&gt;0,EV59/EJ59," " )</f>
        <v>17.363636363636363</v>
      </c>
      <c r="EY59" s="74">
        <f t="shared" ref="EY59:EY90" si="86">IF(EL59&gt;0,EW59/EL59," " )</f>
        <v>17.363636363636363</v>
      </c>
      <c r="EZ59" s="63"/>
      <c r="FA59" s="336">
        <f t="shared" ref="FA59:FA90" si="87">EJ59-EM59</f>
        <v>22</v>
      </c>
      <c r="FB59" s="337">
        <f t="shared" ref="FB59:FB90" si="88">EM59</f>
        <v>0</v>
      </c>
      <c r="FC59" s="333">
        <f t="shared" ref="FC59:FC90" si="89">G59+L59+Q59+V59+AA59+AF59+AK59+AP59+AU59+AZ59+BE59+BJ59+BO59+BT59+BY59+CD59+CI59+CN59+CS59+CX59+DC59+DH59+DM59+DR59+DW59+EB59+EG59</f>
        <v>8.2161495042118293</v>
      </c>
      <c r="FD59" s="420">
        <f t="shared" ref="FD59:FD90" si="90">IF(EJ59&gt;0,FC59/EJ59," " )</f>
        <v>0.37346134110053769</v>
      </c>
      <c r="FE59" s="433">
        <f t="shared" ref="FE59:FE90" si="91">H59+M59+R59+W59+AB59+AG59+AL59+AQ59+AV59+BA59+BF59+BK59+BP59+BU59+BZ59+CE59+CJ59+CO59+CT59+CY59+DD59+DI59+DN59+DS59+DX59+EC59+EH59</f>
        <v>15.07215146733818</v>
      </c>
      <c r="FF59" s="213">
        <f t="shared" ref="FF59:FF90" si="92">IF(EJ59&gt;0,FE59/EJ59," " )</f>
        <v>0.68509779396991732</v>
      </c>
      <c r="FG59" s="15"/>
      <c r="FH59" s="37">
        <f t="shared" si="46"/>
        <v>33</v>
      </c>
    </row>
    <row r="60" spans="2:164" ht="17" customHeight="1" thickBot="1" x14ac:dyDescent="0.25">
      <c r="B60" s="258" t="s">
        <v>68</v>
      </c>
      <c r="C60" s="259" t="s">
        <v>69</v>
      </c>
      <c r="D60" s="299">
        <v>520741</v>
      </c>
      <c r="E60" s="300"/>
      <c r="F60" s="285"/>
      <c r="G60" s="285"/>
      <c r="H60" s="285"/>
      <c r="I60" s="285">
        <f t="shared" si="49"/>
        <v>0</v>
      </c>
      <c r="J60" s="301"/>
      <c r="K60" s="301">
        <v>17</v>
      </c>
      <c r="L60" s="253">
        <v>5.091435185185185E-2</v>
      </c>
      <c r="M60" s="253">
        <v>0.35416666666666663</v>
      </c>
      <c r="N60" s="285">
        <f t="shared" si="50"/>
        <v>17</v>
      </c>
      <c r="O60" s="303">
        <v>14</v>
      </c>
      <c r="P60" s="302"/>
      <c r="Q60" s="253">
        <v>0.4375</v>
      </c>
      <c r="R60" s="253">
        <v>0.27083333333333337</v>
      </c>
      <c r="S60" s="285">
        <f t="shared" si="51"/>
        <v>14</v>
      </c>
      <c r="T60" s="303">
        <v>11</v>
      </c>
      <c r="U60" s="302"/>
      <c r="V60" s="253">
        <v>0.5625</v>
      </c>
      <c r="W60" s="253">
        <v>0.39583333333333337</v>
      </c>
      <c r="X60" s="285">
        <f t="shared" si="52"/>
        <v>11</v>
      </c>
      <c r="Y60" s="303"/>
      <c r="Z60" s="287">
        <v>11</v>
      </c>
      <c r="AA60" s="330">
        <v>0.66129032258064524</v>
      </c>
      <c r="AB60" s="253">
        <v>0.532258064516129</v>
      </c>
      <c r="AC60" s="285">
        <f t="shared" si="53"/>
        <v>11</v>
      </c>
      <c r="AD60" s="303"/>
      <c r="AE60" s="287">
        <v>9</v>
      </c>
      <c r="AF60" s="253">
        <v>0.59523809523809523</v>
      </c>
      <c r="AG60" s="253">
        <v>0.40476190476190477</v>
      </c>
      <c r="AH60" s="285">
        <f t="shared" si="54"/>
        <v>9</v>
      </c>
      <c r="AI60" s="260"/>
      <c r="AJ60" s="257">
        <v>8</v>
      </c>
      <c r="AK60" s="253">
        <v>0.64285714285714279</v>
      </c>
      <c r="AL60" s="253">
        <v>0.40476190476190477</v>
      </c>
      <c r="AM60" s="285">
        <f t="shared" si="55"/>
        <v>8</v>
      </c>
      <c r="AN60" s="260"/>
      <c r="AO60" s="257">
        <v>14</v>
      </c>
      <c r="AP60" s="253">
        <v>0.4375</v>
      </c>
      <c r="AQ60" s="253">
        <v>0.27083333333333337</v>
      </c>
      <c r="AR60" s="285">
        <f t="shared" si="56"/>
        <v>14</v>
      </c>
      <c r="AS60" s="260">
        <v>1</v>
      </c>
      <c r="AT60" s="257"/>
      <c r="AU60" s="253">
        <v>0.28260869565217395</v>
      </c>
      <c r="AV60" s="253">
        <v>0.23913043478260865</v>
      </c>
      <c r="AW60" s="285">
        <f t="shared" si="57"/>
        <v>1</v>
      </c>
      <c r="AX60" s="260"/>
      <c r="AY60" s="257" t="s">
        <v>2</v>
      </c>
      <c r="AZ60" s="253">
        <v>9.259259259259256E-2</v>
      </c>
      <c r="BA60" s="253">
        <v>9.259259259259256E-2</v>
      </c>
      <c r="BB60" s="285">
        <f t="shared" si="58"/>
        <v>23</v>
      </c>
      <c r="BC60" s="260"/>
      <c r="BD60" s="257">
        <v>7</v>
      </c>
      <c r="BE60" s="304">
        <v>0.79629629629629628</v>
      </c>
      <c r="BF60" s="253">
        <v>0.83333333333333337</v>
      </c>
      <c r="BG60" s="285">
        <f t="shared" si="59"/>
        <v>7</v>
      </c>
      <c r="BH60" s="298"/>
      <c r="BI60" s="257">
        <v>3</v>
      </c>
      <c r="BJ60" s="304">
        <v>0.80769230769230771</v>
      </c>
      <c r="BK60" s="253">
        <v>0.34615384615384615</v>
      </c>
      <c r="BL60" s="285">
        <f t="shared" si="60"/>
        <v>3</v>
      </c>
      <c r="BM60" s="305"/>
      <c r="BN60" s="257">
        <v>15</v>
      </c>
      <c r="BO60" s="304">
        <v>0.35416666666666663</v>
      </c>
      <c r="BP60" s="253">
        <v>0.27083333333333337</v>
      </c>
      <c r="BQ60" s="285">
        <f t="shared" si="61"/>
        <v>15</v>
      </c>
      <c r="BR60" s="298"/>
      <c r="BS60" s="257"/>
      <c r="BT60" s="287"/>
      <c r="BU60" s="301"/>
      <c r="BV60" s="285">
        <f t="shared" si="62"/>
        <v>0</v>
      </c>
      <c r="BW60" s="298"/>
      <c r="BX60" s="257">
        <v>9</v>
      </c>
      <c r="BY60" s="304">
        <v>0.71666666666666667</v>
      </c>
      <c r="BZ60" s="253">
        <v>0.48333333333333328</v>
      </c>
      <c r="CA60" s="285">
        <f t="shared" si="63"/>
        <v>9</v>
      </c>
      <c r="CB60" s="298"/>
      <c r="CC60" s="257"/>
      <c r="CD60" s="287"/>
      <c r="CE60" s="301"/>
      <c r="CF60" s="285">
        <f t="shared" si="64"/>
        <v>0</v>
      </c>
      <c r="CG60" s="298"/>
      <c r="CH60" s="257">
        <v>12</v>
      </c>
      <c r="CI60" s="304">
        <v>0.6166666666666667</v>
      </c>
      <c r="CJ60" s="253">
        <v>0.3833333333333333</v>
      </c>
      <c r="CK60" s="285">
        <f t="shared" si="65"/>
        <v>12</v>
      </c>
      <c r="CL60" s="298"/>
      <c r="CM60" s="257">
        <v>6</v>
      </c>
      <c r="CN60" s="304">
        <v>0.828125</v>
      </c>
      <c r="CO60" s="253">
        <v>0.671875</v>
      </c>
      <c r="CP60" s="285">
        <f t="shared" si="66"/>
        <v>6</v>
      </c>
      <c r="CQ60" s="298"/>
      <c r="CR60" s="257">
        <v>7</v>
      </c>
      <c r="CS60" s="287">
        <v>0.67500000000000004</v>
      </c>
      <c r="CT60" s="301">
        <v>0.47499999999999998</v>
      </c>
      <c r="CU60" s="285">
        <f t="shared" si="67"/>
        <v>7</v>
      </c>
      <c r="CV60" s="298"/>
      <c r="CW60" s="257">
        <v>23</v>
      </c>
      <c r="CX60" s="304">
        <v>0.31818181818181823</v>
      </c>
      <c r="CY60" s="253">
        <v>0.16666666666666663</v>
      </c>
      <c r="CZ60" s="285">
        <f t="shared" si="19"/>
        <v>23</v>
      </c>
      <c r="DA60" s="298"/>
      <c r="DB60" s="257">
        <v>11</v>
      </c>
      <c r="DC60" s="304">
        <v>0.5625</v>
      </c>
      <c r="DD60" s="509">
        <v>0.3125</v>
      </c>
      <c r="DE60" s="285">
        <f t="shared" si="20"/>
        <v>11</v>
      </c>
      <c r="DF60" s="298"/>
      <c r="DG60" s="257">
        <v>22</v>
      </c>
      <c r="DH60" s="304">
        <v>0.40277777777777779</v>
      </c>
      <c r="DI60" s="253">
        <v>0.23611111111111116</v>
      </c>
      <c r="DJ60" s="285">
        <f t="shared" si="68"/>
        <v>22</v>
      </c>
      <c r="DK60" s="298"/>
      <c r="DL60" s="257"/>
      <c r="DM60" s="287"/>
      <c r="DN60" s="301"/>
      <c r="DO60" s="285">
        <f t="shared" si="69"/>
        <v>0</v>
      </c>
      <c r="DP60" s="298"/>
      <c r="DQ60" s="257"/>
      <c r="DR60" s="287"/>
      <c r="DS60" s="301"/>
      <c r="DT60" s="285">
        <f t="shared" si="70"/>
        <v>0</v>
      </c>
      <c r="DU60" s="298"/>
      <c r="DV60" s="257"/>
      <c r="DW60" s="287"/>
      <c r="DX60" s="301"/>
      <c r="DY60" s="285">
        <f t="shared" si="71"/>
        <v>0</v>
      </c>
      <c r="DZ60" s="475"/>
      <c r="EA60" s="456">
        <v>27</v>
      </c>
      <c r="EB60" s="461">
        <v>0.3666666666666667</v>
      </c>
      <c r="EC60" s="463">
        <v>0.21111111111111114</v>
      </c>
      <c r="ED60" s="285">
        <f t="shared" si="72"/>
        <v>27</v>
      </c>
      <c r="EE60" s="475"/>
      <c r="EF60" s="456"/>
      <c r="EG60" s="461"/>
      <c r="EH60" s="463"/>
      <c r="EI60" s="285">
        <f t="shared" si="73"/>
        <v>0</v>
      </c>
      <c r="EJ60" s="467">
        <f t="shared" si="74"/>
        <v>20</v>
      </c>
      <c r="EK60" s="522">
        <f t="shared" si="75"/>
        <v>10</v>
      </c>
      <c r="EL60" s="267">
        <f t="shared" si="76"/>
        <v>19</v>
      </c>
      <c r="EM60" s="267">
        <f t="shared" si="77"/>
        <v>0</v>
      </c>
      <c r="EN60" s="516">
        <f t="shared" si="78"/>
        <v>0</v>
      </c>
      <c r="EO60" s="273">
        <f t="shared" si="79"/>
        <v>10</v>
      </c>
      <c r="EP60" s="15"/>
      <c r="EQ60" s="61">
        <f t="shared" si="80"/>
        <v>250</v>
      </c>
      <c r="ER60" s="187">
        <f>IF(OR($E60="B",$F60="B"),0,$I60)+IF(OR($J60="B",$K60="B"),0,$N60)+IF(OR($O60="B",$P60="B"),0,$S60)+IF(OR($T60="B",$U60="B"),0,$X60)+IF(OR($Y60="B",$Z60="B"),0,$AC60)+IF(OR($AD60="B",$AE60="B"),0,$AH60)+IF(OR($AI60="B",$AJ60="B"),0,$AM60)+IF(OR($HP39="B",$AO60="B"),0,$AR60)+IF(OR($AS60="B",$AT60="B"),0,$AW60)+IF(OR($AX60="B",$AY60="B"),0,$BB60)+IF(OR($BC60="B",$BD60="B"),0,$BG60)+IF(OR($BH60="B",$BI60="B"),0,$BL60)+IF(OR($BM60="B",$BN60="B"),0,$BQ60)+IF(OR($BR60="B",$BS60="B"),0,$BV60)+IF(OR($BW60="B",$BX60="B"),0,$CA60)+IF(OR($CB60="B",$CC60="B"),0,$CF60)+IF(OR($CG60="B",$CH60="B"),0,$CK60)+IF(OR($CL60="B",$CM60="B"),0,$CP60)+IF(OR($CQ60="B",$CR60="B"),0,$CU60)+IF(OR($CV60="B",$CW60="B"),0,$CZ60)+IF(OR($DA60="B",$DB60="B"),0,$DE60)+IF(OR($DF60="B",$DG60="B"),0,$DJ60)+IF(OR($DK60="B",$DL60="B"),0,$DO60)+IF(OR($DP60="B",$DQ60="B"),0,$DT60)+IF(OR($DU60="B",$DV60="B"),0,$DY60)+IF(OR($DZ60="B",$EA60="B"),0,$ED60)+IF(OR($EE60="B",$EF60="B"),0,$EI60)</f>
        <v>227</v>
      </c>
      <c r="ES60" s="28">
        <f t="shared" si="81"/>
        <v>12.5</v>
      </c>
      <c r="ET60" s="62">
        <f t="shared" si="82"/>
        <v>11.947368421052632</v>
      </c>
      <c r="EU60" s="63"/>
      <c r="EV60" s="247">
        <f t="shared" si="83"/>
        <v>257</v>
      </c>
      <c r="EW60" s="249">
        <f t="shared" si="84"/>
        <v>235</v>
      </c>
      <c r="EX60" s="23">
        <f t="shared" si="85"/>
        <v>12.85</v>
      </c>
      <c r="EY60" s="74">
        <f t="shared" si="86"/>
        <v>12.368421052631579</v>
      </c>
      <c r="EZ60" s="63"/>
      <c r="FA60" s="336">
        <f t="shared" si="87"/>
        <v>20</v>
      </c>
      <c r="FB60" s="337">
        <f t="shared" si="88"/>
        <v>0</v>
      </c>
      <c r="FC60" s="333">
        <f t="shared" si="89"/>
        <v>10.207741067387371</v>
      </c>
      <c r="FD60" s="420">
        <f t="shared" si="90"/>
        <v>0.51038705336936852</v>
      </c>
      <c r="FE60" s="433">
        <f t="shared" si="91"/>
        <v>7.3554226364578748</v>
      </c>
      <c r="FF60" s="213">
        <f t="shared" si="92"/>
        <v>0.36777113182289373</v>
      </c>
      <c r="FG60" s="15"/>
      <c r="FH60" s="37">
        <f t="shared" si="46"/>
        <v>34</v>
      </c>
    </row>
    <row r="61" spans="2:164" ht="17" customHeight="1" thickBot="1" x14ac:dyDescent="0.25">
      <c r="B61" s="258" t="s">
        <v>76</v>
      </c>
      <c r="C61" s="259" t="s">
        <v>77</v>
      </c>
      <c r="D61" s="299">
        <v>538678</v>
      </c>
      <c r="E61" s="300"/>
      <c r="F61" s="285"/>
      <c r="G61" s="285"/>
      <c r="H61" s="285"/>
      <c r="I61" s="285">
        <f t="shared" si="49"/>
        <v>0</v>
      </c>
      <c r="J61" s="301"/>
      <c r="K61" s="301"/>
      <c r="L61" s="301"/>
      <c r="M61" s="301"/>
      <c r="N61" s="285">
        <f t="shared" si="50"/>
        <v>0</v>
      </c>
      <c r="O61" s="303">
        <v>18</v>
      </c>
      <c r="P61" s="302"/>
      <c r="Q61" s="253">
        <v>0.27083333333333337</v>
      </c>
      <c r="R61" s="253">
        <v>0.14583333333333337</v>
      </c>
      <c r="S61" s="285">
        <f t="shared" si="51"/>
        <v>18</v>
      </c>
      <c r="T61" s="303">
        <v>16</v>
      </c>
      <c r="U61" s="302"/>
      <c r="V61" s="253">
        <v>0.35416666666666663</v>
      </c>
      <c r="W61" s="253">
        <v>0.35416666666666663</v>
      </c>
      <c r="X61" s="285">
        <f t="shared" si="52"/>
        <v>16</v>
      </c>
      <c r="Y61" s="303"/>
      <c r="Z61" s="287">
        <v>12</v>
      </c>
      <c r="AA61" s="253">
        <v>0.62903225806451613</v>
      </c>
      <c r="AB61" s="253">
        <v>0.56451612903225801</v>
      </c>
      <c r="AC61" s="285">
        <f t="shared" si="53"/>
        <v>12</v>
      </c>
      <c r="AD61" s="303"/>
      <c r="AE61" s="269"/>
      <c r="AF61" s="253"/>
      <c r="AG61" s="253"/>
      <c r="AH61" s="285">
        <f t="shared" si="54"/>
        <v>0</v>
      </c>
      <c r="AI61" s="260"/>
      <c r="AJ61" s="257">
        <v>12</v>
      </c>
      <c r="AK61" s="253">
        <v>0.45238095238095233</v>
      </c>
      <c r="AL61" s="253">
        <v>0.3571428571428571</v>
      </c>
      <c r="AM61" s="285">
        <f t="shared" si="55"/>
        <v>12</v>
      </c>
      <c r="AN61" s="260"/>
      <c r="AO61" s="257">
        <v>17</v>
      </c>
      <c r="AP61" s="253">
        <v>0.3125</v>
      </c>
      <c r="AQ61" s="253">
        <v>0.3125</v>
      </c>
      <c r="AR61" s="285">
        <f t="shared" si="56"/>
        <v>17</v>
      </c>
      <c r="AS61" s="260"/>
      <c r="AT61" s="257">
        <v>10</v>
      </c>
      <c r="AU61" s="253">
        <v>0.58695652173913038</v>
      </c>
      <c r="AV61" s="253">
        <v>0.41304347826086951</v>
      </c>
      <c r="AW61" s="285">
        <f t="shared" si="57"/>
        <v>10</v>
      </c>
      <c r="AX61" s="260"/>
      <c r="AY61" s="257"/>
      <c r="AZ61" s="253"/>
      <c r="BA61" s="253"/>
      <c r="BB61" s="285">
        <f t="shared" si="58"/>
        <v>0</v>
      </c>
      <c r="BC61" s="260"/>
      <c r="BD61" s="257">
        <v>9</v>
      </c>
      <c r="BE61" s="304">
        <v>0.68518518518518512</v>
      </c>
      <c r="BF61" s="253">
        <v>0.53703703703703698</v>
      </c>
      <c r="BG61" s="285">
        <f t="shared" si="59"/>
        <v>9</v>
      </c>
      <c r="BH61" s="298"/>
      <c r="BI61" s="257"/>
      <c r="BJ61" s="287"/>
      <c r="BK61" s="301"/>
      <c r="BL61" s="285">
        <f t="shared" si="60"/>
        <v>0</v>
      </c>
      <c r="BM61" s="305"/>
      <c r="BN61" s="257">
        <v>23</v>
      </c>
      <c r="BO61" s="304">
        <v>2.083333333333337E-2</v>
      </c>
      <c r="BP61" s="253">
        <v>2.083333333333337E-2</v>
      </c>
      <c r="BQ61" s="285">
        <f t="shared" si="61"/>
        <v>23</v>
      </c>
      <c r="BR61" s="298"/>
      <c r="BS61" s="257"/>
      <c r="BT61" s="287"/>
      <c r="BU61" s="301"/>
      <c r="BV61" s="285">
        <f t="shared" si="62"/>
        <v>0</v>
      </c>
      <c r="BW61" s="298"/>
      <c r="BX61" s="257">
        <v>12</v>
      </c>
      <c r="BY61" s="304">
        <v>0.6166666666666667</v>
      </c>
      <c r="BZ61" s="253">
        <v>0.41666666666666663</v>
      </c>
      <c r="CA61" s="285">
        <f t="shared" si="63"/>
        <v>12</v>
      </c>
      <c r="CB61" s="298"/>
      <c r="CC61" s="257"/>
      <c r="CD61" s="507"/>
      <c r="CE61" s="301"/>
      <c r="CF61" s="285">
        <f t="shared" si="64"/>
        <v>0</v>
      </c>
      <c r="CG61" s="298"/>
      <c r="CH61" s="257">
        <v>13</v>
      </c>
      <c r="CI61" s="304">
        <v>0.58333333333333326</v>
      </c>
      <c r="CJ61" s="253">
        <v>0.35</v>
      </c>
      <c r="CK61" s="285">
        <f t="shared" si="65"/>
        <v>13</v>
      </c>
      <c r="CL61" s="298"/>
      <c r="CM61" s="257">
        <v>19</v>
      </c>
      <c r="CN61" s="304">
        <v>0.421875</v>
      </c>
      <c r="CO61" s="454">
        <v>0.296875</v>
      </c>
      <c r="CP61" s="285">
        <f t="shared" si="66"/>
        <v>19</v>
      </c>
      <c r="CQ61" s="298"/>
      <c r="CR61" s="257"/>
      <c r="CS61" s="287"/>
      <c r="CT61" s="301"/>
      <c r="CU61" s="285">
        <f t="shared" si="67"/>
        <v>0</v>
      </c>
      <c r="CV61" s="298"/>
      <c r="CW61" s="257"/>
      <c r="CX61" s="304"/>
      <c r="CY61" s="301"/>
      <c r="CZ61" s="285">
        <f t="shared" si="19"/>
        <v>0</v>
      </c>
      <c r="DA61" s="298"/>
      <c r="DB61" s="257">
        <v>8</v>
      </c>
      <c r="DC61" s="304">
        <v>0.6875</v>
      </c>
      <c r="DD61" s="253">
        <v>0.5625</v>
      </c>
      <c r="DE61" s="285">
        <f t="shared" si="20"/>
        <v>8</v>
      </c>
      <c r="DF61" s="298"/>
      <c r="DG61" s="257">
        <v>16</v>
      </c>
      <c r="DH61" s="304">
        <v>0.56944444444444442</v>
      </c>
      <c r="DI61" s="253">
        <v>0.40277777777777779</v>
      </c>
      <c r="DJ61" s="285">
        <f t="shared" si="68"/>
        <v>16</v>
      </c>
      <c r="DK61" s="298"/>
      <c r="DL61" s="257">
        <v>17</v>
      </c>
      <c r="DM61" s="304">
        <v>0.4107142857142857</v>
      </c>
      <c r="DN61" s="253">
        <v>0.3035714285714286</v>
      </c>
      <c r="DO61" s="285">
        <f t="shared" si="69"/>
        <v>17</v>
      </c>
      <c r="DP61" s="298"/>
      <c r="DQ61" s="257">
        <v>18</v>
      </c>
      <c r="DR61" s="304">
        <v>0.32758620689655171</v>
      </c>
      <c r="DS61" s="253">
        <v>0.15517241379310343</v>
      </c>
      <c r="DT61" s="285">
        <f t="shared" si="70"/>
        <v>18</v>
      </c>
      <c r="DU61" s="298"/>
      <c r="DV61" s="257">
        <v>18</v>
      </c>
      <c r="DW61" s="461">
        <v>0.46969696969696972</v>
      </c>
      <c r="DX61" s="463">
        <v>0.13636363636363635</v>
      </c>
      <c r="DY61" s="285">
        <f t="shared" si="71"/>
        <v>18</v>
      </c>
      <c r="DZ61" s="475"/>
      <c r="EA61" s="456">
        <v>15</v>
      </c>
      <c r="EB61" s="461">
        <v>0.65555555555555556</v>
      </c>
      <c r="EC61" s="463">
        <v>0.52222222222222214</v>
      </c>
      <c r="ED61" s="285">
        <f t="shared" si="72"/>
        <v>15</v>
      </c>
      <c r="EE61" s="475"/>
      <c r="EF61" s="456">
        <v>24</v>
      </c>
      <c r="EG61" s="461">
        <v>0.16666666666666663</v>
      </c>
      <c r="EH61" s="463">
        <v>6.4102564102564097E-2</v>
      </c>
      <c r="EI61" s="285">
        <f t="shared" si="73"/>
        <v>24</v>
      </c>
      <c r="EJ61" s="467">
        <f t="shared" si="74"/>
        <v>18</v>
      </c>
      <c r="EK61" s="522">
        <f t="shared" si="75"/>
        <v>11</v>
      </c>
      <c r="EL61" s="267">
        <f t="shared" si="76"/>
        <v>18</v>
      </c>
      <c r="EM61" s="267">
        <f t="shared" si="77"/>
        <v>0</v>
      </c>
      <c r="EN61" s="516">
        <f t="shared" si="78"/>
        <v>0</v>
      </c>
      <c r="EO61" s="273">
        <f t="shared" si="79"/>
        <v>11</v>
      </c>
      <c r="EP61" s="15"/>
      <c r="EQ61" s="61">
        <f t="shared" si="80"/>
        <v>277</v>
      </c>
      <c r="ER61" s="187">
        <f>IF(OR($E61="B",$F61="B"),0,$I61)+IF(OR($J61="B",$K61="B"),0,$N61)+IF(OR($O61="B",$P61="B"),0,$S61)+IF(OR($T61="B",$U61="B"),0,$X61)+IF(OR($Y61="B",$Z61="B"),0,$AC61)+IF(OR($AD61="B",$AE61="B"),0,$AH61)+IF(OR($AI61="B",$AJ61="B"),0,$AM61)+IF(OR($HP40="B",$AO61="B"),0,$AR61)+IF(OR($AS61="B",$AT61="B"),0,$AW61)+IF(OR($AX61="B",$AY61="B"),0,$BB61)+IF(OR($BC61="B",$BD61="B"),0,$BG61)+IF(OR($BH61="B",$BI61="B"),0,$BL61)+IF(OR($BM61="B",$BN61="B"),0,$BQ61)+IF(OR($BR61="B",$BS61="B"),0,$BV61)+IF(OR($BW61="B",$BX61="B"),0,$CA61)+IF(OR($CB61="B",$CC61="B"),0,$CF61)+IF(OR($CG61="B",$CH61="B"),0,$CK61)+IF(OR($CL61="B",$CM61="B"),0,$CP61)+IF(OR($CQ61="B",$CR61="B"),0,$CU61)+IF(OR($CV61="B",$CW61="B"),0,$CZ61)+IF(OR($DA61="B",$DB61="B"),0,$DE61)+IF(OR($DF61="B",$DG61="B"),0,$DJ61)+IF(OR($DK61="B",$DL61="B"),0,$DO61)+IF(OR($DP61="B",$DQ61="B"),0,$DT61)+IF(OR($DU61="B",$DV61="B"),0,$DY61)+IF(OR($DZ61="B",$EA61="B"),0,$ED61)+IF(OR($EE61="B",$EF61="B"),0,$EI61)</f>
        <v>277</v>
      </c>
      <c r="ES61" s="28">
        <f t="shared" si="81"/>
        <v>15.388888888888889</v>
      </c>
      <c r="ET61" s="62">
        <f t="shared" si="82"/>
        <v>15.388888888888889</v>
      </c>
      <c r="EU61" s="63"/>
      <c r="EV61" s="247">
        <f t="shared" si="83"/>
        <v>286</v>
      </c>
      <c r="EW61" s="249">
        <f t="shared" si="84"/>
        <v>286</v>
      </c>
      <c r="EX61" s="23">
        <f t="shared" si="85"/>
        <v>15.888888888888889</v>
      </c>
      <c r="EY61" s="74">
        <f t="shared" si="86"/>
        <v>15.888888888888889</v>
      </c>
      <c r="EZ61" s="63"/>
      <c r="FA61" s="336">
        <f t="shared" si="87"/>
        <v>18</v>
      </c>
      <c r="FB61" s="337">
        <f t="shared" si="88"/>
        <v>0</v>
      </c>
      <c r="FC61" s="333">
        <f t="shared" si="89"/>
        <v>8.2209273796775904</v>
      </c>
      <c r="FD61" s="420">
        <f t="shared" si="90"/>
        <v>0.45671818775986611</v>
      </c>
      <c r="FE61" s="433">
        <f t="shared" si="91"/>
        <v>5.915324544303755</v>
      </c>
      <c r="FF61" s="213">
        <f t="shared" si="92"/>
        <v>0.3286291413502086</v>
      </c>
      <c r="FG61" s="15"/>
      <c r="FH61" s="37">
        <f t="shared" si="46"/>
        <v>35</v>
      </c>
    </row>
    <row r="62" spans="2:164" ht="17" customHeight="1" thickBot="1" x14ac:dyDescent="0.25">
      <c r="B62" s="258" t="s">
        <v>90</v>
      </c>
      <c r="C62" s="259" t="s">
        <v>91</v>
      </c>
      <c r="D62" s="299">
        <v>266676</v>
      </c>
      <c r="E62" s="300" t="s">
        <v>2</v>
      </c>
      <c r="F62" s="285"/>
      <c r="G62" s="397">
        <v>2.3809523809523836E-2</v>
      </c>
      <c r="H62" s="397">
        <v>2.3809523809523836E-2</v>
      </c>
      <c r="I62" s="285">
        <f t="shared" si="49"/>
        <v>1</v>
      </c>
      <c r="J62" s="301">
        <v>2</v>
      </c>
      <c r="K62" s="476"/>
      <c r="L62" s="253">
        <v>0.39583333333333337</v>
      </c>
      <c r="M62" s="253">
        <v>0.1875</v>
      </c>
      <c r="N62" s="285">
        <f t="shared" si="50"/>
        <v>2</v>
      </c>
      <c r="O62" s="303"/>
      <c r="P62" s="302"/>
      <c r="Q62" s="301"/>
      <c r="R62" s="301"/>
      <c r="S62" s="285">
        <f t="shared" si="51"/>
        <v>0</v>
      </c>
      <c r="T62" s="303" t="s">
        <v>2</v>
      </c>
      <c r="U62" s="302"/>
      <c r="V62" s="253">
        <v>0.10416666666666663</v>
      </c>
      <c r="W62" s="253">
        <v>0.10416666666666663</v>
      </c>
      <c r="X62" s="285">
        <f t="shared" si="52"/>
        <v>22</v>
      </c>
      <c r="Y62" s="303">
        <v>1</v>
      </c>
      <c r="Z62" s="287"/>
      <c r="AA62" s="253">
        <v>0.467741935483871</v>
      </c>
      <c r="AB62" s="253">
        <v>0.27419354838709675</v>
      </c>
      <c r="AC62" s="285">
        <f t="shared" si="53"/>
        <v>1</v>
      </c>
      <c r="AD62" s="303"/>
      <c r="AE62" s="287"/>
      <c r="AF62" s="253"/>
      <c r="AG62" s="253"/>
      <c r="AH62" s="285">
        <f t="shared" si="54"/>
        <v>0</v>
      </c>
      <c r="AI62" s="176"/>
      <c r="AJ62" s="81"/>
      <c r="AK62" s="191"/>
      <c r="AL62" s="191"/>
      <c r="AM62" s="285">
        <f t="shared" si="55"/>
        <v>0</v>
      </c>
      <c r="AN62" s="260"/>
      <c r="AO62" s="257"/>
      <c r="AP62" s="301"/>
      <c r="AQ62" s="301"/>
      <c r="AR62" s="285">
        <f t="shared" si="56"/>
        <v>0</v>
      </c>
      <c r="AS62" s="260"/>
      <c r="AT62" s="257"/>
      <c r="AU62" s="301"/>
      <c r="AV62" s="301"/>
      <c r="AW62" s="285">
        <f t="shared" si="57"/>
        <v>0</v>
      </c>
      <c r="AX62" s="260"/>
      <c r="AY62" s="257">
        <v>13</v>
      </c>
      <c r="AZ62" s="253">
        <v>0.53703703703703698</v>
      </c>
      <c r="BA62" s="253">
        <v>0.38888888888888884</v>
      </c>
      <c r="BB62" s="285">
        <f t="shared" si="58"/>
        <v>13</v>
      </c>
      <c r="BC62" s="260"/>
      <c r="BD62" s="257">
        <v>6</v>
      </c>
      <c r="BE62" s="304">
        <v>0.7592592592592593</v>
      </c>
      <c r="BF62" s="253">
        <v>0.57407407407407407</v>
      </c>
      <c r="BG62" s="285">
        <f t="shared" si="59"/>
        <v>6</v>
      </c>
      <c r="BH62" s="298"/>
      <c r="BI62" s="257">
        <v>9</v>
      </c>
      <c r="BJ62" s="304">
        <v>0.34615384615384615</v>
      </c>
      <c r="BK62" s="253">
        <v>0.19230769230769229</v>
      </c>
      <c r="BL62" s="285">
        <f t="shared" si="60"/>
        <v>9</v>
      </c>
      <c r="BM62" s="305">
        <v>1</v>
      </c>
      <c r="BN62" s="257"/>
      <c r="BO62" s="304">
        <v>0.39583333333333337</v>
      </c>
      <c r="BP62" s="253">
        <v>0.1875</v>
      </c>
      <c r="BQ62" s="285">
        <f t="shared" si="61"/>
        <v>1</v>
      </c>
      <c r="BR62" s="298"/>
      <c r="BS62" s="257"/>
      <c r="BT62" s="287"/>
      <c r="BU62" s="301"/>
      <c r="BV62" s="285">
        <f t="shared" si="62"/>
        <v>0</v>
      </c>
      <c r="BW62" s="298"/>
      <c r="BX62" s="257">
        <v>16</v>
      </c>
      <c r="BY62" s="304">
        <v>0.48333333333333328</v>
      </c>
      <c r="BZ62" s="253">
        <v>0.35</v>
      </c>
      <c r="CA62" s="285">
        <f t="shared" si="63"/>
        <v>16</v>
      </c>
      <c r="CB62" s="182"/>
      <c r="CC62" s="257">
        <v>18</v>
      </c>
      <c r="CD62" s="330">
        <v>0.3833333333333333</v>
      </c>
      <c r="CE62" s="253">
        <v>0.31666666666666665</v>
      </c>
      <c r="CF62" s="285">
        <f t="shared" si="64"/>
        <v>18</v>
      </c>
      <c r="CG62" s="298"/>
      <c r="CH62" s="257">
        <v>16</v>
      </c>
      <c r="CI62" s="304">
        <v>0.48333333333333328</v>
      </c>
      <c r="CJ62" s="253">
        <v>0.31666666666666665</v>
      </c>
      <c r="CK62" s="285">
        <f t="shared" si="65"/>
        <v>16</v>
      </c>
      <c r="CL62" s="298"/>
      <c r="CM62" s="257">
        <v>16</v>
      </c>
      <c r="CN62" s="304">
        <v>0.515625</v>
      </c>
      <c r="CO62" s="454">
        <v>0.484375</v>
      </c>
      <c r="CP62" s="285">
        <f t="shared" si="66"/>
        <v>16</v>
      </c>
      <c r="CQ62" s="298"/>
      <c r="CR62" s="257"/>
      <c r="CS62" s="287"/>
      <c r="CT62" s="301"/>
      <c r="CU62" s="285">
        <f t="shared" si="67"/>
        <v>0</v>
      </c>
      <c r="CV62" s="298"/>
      <c r="CW62" s="257">
        <v>16</v>
      </c>
      <c r="CX62" s="304">
        <v>0.53030303030303028</v>
      </c>
      <c r="CY62" s="253">
        <v>0.37878787878787878</v>
      </c>
      <c r="CZ62" s="285">
        <f t="shared" si="19"/>
        <v>16</v>
      </c>
      <c r="DA62" s="298"/>
      <c r="DB62" s="257"/>
      <c r="DC62" s="287"/>
      <c r="DD62" s="4"/>
      <c r="DE62" s="285">
        <f t="shared" si="20"/>
        <v>0</v>
      </c>
      <c r="DF62" s="298"/>
      <c r="DG62" s="257">
        <v>27</v>
      </c>
      <c r="DH62" s="304">
        <v>0.26388888888888884</v>
      </c>
      <c r="DI62" s="253">
        <v>0.15277777777777779</v>
      </c>
      <c r="DJ62" s="285">
        <f t="shared" si="68"/>
        <v>27</v>
      </c>
      <c r="DK62" s="298"/>
      <c r="DL62" s="257">
        <v>15</v>
      </c>
      <c r="DM62" s="304">
        <v>0.4821428571428571</v>
      </c>
      <c r="DN62" s="253">
        <v>0.5892857142857143</v>
      </c>
      <c r="DO62" s="285">
        <f t="shared" si="69"/>
        <v>15</v>
      </c>
      <c r="DP62" s="298"/>
      <c r="DQ62" s="257"/>
      <c r="DR62" s="287"/>
      <c r="DS62" s="301"/>
      <c r="DT62" s="285">
        <f t="shared" si="70"/>
        <v>0</v>
      </c>
      <c r="DU62" s="298"/>
      <c r="DV62" s="257"/>
      <c r="DW62" s="287"/>
      <c r="DX62" s="301"/>
      <c r="DY62" s="285">
        <f t="shared" si="71"/>
        <v>0</v>
      </c>
      <c r="DZ62" s="475"/>
      <c r="EA62" s="456">
        <v>14</v>
      </c>
      <c r="EB62" s="461">
        <v>0.67777777777777781</v>
      </c>
      <c r="EC62" s="463">
        <v>0.61111111111111116</v>
      </c>
      <c r="ED62" s="285">
        <f t="shared" si="72"/>
        <v>14</v>
      </c>
      <c r="EE62" s="475"/>
      <c r="EF62" s="456">
        <v>15</v>
      </c>
      <c r="EG62" s="461">
        <v>0.62820512820512819</v>
      </c>
      <c r="EH62" s="463">
        <v>0.44871794871794868</v>
      </c>
      <c r="EI62" s="285">
        <f t="shared" si="73"/>
        <v>15</v>
      </c>
      <c r="EJ62" s="467">
        <f t="shared" si="74"/>
        <v>17</v>
      </c>
      <c r="EK62" s="522">
        <f t="shared" si="75"/>
        <v>11</v>
      </c>
      <c r="EL62" s="267">
        <f t="shared" si="76"/>
        <v>15</v>
      </c>
      <c r="EM62" s="267">
        <f t="shared" si="77"/>
        <v>0</v>
      </c>
      <c r="EN62" s="516">
        <f t="shared" si="78"/>
        <v>0</v>
      </c>
      <c r="EO62" s="273">
        <f t="shared" si="79"/>
        <v>11</v>
      </c>
      <c r="EP62" s="15"/>
      <c r="EQ62" s="61">
        <f t="shared" si="80"/>
        <v>208</v>
      </c>
      <c r="ER62" s="187">
        <f>IF(OR($E62="B",$F62="B"),0,$I62)+IF(OR($J62="B",$K62="B"),0,$N62)+IF(OR($O62="B",$P62="B"),0,$S62)+IF(OR($T62="B",$U62="B"),0,$X62)+IF(OR($Y62="B",$Z62="B"),0,$AC62)+IF(OR($AD62="B",$AE62="B"),0,$AH62)+IF(OR($AI62="B",$AJ62="B"),0,$AM62)+IF(OR($HP40="B",$AO62="B"),0,$AR62)+IF(OR($AS62="B",$AT62="B"),0,$AW62)+IF(OR($AX62="B",$AY62="B"),0,$BB62)+IF(OR($BC62="B",$BD62="B"),0,$BG62)+IF(OR($BH62="B",$BI62="B"),0,$BL62)+IF(OR($BM62="B",$BN62="B"),0,$BQ62)+IF(OR($BR62="B",$BS62="B"),0,$BV62)+IF(OR($BW62="B",$BX62="B"),0,$CA62)+IF(OR($CB62="B",$CC62="B"),0,$CF62)+IF(OR($CG62="B",$CH62="B"),0,$CK62)+IF(OR($CL62="B",$CM62="B"),0,$CP62)+IF(OR($CQ62="B",$CR62="B"),0,$CU62)+IF(OR($CV62="B",$CW62="B"),0,$CZ62)+IF(OR($DA62="B",$DB62="B"),0,$DE62)+IF(OR($DF62="B",$DG62="B"),0,$DJ62)+IF(OR($DK62="B",$DL62="B"),0,$DO62)+IF(OR($DP62="B",$DQ62="B"),0,$DT62)+IF(OR($DU62="B",$DV62="B"),0,$DY62)+IF(OR($DZ62="B",$EA62="B"),0,$ED62)+IF(OR($EE62="B",$EF62="B"),0,$EI62)</f>
        <v>185</v>
      </c>
      <c r="ES62" s="28">
        <f t="shared" si="81"/>
        <v>12.235294117647058</v>
      </c>
      <c r="ET62" s="62">
        <f t="shared" si="82"/>
        <v>12.333333333333334</v>
      </c>
      <c r="EU62" s="63"/>
      <c r="EV62" s="247">
        <f t="shared" si="83"/>
        <v>218</v>
      </c>
      <c r="EW62" s="249">
        <f t="shared" si="84"/>
        <v>197</v>
      </c>
      <c r="EX62" s="23">
        <f t="shared" si="85"/>
        <v>12.823529411764707</v>
      </c>
      <c r="EY62" s="74">
        <f t="shared" si="86"/>
        <v>13.133333333333333</v>
      </c>
      <c r="EZ62" s="63"/>
      <c r="FA62" s="336">
        <f t="shared" si="87"/>
        <v>17</v>
      </c>
      <c r="FB62" s="337">
        <f t="shared" si="88"/>
        <v>0</v>
      </c>
      <c r="FC62" s="333">
        <f t="shared" si="89"/>
        <v>7.4777776173945529</v>
      </c>
      <c r="FD62" s="420">
        <f t="shared" si="90"/>
        <v>0.43986927161144429</v>
      </c>
      <c r="FE62" s="433">
        <f t="shared" si="91"/>
        <v>5.5808291581477061</v>
      </c>
      <c r="FF62" s="213">
        <f t="shared" si="92"/>
        <v>0.32828406812633565</v>
      </c>
      <c r="FG62" s="15"/>
      <c r="FH62" s="37">
        <f t="shared" si="46"/>
        <v>36</v>
      </c>
    </row>
    <row r="63" spans="2:164" ht="17" thickBot="1" x14ac:dyDescent="0.25">
      <c r="B63" s="258" t="s">
        <v>130</v>
      </c>
      <c r="C63" s="259" t="s">
        <v>131</v>
      </c>
      <c r="D63" s="299">
        <v>259064</v>
      </c>
      <c r="E63" s="300"/>
      <c r="F63" s="285"/>
      <c r="G63" s="285"/>
      <c r="H63" s="285"/>
      <c r="I63" s="285">
        <f t="shared" si="49"/>
        <v>0</v>
      </c>
      <c r="J63" s="301"/>
      <c r="K63" s="301"/>
      <c r="L63" s="301"/>
      <c r="M63" s="301"/>
      <c r="N63" s="285">
        <f t="shared" si="50"/>
        <v>0</v>
      </c>
      <c r="O63" s="303"/>
      <c r="P63" s="302"/>
      <c r="Q63" s="301"/>
      <c r="R63" s="301"/>
      <c r="S63" s="285">
        <f t="shared" si="51"/>
        <v>0</v>
      </c>
      <c r="T63" s="303">
        <v>18</v>
      </c>
      <c r="U63" s="302"/>
      <c r="V63" s="253">
        <v>0.27083333333333337</v>
      </c>
      <c r="W63" s="253">
        <v>0.27083333333333337</v>
      </c>
      <c r="X63" s="285">
        <f t="shared" si="52"/>
        <v>18</v>
      </c>
      <c r="Y63" s="303"/>
      <c r="Z63" s="287">
        <v>23</v>
      </c>
      <c r="AA63" s="253">
        <v>0.20967741935483875</v>
      </c>
      <c r="AB63" s="253">
        <v>0.14516129032258063</v>
      </c>
      <c r="AC63" s="285">
        <f t="shared" si="53"/>
        <v>23</v>
      </c>
      <c r="AD63" s="303"/>
      <c r="AE63" s="287">
        <v>19</v>
      </c>
      <c r="AF63" s="253">
        <v>7.1428571428571397E-2</v>
      </c>
      <c r="AG63" s="253">
        <v>7.1428571428571397E-2</v>
      </c>
      <c r="AH63" s="285">
        <f t="shared" si="54"/>
        <v>19</v>
      </c>
      <c r="AI63" s="260"/>
      <c r="AJ63" s="257">
        <v>17</v>
      </c>
      <c r="AK63" s="253">
        <v>0.2142857142857143</v>
      </c>
      <c r="AL63" s="253">
        <v>0.26190476190476186</v>
      </c>
      <c r="AM63" s="285">
        <f t="shared" si="55"/>
        <v>17</v>
      </c>
      <c r="AN63" s="260" t="s">
        <v>2</v>
      </c>
      <c r="AO63" s="81"/>
      <c r="AP63" s="253">
        <v>0.10416666666666663</v>
      </c>
      <c r="AQ63" s="253">
        <v>0.10416666666666663</v>
      </c>
      <c r="AR63" s="285">
        <f t="shared" si="56"/>
        <v>4</v>
      </c>
      <c r="AS63" s="260"/>
      <c r="AT63" s="257">
        <v>16</v>
      </c>
      <c r="AU63" s="253">
        <v>0.32608695652173914</v>
      </c>
      <c r="AV63" s="253">
        <v>0.32608695652173914</v>
      </c>
      <c r="AW63" s="285">
        <f t="shared" si="57"/>
        <v>16</v>
      </c>
      <c r="AX63" s="260"/>
      <c r="AY63" s="257">
        <v>23</v>
      </c>
      <c r="AZ63" s="253">
        <v>0.16666666666666663</v>
      </c>
      <c r="BA63" s="253">
        <v>0.16666666666666663</v>
      </c>
      <c r="BB63" s="285">
        <f t="shared" si="58"/>
        <v>23</v>
      </c>
      <c r="BC63" s="260"/>
      <c r="BD63" s="257">
        <v>21</v>
      </c>
      <c r="BE63" s="304">
        <v>0.2407407407407407</v>
      </c>
      <c r="BF63" s="253">
        <v>0.2407407407407407</v>
      </c>
      <c r="BG63" s="285">
        <f t="shared" si="59"/>
        <v>21</v>
      </c>
      <c r="BH63" s="298"/>
      <c r="BI63" s="257"/>
      <c r="BJ63" s="287"/>
      <c r="BK63" s="301"/>
      <c r="BL63" s="285">
        <f t="shared" si="60"/>
        <v>0</v>
      </c>
      <c r="BM63" s="305"/>
      <c r="BN63" s="257"/>
      <c r="BO63" s="287"/>
      <c r="BP63" s="301"/>
      <c r="BQ63" s="285">
        <f t="shared" si="61"/>
        <v>0</v>
      </c>
      <c r="BR63" s="298"/>
      <c r="BS63" s="257"/>
      <c r="BT63" s="287"/>
      <c r="BU63" s="301"/>
      <c r="BV63" s="285">
        <f t="shared" si="62"/>
        <v>0</v>
      </c>
      <c r="BW63" s="298"/>
      <c r="BX63" s="257"/>
      <c r="BY63" s="287"/>
      <c r="BZ63" s="301"/>
      <c r="CA63" s="285">
        <f t="shared" si="63"/>
        <v>0</v>
      </c>
      <c r="CB63" s="298"/>
      <c r="CC63" s="257"/>
      <c r="CD63" s="287"/>
      <c r="CE63" s="301"/>
      <c r="CF63" s="285">
        <f t="shared" si="64"/>
        <v>0</v>
      </c>
      <c r="CG63" s="298"/>
      <c r="CH63" s="257"/>
      <c r="CI63" s="287"/>
      <c r="CJ63" s="301"/>
      <c r="CK63" s="285">
        <f t="shared" si="65"/>
        <v>0</v>
      </c>
      <c r="CL63" s="298"/>
      <c r="CM63" s="257"/>
      <c r="CN63" s="287"/>
      <c r="CO63" s="287"/>
      <c r="CP63" s="285">
        <f t="shared" si="66"/>
        <v>0</v>
      </c>
      <c r="CQ63" s="298"/>
      <c r="CR63" s="257"/>
      <c r="CS63" s="287"/>
      <c r="CT63" s="301"/>
      <c r="CU63" s="285">
        <f t="shared" si="67"/>
        <v>0</v>
      </c>
      <c r="CV63" s="298">
        <v>3</v>
      </c>
      <c r="CW63" s="257"/>
      <c r="CX63" s="304">
        <v>0.16666666666666663</v>
      </c>
      <c r="CY63" s="253">
        <v>0.10606060606060608</v>
      </c>
      <c r="CZ63" s="285">
        <f t="shared" si="19"/>
        <v>3</v>
      </c>
      <c r="DA63" s="298">
        <v>1</v>
      </c>
      <c r="DB63" s="257"/>
      <c r="DC63" s="304">
        <v>0.27083333333333337</v>
      </c>
      <c r="DD63" s="253">
        <v>0.1875</v>
      </c>
      <c r="DE63" s="285">
        <f t="shared" si="20"/>
        <v>1</v>
      </c>
      <c r="DF63" s="298"/>
      <c r="DG63" s="257">
        <v>33</v>
      </c>
      <c r="DH63" s="304">
        <v>4.166666666666663E-2</v>
      </c>
      <c r="DI63" s="253">
        <v>1.388888888888884E-2</v>
      </c>
      <c r="DJ63" s="285">
        <f t="shared" si="68"/>
        <v>33</v>
      </c>
      <c r="DK63" s="298">
        <v>2</v>
      </c>
      <c r="DL63" s="257"/>
      <c r="DM63" s="304">
        <v>0.2321428571428571</v>
      </c>
      <c r="DN63" s="253">
        <v>0.1607142857142857</v>
      </c>
      <c r="DO63" s="285">
        <f t="shared" si="69"/>
        <v>2</v>
      </c>
      <c r="DP63" s="298">
        <v>4</v>
      </c>
      <c r="DQ63" s="257"/>
      <c r="DR63" s="304">
        <v>0.18965517241379315</v>
      </c>
      <c r="DS63" s="253">
        <v>0.12068965517241381</v>
      </c>
      <c r="DT63" s="285">
        <f t="shared" si="70"/>
        <v>4</v>
      </c>
      <c r="DU63" s="298">
        <v>4</v>
      </c>
      <c r="DV63" s="257"/>
      <c r="DW63" s="304">
        <v>0.28787878787878785</v>
      </c>
      <c r="DX63" s="253">
        <v>0.31818181818181823</v>
      </c>
      <c r="DY63" s="285">
        <f t="shared" si="71"/>
        <v>4</v>
      </c>
      <c r="DZ63" s="475">
        <v>10</v>
      </c>
      <c r="EA63" s="81"/>
      <c r="EB63" s="461">
        <v>0.12222222222222223</v>
      </c>
      <c r="EC63" s="463">
        <v>9.9999999999999978E-2</v>
      </c>
      <c r="ED63" s="285">
        <f t="shared" si="72"/>
        <v>10</v>
      </c>
      <c r="EE63" s="475">
        <v>7</v>
      </c>
      <c r="EF63" s="81"/>
      <c r="EG63" s="461">
        <v>0.26923076923076927</v>
      </c>
      <c r="EH63" s="463">
        <v>0.14102564102564108</v>
      </c>
      <c r="EI63" s="285">
        <f t="shared" si="73"/>
        <v>7</v>
      </c>
      <c r="EJ63" s="467">
        <f t="shared" si="74"/>
        <v>16</v>
      </c>
      <c r="EK63" s="522">
        <f t="shared" si="75"/>
        <v>8</v>
      </c>
      <c r="EL63" s="267">
        <f t="shared" si="76"/>
        <v>15</v>
      </c>
      <c r="EM63" s="267">
        <f t="shared" si="77"/>
        <v>0</v>
      </c>
      <c r="EN63" s="516">
        <f t="shared" si="78"/>
        <v>0</v>
      </c>
      <c r="EO63" s="273">
        <f t="shared" si="79"/>
        <v>8</v>
      </c>
      <c r="EP63" s="15"/>
      <c r="EQ63" s="61">
        <f t="shared" si="80"/>
        <v>205</v>
      </c>
      <c r="ER63" s="187">
        <f>IF(OR($E63="B",$F63="B"),0,$I63)+IF(OR($J63="B",$K63="B"),0,$N63)+IF(OR($O63="B",$P63="B"),0,$S63)+IF(OR($T63="B",$U63="B"),0,$X63)+IF(OR($Y63="B",$Z63="B"),0,$AC63)+IF(OR($AD63="B",$AE63="B"),0,$AH63)+IF(OR($AI63="B",$AJ63="B"),0,$AM63)+IF(OR($HP41="B",$AO63="B"),0,$AR63)+IF(OR($AS63="B",$AT63="B"),0,$AW63)+IF(OR($AX63="B",$AY63="B"),0,$BB63)+IF(OR($BC63="B",$BD63="B"),0,$BG63)+IF(OR($BH63="B",$BI63="B"),0,$BL63)+IF(OR($BM63="B",$BN63="B"),0,$BQ63)+IF(OR($BR63="B",$BS63="B"),0,$BV63)+IF(OR($BW63="B",$BX63="B"),0,$CA63)+IF(OR($CB63="B",$CC63="B"),0,$CF63)+IF(OR($CG63="B",$CH63="B"),0,$CK63)+IF(OR($CL63="B",$CM63="B"),0,$CP63)+IF(OR($CQ63="B",$CR63="B"),0,$CU63)+IF(OR($CV63="B",$CW63="B"),0,$CZ63)+IF(OR($DA63="B",$DB63="B"),0,$DE63)+IF(OR($DF63="B",$DG63="B"),0,$DJ63)+IF(OR($DK63="B",$DL63="B"),0,$DO63)+IF(OR($DP63="B",$DQ63="B"),0,$DT63)+IF(OR($DU63="B",$DV63="B"),0,$DY63)+IF(OR($DZ63="B",$EA63="B"),0,$ED63)+IF(OR($EE63="B",$EF63="B"),0,$EI63)</f>
        <v>205</v>
      </c>
      <c r="ES63" s="28">
        <f t="shared" si="81"/>
        <v>12.8125</v>
      </c>
      <c r="ET63" s="62">
        <f t="shared" si="82"/>
        <v>13.666666666666666</v>
      </c>
      <c r="EU63" s="63"/>
      <c r="EV63" s="247">
        <f t="shared" si="83"/>
        <v>216</v>
      </c>
      <c r="EW63" s="249">
        <f t="shared" si="84"/>
        <v>217</v>
      </c>
      <c r="EX63" s="23">
        <f t="shared" si="85"/>
        <v>13.5</v>
      </c>
      <c r="EY63" s="74">
        <f t="shared" si="86"/>
        <v>14.466666666666667</v>
      </c>
      <c r="EZ63" s="63"/>
      <c r="FA63" s="336">
        <f t="shared" si="87"/>
        <v>16</v>
      </c>
      <c r="FB63" s="337">
        <f t="shared" si="88"/>
        <v>0</v>
      </c>
      <c r="FC63" s="333">
        <f t="shared" si="89"/>
        <v>3.1841825445533671</v>
      </c>
      <c r="FD63" s="420">
        <f t="shared" si="90"/>
        <v>0.19901140903458545</v>
      </c>
      <c r="FE63" s="433">
        <f t="shared" si="91"/>
        <v>2.7350498826287142</v>
      </c>
      <c r="FF63" s="213">
        <f t="shared" si="92"/>
        <v>0.17094061766429464</v>
      </c>
      <c r="FG63" s="15"/>
      <c r="FH63" s="37">
        <f t="shared" si="46"/>
        <v>37</v>
      </c>
    </row>
    <row r="64" spans="2:164" ht="17" thickBot="1" x14ac:dyDescent="0.25">
      <c r="B64" s="258" t="s">
        <v>78</v>
      </c>
      <c r="C64" s="259" t="s">
        <v>79</v>
      </c>
      <c r="D64" s="299">
        <v>527356</v>
      </c>
      <c r="E64" s="300"/>
      <c r="F64" s="285">
        <v>7</v>
      </c>
      <c r="G64" s="306">
        <v>0.69047619047619047</v>
      </c>
      <c r="H64" s="306">
        <v>0.69047619047619047</v>
      </c>
      <c r="I64" s="285">
        <f t="shared" si="49"/>
        <v>7</v>
      </c>
      <c r="J64" s="301"/>
      <c r="K64" s="301"/>
      <c r="L64" s="301"/>
      <c r="M64" s="301"/>
      <c r="N64" s="285">
        <f t="shared" si="50"/>
        <v>0</v>
      </c>
      <c r="O64" s="303">
        <v>20</v>
      </c>
      <c r="P64" s="145"/>
      <c r="Q64" s="253">
        <v>0.1875</v>
      </c>
      <c r="R64" s="253">
        <v>0.64583333333333326</v>
      </c>
      <c r="S64" s="285">
        <f t="shared" si="51"/>
        <v>20</v>
      </c>
      <c r="T64" s="303"/>
      <c r="U64" s="302"/>
      <c r="V64" s="301"/>
      <c r="W64" s="301"/>
      <c r="X64" s="285">
        <f t="shared" si="52"/>
        <v>0</v>
      </c>
      <c r="Y64" s="303"/>
      <c r="Z64" s="287">
        <v>18</v>
      </c>
      <c r="AA64" s="253">
        <v>0.40322580645161288</v>
      </c>
      <c r="AB64" s="253">
        <v>0.82258064516129026</v>
      </c>
      <c r="AC64" s="285">
        <f t="shared" si="53"/>
        <v>18</v>
      </c>
      <c r="AD64" s="303"/>
      <c r="AE64" s="287"/>
      <c r="AF64" s="253"/>
      <c r="AG64" s="253"/>
      <c r="AH64" s="285">
        <f t="shared" si="54"/>
        <v>0</v>
      </c>
      <c r="AI64" s="260"/>
      <c r="AJ64" s="257"/>
      <c r="AK64" s="301"/>
      <c r="AL64" s="301"/>
      <c r="AM64" s="285">
        <f t="shared" si="55"/>
        <v>0</v>
      </c>
      <c r="AN64" s="260"/>
      <c r="AO64" s="257"/>
      <c r="AP64" s="301"/>
      <c r="AQ64" s="301"/>
      <c r="AR64" s="285">
        <f t="shared" si="56"/>
        <v>0</v>
      </c>
      <c r="AS64" s="260"/>
      <c r="AT64" s="257"/>
      <c r="AU64" s="301"/>
      <c r="AV64" s="301"/>
      <c r="AW64" s="285">
        <f t="shared" si="57"/>
        <v>0</v>
      </c>
      <c r="AX64" s="260"/>
      <c r="AY64" s="257"/>
      <c r="AZ64" s="253"/>
      <c r="BA64" s="253"/>
      <c r="BB64" s="285">
        <f t="shared" si="58"/>
        <v>0</v>
      </c>
      <c r="BC64" s="260"/>
      <c r="BD64" s="257">
        <v>20</v>
      </c>
      <c r="BE64" s="304">
        <v>0.27777777777777779</v>
      </c>
      <c r="BF64" s="253">
        <v>0.5</v>
      </c>
      <c r="BG64" s="285">
        <f t="shared" si="59"/>
        <v>20</v>
      </c>
      <c r="BH64" s="298"/>
      <c r="BI64" s="257"/>
      <c r="BJ64" s="287"/>
      <c r="BK64" s="301"/>
      <c r="BL64" s="285">
        <f t="shared" si="60"/>
        <v>0</v>
      </c>
      <c r="BM64" s="305"/>
      <c r="BN64" s="257"/>
      <c r="BO64" s="287"/>
      <c r="BP64" s="301"/>
      <c r="BQ64" s="285">
        <f t="shared" si="61"/>
        <v>0</v>
      </c>
      <c r="BR64" s="298"/>
      <c r="BS64" s="257">
        <v>20</v>
      </c>
      <c r="BT64" s="304">
        <v>0.18000000000000005</v>
      </c>
      <c r="BU64" s="253">
        <v>0.9</v>
      </c>
      <c r="BV64" s="285">
        <f t="shared" si="62"/>
        <v>20</v>
      </c>
      <c r="BW64" s="298"/>
      <c r="BX64" s="257">
        <v>22</v>
      </c>
      <c r="BY64" s="304">
        <v>0.28333333333333333</v>
      </c>
      <c r="BZ64" s="253">
        <v>0.78333333333333333</v>
      </c>
      <c r="CA64" s="285">
        <f t="shared" si="63"/>
        <v>22</v>
      </c>
      <c r="CB64" s="298"/>
      <c r="CC64" s="257">
        <v>19</v>
      </c>
      <c r="CD64" s="304">
        <v>0.35</v>
      </c>
      <c r="CE64" s="253">
        <v>0.28333333333333333</v>
      </c>
      <c r="CF64" s="285">
        <f t="shared" si="64"/>
        <v>19</v>
      </c>
      <c r="CG64" s="298"/>
      <c r="CH64" s="257">
        <v>19</v>
      </c>
      <c r="CI64" s="304">
        <v>0.3833333333333333</v>
      </c>
      <c r="CJ64" s="253">
        <v>0.8833333333333333</v>
      </c>
      <c r="CK64" s="285">
        <f t="shared" si="65"/>
        <v>19</v>
      </c>
      <c r="CL64" s="298"/>
      <c r="CM64" s="257" t="s">
        <v>2</v>
      </c>
      <c r="CN64" s="304">
        <v>4.6875E-2</v>
      </c>
      <c r="CO64" s="253">
        <v>4.6875E-2</v>
      </c>
      <c r="CP64" s="285">
        <f t="shared" si="66"/>
        <v>28</v>
      </c>
      <c r="CQ64" s="298"/>
      <c r="CR64" s="257">
        <v>18</v>
      </c>
      <c r="CS64" s="287">
        <v>0.125</v>
      </c>
      <c r="CT64" s="301">
        <v>0.42500000000000004</v>
      </c>
      <c r="CU64" s="285">
        <f t="shared" si="67"/>
        <v>18</v>
      </c>
      <c r="CV64" s="298"/>
      <c r="CW64" s="257">
        <v>19</v>
      </c>
      <c r="CX64" s="304">
        <v>0.43939393939393945</v>
      </c>
      <c r="CY64" s="253">
        <v>0.9242424242424242</v>
      </c>
      <c r="CZ64" s="285">
        <f t="shared" si="19"/>
        <v>19</v>
      </c>
      <c r="DA64" s="298"/>
      <c r="DB64" s="257">
        <v>22</v>
      </c>
      <c r="DC64" s="304">
        <v>2.083333333333337E-2</v>
      </c>
      <c r="DD64" s="478">
        <v>2.083333333333337E-2</v>
      </c>
      <c r="DE64" s="285">
        <f t="shared" si="20"/>
        <v>22</v>
      </c>
      <c r="DF64" s="298"/>
      <c r="DG64" s="257">
        <v>23</v>
      </c>
      <c r="DH64" s="304">
        <v>0.375</v>
      </c>
      <c r="DI64" s="253">
        <v>0.73611111111111116</v>
      </c>
      <c r="DJ64" s="285">
        <f t="shared" si="68"/>
        <v>23</v>
      </c>
      <c r="DK64" s="298"/>
      <c r="DL64" s="257"/>
      <c r="DM64" s="287"/>
      <c r="DN64" s="301"/>
      <c r="DO64" s="285">
        <f t="shared" si="69"/>
        <v>0</v>
      </c>
      <c r="DP64" s="298"/>
      <c r="DQ64" s="257"/>
      <c r="DR64" s="287"/>
      <c r="DS64" s="301"/>
      <c r="DT64" s="285">
        <f t="shared" si="70"/>
        <v>0</v>
      </c>
      <c r="DU64" s="298"/>
      <c r="DV64" s="257"/>
      <c r="DW64" s="287"/>
      <c r="DX64" s="301"/>
      <c r="DY64" s="285">
        <f t="shared" si="71"/>
        <v>0</v>
      </c>
      <c r="DZ64" s="475">
        <v>1</v>
      </c>
      <c r="EA64" s="456"/>
      <c r="EB64" s="461">
        <v>0.81111111111111112</v>
      </c>
      <c r="EC64" s="463">
        <v>0.98888888888888893</v>
      </c>
      <c r="ED64" s="285">
        <f t="shared" si="72"/>
        <v>1</v>
      </c>
      <c r="EE64" s="475"/>
      <c r="EF64" s="456">
        <v>19</v>
      </c>
      <c r="EG64" s="461">
        <v>0.5</v>
      </c>
      <c r="EH64" s="463">
        <v>0.80769230769230771</v>
      </c>
      <c r="EI64" s="285">
        <f t="shared" si="73"/>
        <v>19</v>
      </c>
      <c r="EJ64" s="467">
        <f t="shared" si="74"/>
        <v>15</v>
      </c>
      <c r="EK64" s="522">
        <f t="shared" si="75"/>
        <v>11</v>
      </c>
      <c r="EL64" s="267">
        <f t="shared" si="76"/>
        <v>14</v>
      </c>
      <c r="EM64" s="267">
        <f t="shared" si="77"/>
        <v>0</v>
      </c>
      <c r="EN64" s="516">
        <f t="shared" si="78"/>
        <v>0</v>
      </c>
      <c r="EO64" s="273">
        <f t="shared" si="79"/>
        <v>11</v>
      </c>
      <c r="EP64" s="15"/>
      <c r="EQ64" s="61">
        <f t="shared" si="80"/>
        <v>275</v>
      </c>
      <c r="ER64" s="187">
        <f>IF(OR($E64="B",$F64="B"),0,$I64)+IF(OR($J64="B",$K64="B"),0,$N64)+IF(OR($O64="B",$P64="B"),0,$S64)+IF(OR($T64="B",$U64="B"),0,$X64)+IF(OR($Y64="B",$Z64="B"),0,$AC64)+IF(OR($AD64="B",$AE64="B"),0,$AH64)+IF(OR($AI64="B",$AJ64="B"),0,$AM64)+IF(OR($HP43="B",$AO64="B"),0,$AR64)+IF(OR($AS64="B",$AT64="B"),0,$AW64)+IF(OR($AX64="B",$AY64="B"),0,$BB64)+IF(OR($BC64="B",$BD64="B"),0,$BG64)+IF(OR($BH64="B",$BI64="B"),0,$BL64)+IF(OR($BM64="B",$BN64="B"),0,$BQ64)+IF(OR($BR64="B",$BS64="B"),0,$BV64)+IF(OR($BW64="B",$BX64="B"),0,$CA64)+IF(OR($CB64="B",$CC64="B"),0,$CF64)+IF(OR($CG64="B",$CH64="B"),0,$CK64)+IF(OR($CL64="B",$CM64="B"),0,$CP64)+IF(OR($CQ64="B",$CR64="B"),0,$CU64)+IF(OR($CV64="B",$CW64="B"),0,$CZ64)+IF(OR($DA64="B",$DB64="B"),0,$DE64)+IF(OR($DF64="B",$DG64="B"),0,$DJ64)+IF(OR($DK64="B",$DL64="B"),0,$DO64)+IF(OR($DP64="B",$DQ64="B"),0,$DT64)+IF(OR($DU64="B",$DV64="B"),0,$DY64)+IF(OR($DZ64="B",$EA64="B"),0,$ED64)+IF(OR($EE64="B",$EF64="B"),0,$EI64)</f>
        <v>247</v>
      </c>
      <c r="ES64" s="28">
        <f t="shared" si="81"/>
        <v>18.333333333333332</v>
      </c>
      <c r="ET64" s="62">
        <f t="shared" si="82"/>
        <v>17.642857142857142</v>
      </c>
      <c r="EU64" s="63"/>
      <c r="EV64" s="247">
        <f t="shared" si="83"/>
        <v>287</v>
      </c>
      <c r="EW64" s="249">
        <f t="shared" si="84"/>
        <v>260</v>
      </c>
      <c r="EX64" s="23">
        <f t="shared" si="85"/>
        <v>19.133333333333333</v>
      </c>
      <c r="EY64" s="74">
        <f t="shared" si="86"/>
        <v>18.571428571428573</v>
      </c>
      <c r="EZ64" s="63"/>
      <c r="FA64" s="336">
        <f t="shared" si="87"/>
        <v>15</v>
      </c>
      <c r="FB64" s="337">
        <f t="shared" si="88"/>
        <v>0</v>
      </c>
      <c r="FC64" s="333">
        <f t="shared" si="89"/>
        <v>5.0738598252106319</v>
      </c>
      <c r="FD64" s="420">
        <f t="shared" si="90"/>
        <v>0.33825732168070882</v>
      </c>
      <c r="FE64" s="433">
        <f t="shared" si="91"/>
        <v>9.4585332342388782</v>
      </c>
      <c r="FF64" s="213">
        <f t="shared" si="92"/>
        <v>0.63056888228259189</v>
      </c>
      <c r="FG64" s="15"/>
      <c r="FH64" s="37">
        <f t="shared" si="46"/>
        <v>38</v>
      </c>
    </row>
    <row r="65" spans="2:164" ht="17" customHeight="1" thickBot="1" x14ac:dyDescent="0.25">
      <c r="B65" s="258" t="s">
        <v>118</v>
      </c>
      <c r="C65" s="259" t="s">
        <v>119</v>
      </c>
      <c r="D65" s="299">
        <v>264828</v>
      </c>
      <c r="E65" s="300"/>
      <c r="F65" s="285">
        <v>3</v>
      </c>
      <c r="G65" s="306">
        <v>0.88095238095238093</v>
      </c>
      <c r="H65" s="306">
        <v>0.9285714285714286</v>
      </c>
      <c r="I65" s="285">
        <f t="shared" si="49"/>
        <v>3</v>
      </c>
      <c r="J65" s="301"/>
      <c r="K65" s="301">
        <v>2</v>
      </c>
      <c r="L65" s="253">
        <v>0.9375</v>
      </c>
      <c r="M65" s="253">
        <v>0.9375</v>
      </c>
      <c r="N65" s="285">
        <f t="shared" si="50"/>
        <v>2</v>
      </c>
      <c r="O65" s="303">
        <v>4</v>
      </c>
      <c r="P65" s="302"/>
      <c r="Q65" s="253">
        <v>0.85416666666666663</v>
      </c>
      <c r="R65" s="253">
        <v>0.85416666666666663</v>
      </c>
      <c r="S65" s="285">
        <f t="shared" si="51"/>
        <v>4</v>
      </c>
      <c r="T65" s="303">
        <v>9</v>
      </c>
      <c r="U65" s="302"/>
      <c r="V65" s="253">
        <v>0.64583333333333326</v>
      </c>
      <c r="W65" s="253">
        <v>0.60416666666666674</v>
      </c>
      <c r="X65" s="285">
        <f t="shared" si="52"/>
        <v>9</v>
      </c>
      <c r="Y65" s="303"/>
      <c r="Z65" s="287"/>
      <c r="AA65" s="301"/>
      <c r="AB65" s="301"/>
      <c r="AC65" s="285">
        <f t="shared" si="53"/>
        <v>0</v>
      </c>
      <c r="AD65" s="303"/>
      <c r="AE65" s="287">
        <v>3</v>
      </c>
      <c r="AF65" s="253">
        <v>0.88095238095238093</v>
      </c>
      <c r="AG65" s="253">
        <v>0.9285714285714286</v>
      </c>
      <c r="AH65" s="285">
        <f t="shared" si="54"/>
        <v>3</v>
      </c>
      <c r="AI65" s="260"/>
      <c r="AJ65" s="257"/>
      <c r="AK65" s="301"/>
      <c r="AL65" s="301"/>
      <c r="AM65" s="285">
        <f t="shared" si="55"/>
        <v>0</v>
      </c>
      <c r="AN65" s="260"/>
      <c r="AO65" s="257"/>
      <c r="AP65" s="301"/>
      <c r="AQ65" s="301"/>
      <c r="AR65" s="285">
        <f t="shared" si="56"/>
        <v>0</v>
      </c>
      <c r="AS65" s="260"/>
      <c r="AT65" s="257"/>
      <c r="AU65" s="301"/>
      <c r="AV65" s="301"/>
      <c r="AW65" s="285">
        <f t="shared" si="57"/>
        <v>0</v>
      </c>
      <c r="AX65" s="260"/>
      <c r="AY65" s="257"/>
      <c r="AZ65" s="301"/>
      <c r="BA65" s="301"/>
      <c r="BB65" s="285">
        <f t="shared" si="58"/>
        <v>0</v>
      </c>
      <c r="BC65" s="260"/>
      <c r="BD65" s="257"/>
      <c r="BE65" s="287"/>
      <c r="BF65" s="301"/>
      <c r="BG65" s="285">
        <f t="shared" si="59"/>
        <v>0</v>
      </c>
      <c r="BH65" s="298"/>
      <c r="BI65" s="257"/>
      <c r="BJ65" s="287"/>
      <c r="BK65" s="301"/>
      <c r="BL65" s="285">
        <f t="shared" si="60"/>
        <v>0</v>
      </c>
      <c r="BM65" s="305"/>
      <c r="BN65" s="257"/>
      <c r="BO65" s="287"/>
      <c r="BP65" s="301"/>
      <c r="BQ65" s="285">
        <f t="shared" si="61"/>
        <v>0</v>
      </c>
      <c r="BR65" s="298"/>
      <c r="BS65" s="257"/>
      <c r="BT65" s="287"/>
      <c r="BU65" s="301"/>
      <c r="BV65" s="285">
        <f t="shared" si="62"/>
        <v>0</v>
      </c>
      <c r="BW65" s="298"/>
      <c r="BX65" s="257">
        <v>5</v>
      </c>
      <c r="BY65" s="304">
        <v>0.85</v>
      </c>
      <c r="BZ65" s="253">
        <v>0.8833333333333333</v>
      </c>
      <c r="CA65" s="285">
        <f t="shared" si="63"/>
        <v>5</v>
      </c>
      <c r="CB65" s="298"/>
      <c r="CC65" s="257">
        <v>6</v>
      </c>
      <c r="CD65" s="304">
        <v>0.81666666666666665</v>
      </c>
      <c r="CE65" s="253">
        <v>0.75</v>
      </c>
      <c r="CF65" s="285">
        <f t="shared" si="64"/>
        <v>6</v>
      </c>
      <c r="CG65" s="298"/>
      <c r="CH65" s="257"/>
      <c r="CI65" s="287"/>
      <c r="CJ65" s="301"/>
      <c r="CK65" s="285">
        <f t="shared" si="65"/>
        <v>0</v>
      </c>
      <c r="CL65" s="298"/>
      <c r="CM65" s="257">
        <v>17</v>
      </c>
      <c r="CN65" s="304">
        <v>0.484375</v>
      </c>
      <c r="CO65" s="453">
        <v>0.546875</v>
      </c>
      <c r="CP65" s="285">
        <f t="shared" si="66"/>
        <v>17</v>
      </c>
      <c r="CQ65" s="298"/>
      <c r="CR65" s="257"/>
      <c r="CS65" s="287"/>
      <c r="CT65" s="301"/>
      <c r="CU65" s="285">
        <f t="shared" si="67"/>
        <v>0</v>
      </c>
      <c r="CV65" s="298"/>
      <c r="CW65" s="257">
        <v>9</v>
      </c>
      <c r="CX65" s="304">
        <v>0.74242424242424243</v>
      </c>
      <c r="CY65" s="253">
        <v>0.25757575757575757</v>
      </c>
      <c r="CZ65" s="285">
        <f t="shared" si="19"/>
        <v>9</v>
      </c>
      <c r="DA65" s="298"/>
      <c r="DB65" s="257"/>
      <c r="DC65" s="287"/>
      <c r="DD65" s="301"/>
      <c r="DE65" s="285">
        <f t="shared" si="20"/>
        <v>0</v>
      </c>
      <c r="DF65" s="298"/>
      <c r="DG65" s="257">
        <v>6</v>
      </c>
      <c r="DH65" s="304">
        <v>0.84722222222222221</v>
      </c>
      <c r="DI65" s="253">
        <v>0.79166666666666663</v>
      </c>
      <c r="DJ65" s="285">
        <f t="shared" si="68"/>
        <v>6</v>
      </c>
      <c r="DK65" s="298"/>
      <c r="DL65" s="456" t="s">
        <v>2</v>
      </c>
      <c r="DM65" s="461">
        <v>0.125</v>
      </c>
      <c r="DN65" s="253">
        <v>0.125</v>
      </c>
      <c r="DO65" s="285">
        <f t="shared" si="69"/>
        <v>21</v>
      </c>
      <c r="DP65" s="298"/>
      <c r="DQ65" s="257">
        <v>8</v>
      </c>
      <c r="DR65" s="304">
        <v>0.74137931034482762</v>
      </c>
      <c r="DS65" s="253">
        <v>0.63793103448275867</v>
      </c>
      <c r="DT65" s="285">
        <f t="shared" si="70"/>
        <v>8</v>
      </c>
      <c r="DU65" s="298"/>
      <c r="DV65" s="257">
        <v>8</v>
      </c>
      <c r="DW65" s="461">
        <v>0.77272727272727271</v>
      </c>
      <c r="DX65" s="463">
        <v>0.80303030303030298</v>
      </c>
      <c r="DY65" s="285">
        <f t="shared" si="71"/>
        <v>8</v>
      </c>
      <c r="DZ65" s="475"/>
      <c r="EA65" s="456">
        <v>1</v>
      </c>
      <c r="EB65" s="461">
        <v>0.98888888888888893</v>
      </c>
      <c r="EC65" s="463">
        <v>0.96666666666666667</v>
      </c>
      <c r="ED65" s="285">
        <f t="shared" si="72"/>
        <v>1</v>
      </c>
      <c r="EE65" s="475"/>
      <c r="EF65" s="456">
        <v>3</v>
      </c>
      <c r="EG65" s="461">
        <v>0.9358974358974359</v>
      </c>
      <c r="EH65" s="463">
        <v>0.88461538461538458</v>
      </c>
      <c r="EI65" s="285">
        <f t="shared" si="73"/>
        <v>3</v>
      </c>
      <c r="EJ65" s="467">
        <f t="shared" si="74"/>
        <v>15</v>
      </c>
      <c r="EK65" s="522">
        <f t="shared" si="75"/>
        <v>10</v>
      </c>
      <c r="EL65" s="267">
        <f t="shared" si="76"/>
        <v>14</v>
      </c>
      <c r="EM65" s="267">
        <f t="shared" si="77"/>
        <v>0</v>
      </c>
      <c r="EN65" s="516">
        <f t="shared" si="78"/>
        <v>0</v>
      </c>
      <c r="EO65" s="273">
        <f t="shared" si="79"/>
        <v>10</v>
      </c>
      <c r="EP65" s="15"/>
      <c r="EQ65" s="61">
        <f t="shared" si="80"/>
        <v>105</v>
      </c>
      <c r="ER65" s="187">
        <f>IF(OR($E65="B",$F65="B"),0,$I65)+IF(OR($J65="B",$K65="B"),0,$N65)+IF(OR($O65="B",$P65="B"),0,$S65)+IF(OR($T65="B",$U65="B"),0,$X65)+IF(OR($Y65="B",$Z65="B"),0,$AC65)+IF(OR($AD65="B",$AE65="B"),0,$AH65)+IF(OR($AI65="B",$AJ65="B"),0,$AM65)+IF(OR($HP43="B",$AO65="B"),0,$AR65)+IF(OR($AS65="B",$AT65="B"),0,$AW65)+IF(OR($AX65="B",$AY65="B"),0,$BB65)+IF(OR($BC65="B",$BD65="B"),0,$BG65)+IF(OR($BH65="B",$BI65="B"),0,$BL65)+IF(OR($BM65="B",$BN65="B"),0,$BQ65)+IF(OR($BR65="B",$BS65="B"),0,$BV65)+IF(OR($BW65="B",$BX65="B"),0,$CA65)+IF(OR($CB65="B",$CC65="B"),0,$CF65)+IF(OR($CG65="B",$CH65="B"),0,$CK65)+IF(OR($CL65="B",$CM65="B"),0,$CP65)+IF(OR($CQ65="B",$CR65="B"),0,$CU65)+IF(OR($CV65="B",$CW65="B"),0,$CZ65)+IF(OR($DA65="B",$DB65="B"),0,$DE65)+IF(OR($DF65="B",$DG65="B"),0,$DJ65)+IF(OR($DK65="B",$DL65="B"),0,$DO65)+IF(OR($DP65="B",$DQ65="B"),0,$DT65)+IF(OR($DU65="B",$DV65="B"),0,$DY65)+IF(OR($DZ65="B",$EA65="B"),0,$ED65)+IF(OR($EE65="B",$EF65="B"),0,$EI65)</f>
        <v>84</v>
      </c>
      <c r="ES65" s="28">
        <f t="shared" si="81"/>
        <v>7</v>
      </c>
      <c r="ET65" s="62">
        <f t="shared" si="82"/>
        <v>6</v>
      </c>
      <c r="EU65" s="63"/>
      <c r="EV65" s="247">
        <f t="shared" si="83"/>
        <v>117</v>
      </c>
      <c r="EW65" s="249">
        <f t="shared" si="84"/>
        <v>97</v>
      </c>
      <c r="EX65" s="23">
        <f t="shared" si="85"/>
        <v>7.8</v>
      </c>
      <c r="EY65" s="74">
        <f t="shared" si="86"/>
        <v>6.9285714285714288</v>
      </c>
      <c r="EZ65" s="63"/>
      <c r="FA65" s="336">
        <f t="shared" si="87"/>
        <v>15</v>
      </c>
      <c r="FB65" s="337">
        <f t="shared" si="88"/>
        <v>0</v>
      </c>
      <c r="FC65" s="333">
        <f t="shared" si="89"/>
        <v>11.503985801076317</v>
      </c>
      <c r="FD65" s="420">
        <f t="shared" si="90"/>
        <v>0.76693238673842112</v>
      </c>
      <c r="FE65" s="433">
        <f t="shared" si="91"/>
        <v>10.899670336847063</v>
      </c>
      <c r="FF65" s="213">
        <f t="shared" si="92"/>
        <v>0.72664468912313751</v>
      </c>
      <c r="FG65" s="15"/>
      <c r="FH65" s="37">
        <f t="shared" si="46"/>
        <v>39</v>
      </c>
    </row>
    <row r="66" spans="2:164" ht="17" customHeight="1" thickBot="1" x14ac:dyDescent="0.25">
      <c r="B66" s="258" t="s">
        <v>149</v>
      </c>
      <c r="C66" s="259" t="s">
        <v>150</v>
      </c>
      <c r="D66" s="299"/>
      <c r="E66" s="300"/>
      <c r="F66" s="285"/>
      <c r="G66" s="285"/>
      <c r="H66" s="285"/>
      <c r="I66" s="285">
        <f t="shared" si="49"/>
        <v>0</v>
      </c>
      <c r="J66" s="301"/>
      <c r="K66" s="301"/>
      <c r="L66" s="301"/>
      <c r="M66" s="301"/>
      <c r="N66" s="285">
        <f t="shared" si="50"/>
        <v>0</v>
      </c>
      <c r="O66" s="303"/>
      <c r="P66" s="302"/>
      <c r="Q66" s="301"/>
      <c r="R66" s="301"/>
      <c r="S66" s="285">
        <f t="shared" si="51"/>
        <v>0</v>
      </c>
      <c r="T66" s="303"/>
      <c r="U66" s="302"/>
      <c r="V66" s="301"/>
      <c r="W66" s="301"/>
      <c r="X66" s="285">
        <f t="shared" si="52"/>
        <v>0</v>
      </c>
      <c r="Y66" s="303"/>
      <c r="Z66" s="287"/>
      <c r="AA66" s="301"/>
      <c r="AB66" s="301"/>
      <c r="AC66" s="285">
        <f t="shared" si="53"/>
        <v>0</v>
      </c>
      <c r="AD66" s="303"/>
      <c r="AE66" s="287">
        <v>10</v>
      </c>
      <c r="AF66" s="253">
        <v>0.54761904761904767</v>
      </c>
      <c r="AG66" s="253">
        <v>0.64285714285714279</v>
      </c>
      <c r="AH66" s="285">
        <f t="shared" si="54"/>
        <v>10</v>
      </c>
      <c r="AI66" s="260"/>
      <c r="AJ66" s="257">
        <v>11</v>
      </c>
      <c r="AK66" s="253">
        <v>0.5</v>
      </c>
      <c r="AL66" s="253">
        <v>0.64285714285714279</v>
      </c>
      <c r="AM66" s="285">
        <f t="shared" si="55"/>
        <v>11</v>
      </c>
      <c r="AN66" s="260"/>
      <c r="AO66" s="257">
        <v>16</v>
      </c>
      <c r="AP66" s="253">
        <v>0.35416666666666663</v>
      </c>
      <c r="AQ66" s="253">
        <v>0.5625</v>
      </c>
      <c r="AR66" s="285">
        <f t="shared" si="56"/>
        <v>16</v>
      </c>
      <c r="AS66" s="260"/>
      <c r="AT66" s="257"/>
      <c r="AU66" s="301"/>
      <c r="AV66" s="301"/>
      <c r="AW66" s="285">
        <f t="shared" si="57"/>
        <v>0</v>
      </c>
      <c r="AX66" s="260"/>
      <c r="AY66" s="257"/>
      <c r="AZ66" s="301"/>
      <c r="BA66" s="301"/>
      <c r="BB66" s="285">
        <f t="shared" si="58"/>
        <v>0</v>
      </c>
      <c r="BC66" s="260"/>
      <c r="BD66" s="257">
        <v>14</v>
      </c>
      <c r="BE66" s="304">
        <v>0.5</v>
      </c>
      <c r="BF66" s="253">
        <v>0.68518518518518512</v>
      </c>
      <c r="BG66" s="285">
        <f t="shared" si="59"/>
        <v>14</v>
      </c>
      <c r="BH66" s="298"/>
      <c r="BI66" s="257"/>
      <c r="BJ66" s="287"/>
      <c r="BK66" s="301"/>
      <c r="BL66" s="285">
        <f t="shared" si="60"/>
        <v>0</v>
      </c>
      <c r="BM66" s="305"/>
      <c r="BN66" s="257"/>
      <c r="BO66" s="287"/>
      <c r="BP66" s="301"/>
      <c r="BQ66" s="285">
        <f t="shared" si="61"/>
        <v>0</v>
      </c>
      <c r="BR66" s="298"/>
      <c r="BS66" s="257">
        <v>12</v>
      </c>
      <c r="BT66" s="304">
        <v>0.5</v>
      </c>
      <c r="BU66" s="253">
        <v>0.78</v>
      </c>
      <c r="BV66" s="285">
        <f t="shared" si="62"/>
        <v>12</v>
      </c>
      <c r="BW66" s="298"/>
      <c r="BX66" s="257"/>
      <c r="BY66" s="287"/>
      <c r="BZ66" s="301"/>
      <c r="CA66" s="285">
        <f t="shared" si="63"/>
        <v>0</v>
      </c>
      <c r="CB66" s="298"/>
      <c r="CC66" s="257"/>
      <c r="CD66" s="287"/>
      <c r="CE66" s="301"/>
      <c r="CF66" s="285">
        <f t="shared" si="64"/>
        <v>0</v>
      </c>
      <c r="CG66" s="298"/>
      <c r="CH66" s="257">
        <v>23</v>
      </c>
      <c r="CI66" s="304">
        <v>0.25</v>
      </c>
      <c r="CJ66" s="253">
        <v>0.28333333333333333</v>
      </c>
      <c r="CK66" s="285">
        <f t="shared" si="65"/>
        <v>23</v>
      </c>
      <c r="CL66" s="298"/>
      <c r="CM66" s="257">
        <v>22</v>
      </c>
      <c r="CN66" s="453">
        <v>0.328125</v>
      </c>
      <c r="CO66" s="454">
        <v>0.609375</v>
      </c>
      <c r="CP66" s="285">
        <f t="shared" si="66"/>
        <v>22</v>
      </c>
      <c r="CQ66" s="298"/>
      <c r="CR66" s="257">
        <v>14</v>
      </c>
      <c r="CS66" s="287">
        <v>0.32499999999999996</v>
      </c>
      <c r="CT66" s="301">
        <v>0.52500000000000002</v>
      </c>
      <c r="CU66" s="285">
        <f t="shared" si="67"/>
        <v>14</v>
      </c>
      <c r="CV66" s="298"/>
      <c r="CW66" s="257">
        <v>15</v>
      </c>
      <c r="CX66" s="304">
        <v>0.56060606060606055</v>
      </c>
      <c r="CY66" s="253">
        <v>0.74242424242424243</v>
      </c>
      <c r="CZ66" s="285">
        <f t="shared" si="19"/>
        <v>15</v>
      </c>
      <c r="DA66" s="298"/>
      <c r="DB66" s="257">
        <v>6</v>
      </c>
      <c r="DC66" s="304">
        <v>0.77083333333333337</v>
      </c>
      <c r="DD66" s="253">
        <v>0.9375</v>
      </c>
      <c r="DE66" s="285">
        <f t="shared" si="20"/>
        <v>6</v>
      </c>
      <c r="DF66" s="298"/>
      <c r="DG66" s="257">
        <v>18</v>
      </c>
      <c r="DH66" s="304">
        <v>0.51388888888888884</v>
      </c>
      <c r="DI66" s="253">
        <v>0.56944444444444442</v>
      </c>
      <c r="DJ66" s="285">
        <f t="shared" si="68"/>
        <v>18</v>
      </c>
      <c r="DK66" s="298"/>
      <c r="DL66" s="257">
        <v>12</v>
      </c>
      <c r="DM66" s="304">
        <v>0.5892857142857143</v>
      </c>
      <c r="DN66" s="253">
        <v>0.8392857142857143</v>
      </c>
      <c r="DO66" s="285">
        <f t="shared" si="69"/>
        <v>12</v>
      </c>
      <c r="DP66" s="298"/>
      <c r="DQ66" s="257">
        <v>17</v>
      </c>
      <c r="DR66" s="304">
        <v>0.36206896551724133</v>
      </c>
      <c r="DS66" s="253">
        <v>0.39655172413793105</v>
      </c>
      <c r="DT66" s="285">
        <f t="shared" si="70"/>
        <v>17</v>
      </c>
      <c r="DU66" s="298"/>
      <c r="DV66" s="257"/>
      <c r="DW66" s="287"/>
      <c r="DX66" s="301"/>
      <c r="DY66" s="285">
        <f t="shared" si="71"/>
        <v>0</v>
      </c>
      <c r="DZ66" s="475"/>
      <c r="EA66" s="456">
        <v>19</v>
      </c>
      <c r="EB66" s="461">
        <v>0.56666666666666665</v>
      </c>
      <c r="EC66" s="463">
        <v>0.7</v>
      </c>
      <c r="ED66" s="285">
        <f t="shared" si="72"/>
        <v>19</v>
      </c>
      <c r="EE66" s="475"/>
      <c r="EF66" s="456"/>
      <c r="EG66" s="461"/>
      <c r="EH66" s="463"/>
      <c r="EI66" s="285">
        <f t="shared" si="73"/>
        <v>0</v>
      </c>
      <c r="EJ66" s="467">
        <f t="shared" si="74"/>
        <v>14</v>
      </c>
      <c r="EK66" s="522">
        <f t="shared" si="75"/>
        <v>10</v>
      </c>
      <c r="EL66" s="267">
        <f t="shared" si="76"/>
        <v>14</v>
      </c>
      <c r="EM66" s="267">
        <f t="shared" si="77"/>
        <v>0</v>
      </c>
      <c r="EN66" s="516">
        <f t="shared" si="78"/>
        <v>0</v>
      </c>
      <c r="EO66" s="273">
        <f t="shared" si="79"/>
        <v>10</v>
      </c>
      <c r="EP66" s="15"/>
      <c r="EQ66" s="61">
        <f t="shared" si="80"/>
        <v>209</v>
      </c>
      <c r="ER66" s="187">
        <f>IF(OR($E66="B",$F66="B"),0,$I66)+IF(OR($J66="B",$K66="B"),0,$N66)+IF(OR($O66="B",$P66="B"),0,$S66)+IF(OR($T66="B",$U66="B"),0,$X66)+IF(OR($Y66="B",$Z66="B"),0,$AC66)+IF(OR($AD66="B",$AE66="B"),0,$AH66)+IF(OR($AI66="B",$AJ66="B"),0,$AM66)+IF(OR($HP45="B",$AO66="B"),0,$AR66)+IF(OR($AS66="B",$AT66="B"),0,$AW66)+IF(OR($AX66="B",$AY66="B"),0,$BB66)+IF(OR($BC66="B",$BD66="B"),0,$BG66)+IF(OR($BH66="B",$BI66="B"),0,$BL66)+IF(OR($BM66="B",$BN66="B"),0,$BQ66)+IF(OR($BR66="B",$BS66="B"),0,$BV66)+IF(OR($BW66="B",$BX66="B"),0,$CA66)+IF(OR($CB66="B",$CC66="B"),0,$CF66)+IF(OR($CG66="B",$CH66="B"),0,$CK66)+IF(OR($CL66="B",$CM66="B"),0,$CP66)+IF(OR($CQ66="B",$CR66="B"),0,$CU66)+IF(OR($CV66="B",$CW66="B"),0,$CZ66)+IF(OR($DA66="B",$DB66="B"),0,$DE66)+IF(OR($DF66="B",$DG66="B"),0,$DJ66)+IF(OR($DK66="B",$DL66="B"),0,$DO66)+IF(OR($DP66="B",$DQ66="B"),0,$DT66)+IF(OR($DU66="B",$DV66="B"),0,$DY66)+IF(OR($DZ66="B",$EA66="B"),0,$ED66)+IF(OR($EE66="B",$EF66="B"),0,$EI66)</f>
        <v>209</v>
      </c>
      <c r="ES66" s="28">
        <f t="shared" si="81"/>
        <v>14.928571428571429</v>
      </c>
      <c r="ET66" s="62">
        <f t="shared" si="82"/>
        <v>14.928571428571429</v>
      </c>
      <c r="EU66" s="63"/>
      <c r="EV66" s="247">
        <f t="shared" si="83"/>
        <v>222</v>
      </c>
      <c r="EW66" s="249">
        <f t="shared" si="84"/>
        <v>222</v>
      </c>
      <c r="EX66" s="23">
        <f t="shared" si="85"/>
        <v>15.857142857142858</v>
      </c>
      <c r="EY66" s="74">
        <f t="shared" si="86"/>
        <v>15.857142857142858</v>
      </c>
      <c r="EZ66" s="63"/>
      <c r="FA66" s="336">
        <f t="shared" si="87"/>
        <v>14</v>
      </c>
      <c r="FB66" s="337">
        <f t="shared" si="88"/>
        <v>0</v>
      </c>
      <c r="FC66" s="333">
        <f t="shared" si="89"/>
        <v>6.6682603435836185</v>
      </c>
      <c r="FD66" s="420">
        <f t="shared" si="90"/>
        <v>0.47630431025597275</v>
      </c>
      <c r="FE66" s="433">
        <f t="shared" si="91"/>
        <v>8.9163139295251366</v>
      </c>
      <c r="FF66" s="213">
        <f t="shared" si="92"/>
        <v>0.6368795663946526</v>
      </c>
      <c r="FG66" s="15"/>
      <c r="FH66" s="37">
        <f t="shared" si="46"/>
        <v>40</v>
      </c>
    </row>
    <row r="67" spans="2:164" ht="17" customHeight="1" thickBot="1" x14ac:dyDescent="0.25">
      <c r="B67" s="258" t="s">
        <v>108</v>
      </c>
      <c r="C67" s="259" t="s">
        <v>109</v>
      </c>
      <c r="D67" s="299">
        <v>259073</v>
      </c>
      <c r="E67" s="300"/>
      <c r="F67" s="285">
        <v>19</v>
      </c>
      <c r="G67" s="306">
        <v>0.11904761904761907</v>
      </c>
      <c r="H67" s="306">
        <v>0.2142857142857143</v>
      </c>
      <c r="I67" s="285">
        <f t="shared" si="49"/>
        <v>19</v>
      </c>
      <c r="J67" s="301">
        <v>5</v>
      </c>
      <c r="K67" s="476"/>
      <c r="L67" s="253">
        <v>6.25E-2</v>
      </c>
      <c r="M67" s="253">
        <v>0.8125</v>
      </c>
      <c r="N67" s="285">
        <f t="shared" si="50"/>
        <v>5</v>
      </c>
      <c r="O67" s="303">
        <v>24</v>
      </c>
      <c r="P67" s="302"/>
      <c r="Q67" s="253">
        <v>2.083333333333337E-2</v>
      </c>
      <c r="R67" s="253">
        <v>0.10416666666666663</v>
      </c>
      <c r="S67" s="285">
        <f t="shared" si="51"/>
        <v>24</v>
      </c>
      <c r="T67" s="303"/>
      <c r="U67" s="302"/>
      <c r="V67" s="301"/>
      <c r="W67" s="301"/>
      <c r="X67" s="285">
        <f t="shared" si="52"/>
        <v>0</v>
      </c>
      <c r="Y67" s="303"/>
      <c r="Z67" s="287">
        <v>26</v>
      </c>
      <c r="AA67" s="253">
        <v>8.064516129032262E-2</v>
      </c>
      <c r="AB67" s="253">
        <v>0.17741935483870963</v>
      </c>
      <c r="AC67" s="285">
        <f t="shared" si="53"/>
        <v>26</v>
      </c>
      <c r="AD67" s="303"/>
      <c r="AE67" s="287"/>
      <c r="AF67" s="253"/>
      <c r="AG67" s="253"/>
      <c r="AH67" s="285">
        <f t="shared" si="54"/>
        <v>0</v>
      </c>
      <c r="AI67" s="260">
        <v>2</v>
      </c>
      <c r="AJ67" s="257"/>
      <c r="AK67" s="253">
        <v>0.11904761904761907</v>
      </c>
      <c r="AL67" s="253">
        <v>0.16666666666666663</v>
      </c>
      <c r="AM67" s="285">
        <f t="shared" si="55"/>
        <v>2</v>
      </c>
      <c r="AN67" s="260">
        <v>3</v>
      </c>
      <c r="AO67" s="257"/>
      <c r="AP67" s="253">
        <v>0.14583333333333337</v>
      </c>
      <c r="AQ67" s="253">
        <v>0.14583333333333337</v>
      </c>
      <c r="AR67" s="285">
        <f t="shared" si="56"/>
        <v>3</v>
      </c>
      <c r="AS67" s="260">
        <v>3</v>
      </c>
      <c r="AT67" s="257"/>
      <c r="AU67" s="253">
        <v>0.15217391304347827</v>
      </c>
      <c r="AV67" s="253">
        <v>0.15217391304347827</v>
      </c>
      <c r="AW67" s="285">
        <f t="shared" si="57"/>
        <v>3</v>
      </c>
      <c r="AX67" s="260"/>
      <c r="AY67" s="257" t="s">
        <v>2</v>
      </c>
      <c r="AZ67" s="253">
        <v>9.259259259259256E-2</v>
      </c>
      <c r="BA67" s="253">
        <v>9.259259259259256E-2</v>
      </c>
      <c r="BB67" s="285">
        <f t="shared" si="58"/>
        <v>23</v>
      </c>
      <c r="BC67" s="260"/>
      <c r="BD67" s="257"/>
      <c r="BE67" s="287"/>
      <c r="BF67" s="301"/>
      <c r="BG67" s="285">
        <f t="shared" si="59"/>
        <v>0</v>
      </c>
      <c r="BH67" s="298"/>
      <c r="BI67" s="257"/>
      <c r="BJ67" s="287"/>
      <c r="BK67" s="301"/>
      <c r="BL67" s="285">
        <f t="shared" si="60"/>
        <v>0</v>
      </c>
      <c r="BM67" s="305"/>
      <c r="BN67" s="257"/>
      <c r="BO67" s="287"/>
      <c r="BP67" s="301"/>
      <c r="BQ67" s="285">
        <f t="shared" si="61"/>
        <v>0</v>
      </c>
      <c r="BR67" s="298"/>
      <c r="BS67" s="257"/>
      <c r="BT67" s="287"/>
      <c r="BU67" s="301"/>
      <c r="BV67" s="285">
        <f t="shared" si="62"/>
        <v>0</v>
      </c>
      <c r="BW67" s="298"/>
      <c r="BX67" s="257"/>
      <c r="BY67" s="287"/>
      <c r="BZ67" s="301"/>
      <c r="CA67" s="285">
        <f t="shared" si="63"/>
        <v>0</v>
      </c>
      <c r="CB67" s="298"/>
      <c r="CC67" s="257"/>
      <c r="CD67" s="287"/>
      <c r="CE67" s="301"/>
      <c r="CF67" s="285">
        <f t="shared" si="64"/>
        <v>0</v>
      </c>
      <c r="CG67" s="298"/>
      <c r="CH67" s="257">
        <v>26</v>
      </c>
      <c r="CI67" s="304">
        <v>0.1166666666666667</v>
      </c>
      <c r="CJ67" s="253">
        <v>0.25</v>
      </c>
      <c r="CK67" s="285">
        <f t="shared" si="65"/>
        <v>26</v>
      </c>
      <c r="CL67" s="298"/>
      <c r="CM67" s="257"/>
      <c r="CN67" s="287"/>
      <c r="CO67" s="301"/>
      <c r="CP67" s="285">
        <f t="shared" si="66"/>
        <v>0</v>
      </c>
      <c r="CQ67" s="298"/>
      <c r="CR67" s="257"/>
      <c r="CS67" s="287"/>
      <c r="CT67" s="301"/>
      <c r="CU67" s="285">
        <f t="shared" si="67"/>
        <v>0</v>
      </c>
      <c r="CV67" s="298">
        <v>5</v>
      </c>
      <c r="CW67" s="257"/>
      <c r="CX67" s="304">
        <v>4.5454545454545414E-2</v>
      </c>
      <c r="CY67" s="253">
        <v>0.13636363636363635</v>
      </c>
      <c r="CZ67" s="285">
        <f t="shared" si="19"/>
        <v>5</v>
      </c>
      <c r="DA67" s="298"/>
      <c r="DB67" s="257"/>
      <c r="DC67" s="287"/>
      <c r="DD67" s="301"/>
      <c r="DE67" s="285">
        <f t="shared" si="20"/>
        <v>0</v>
      </c>
      <c r="DF67" s="298"/>
      <c r="DG67" s="257"/>
      <c r="DH67" s="287"/>
      <c r="DI67" s="301"/>
      <c r="DJ67" s="285">
        <f t="shared" si="68"/>
        <v>0</v>
      </c>
      <c r="DK67" s="298">
        <v>3</v>
      </c>
      <c r="DL67" s="257"/>
      <c r="DM67" s="304">
        <v>0.1964285714285714</v>
      </c>
      <c r="DN67" s="253">
        <v>0.2321428571428571</v>
      </c>
      <c r="DO67" s="285">
        <f t="shared" si="69"/>
        <v>3</v>
      </c>
      <c r="DP67" s="298"/>
      <c r="DQ67" s="257"/>
      <c r="DR67" s="287"/>
      <c r="DS67" s="301"/>
      <c r="DT67" s="285">
        <f t="shared" si="70"/>
        <v>0</v>
      </c>
      <c r="DU67" s="298"/>
      <c r="DV67" s="257"/>
      <c r="DW67" s="287"/>
      <c r="DX67" s="301"/>
      <c r="DY67" s="285">
        <f t="shared" si="71"/>
        <v>0</v>
      </c>
      <c r="DZ67" s="475">
        <v>7</v>
      </c>
      <c r="EA67" s="456"/>
      <c r="EB67" s="461">
        <v>0.21111111111111114</v>
      </c>
      <c r="EC67" s="463">
        <v>0.38888888888888884</v>
      </c>
      <c r="ED67" s="285">
        <f t="shared" si="72"/>
        <v>7</v>
      </c>
      <c r="EE67" s="475">
        <v>9</v>
      </c>
      <c r="EF67" s="456"/>
      <c r="EG67" s="461">
        <v>0.19230769230769229</v>
      </c>
      <c r="EH67" s="463">
        <v>0.39743589743589747</v>
      </c>
      <c r="EI67" s="285">
        <f t="shared" si="73"/>
        <v>9</v>
      </c>
      <c r="EJ67" s="467">
        <f t="shared" si="74"/>
        <v>13</v>
      </c>
      <c r="EK67" s="522">
        <f t="shared" si="75"/>
        <v>5</v>
      </c>
      <c r="EL67" s="267">
        <f t="shared" si="76"/>
        <v>12</v>
      </c>
      <c r="EM67" s="267">
        <f t="shared" si="77"/>
        <v>0</v>
      </c>
      <c r="EN67" s="516">
        <f t="shared" si="78"/>
        <v>0</v>
      </c>
      <c r="EO67" s="273">
        <f t="shared" si="79"/>
        <v>5</v>
      </c>
      <c r="EP67" s="15"/>
      <c r="EQ67" s="61">
        <f t="shared" si="80"/>
        <v>155</v>
      </c>
      <c r="ER67" s="187">
        <f>IF(OR($E67="B",$F67="B"),0,$I67)+IF(OR($J67="B",$K67="B"),0,$N67)+IF(OR($O67="B",$P67="B"),0,$S67)+IF(OR($T67="B",$U67="B"),0,$X67)+IF(OR($Y67="B",$Z67="B"),0,$AC67)+IF(OR($AD67="B",$AE67="B"),0,$AH67)+IF(OR($AI67="B",$AJ67="B"),0,$AM67)+IF(OR($HP44="B",$AO67="B"),0,$AR67)+IF(OR($AS67="B",$AT67="B"),0,$AW67)+IF(OR($AX67="B",$AY67="B"),0,$BB67)+IF(OR($BC67="B",$BD67="B"),0,$BG67)+IF(OR($BH67="B",$BI67="B"),0,$BL67)+IF(OR($BM67="B",$BN67="B"),0,$BQ67)+IF(OR($BR67="B",$BS67="B"),0,$BV67)+IF(OR($BW67="B",$BX67="B"),0,$CA67)+IF(OR($CB67="B",$CC67="B"),0,$CF67)+IF(OR($CG67="B",$CH67="B"),0,$CK67)+IF(OR($CL67="B",$CM67="B"),0,$CP67)+IF(OR($CQ67="B",$CR67="B"),0,$CU67)+IF(OR($CV67="B",$CW67="B"),0,$CZ67)+IF(OR($DA67="B",$DB67="B"),0,$DE67)+IF(OR($DF67="B",$DG67="B"),0,$DJ67)+IF(OR($DK67="B",$DL67="B"),0,$DO67)+IF(OR($DP67="B",$DQ67="B"),0,$DT67)+IF(OR($DU67="B",$DV67="B"),0,$DY67)+IF(OR($DZ67="B",$EA67="B"),0,$ED67)+IF(OR($EE67="B",$EF67="B"),0,$EI67)</f>
        <v>132</v>
      </c>
      <c r="ES67" s="28">
        <f t="shared" si="81"/>
        <v>11.923076923076923</v>
      </c>
      <c r="ET67" s="62">
        <f t="shared" si="82"/>
        <v>11</v>
      </c>
      <c r="EU67" s="63"/>
      <c r="EV67" s="247">
        <f t="shared" si="83"/>
        <v>169</v>
      </c>
      <c r="EW67" s="249">
        <f t="shared" si="84"/>
        <v>147</v>
      </c>
      <c r="EX67" s="23">
        <f t="shared" si="85"/>
        <v>13</v>
      </c>
      <c r="EY67" s="74">
        <f t="shared" si="86"/>
        <v>12.25</v>
      </c>
      <c r="EZ67" s="63"/>
      <c r="FA67" s="336">
        <f t="shared" si="87"/>
        <v>13</v>
      </c>
      <c r="FB67" s="337">
        <f t="shared" si="88"/>
        <v>0</v>
      </c>
      <c r="FC67" s="333">
        <f t="shared" si="89"/>
        <v>1.5546421586568855</v>
      </c>
      <c r="FD67" s="420">
        <f t="shared" si="90"/>
        <v>0.11958785835822196</v>
      </c>
      <c r="FE67" s="433">
        <f t="shared" si="91"/>
        <v>3.2704695212584411</v>
      </c>
      <c r="FF67" s="213">
        <f t="shared" si="92"/>
        <v>0.25157457855834164</v>
      </c>
      <c r="FG67" s="15"/>
      <c r="FH67" s="37">
        <f t="shared" si="46"/>
        <v>41</v>
      </c>
    </row>
    <row r="68" spans="2:164" ht="17" customHeight="1" thickBot="1" x14ac:dyDescent="0.25">
      <c r="B68" s="258" t="s">
        <v>110</v>
      </c>
      <c r="C68" s="259" t="s">
        <v>111</v>
      </c>
      <c r="D68" s="299">
        <v>269730</v>
      </c>
      <c r="E68" s="300"/>
      <c r="F68" s="285">
        <v>9</v>
      </c>
      <c r="G68" s="306">
        <v>0.59523809523809523</v>
      </c>
      <c r="H68" s="306">
        <v>0.40476190476190477</v>
      </c>
      <c r="I68" s="285">
        <f t="shared" si="49"/>
        <v>9</v>
      </c>
      <c r="J68" s="301"/>
      <c r="K68" s="301"/>
      <c r="L68" s="301"/>
      <c r="M68" s="301"/>
      <c r="N68" s="285">
        <f t="shared" si="50"/>
        <v>0</v>
      </c>
      <c r="O68" s="303">
        <v>19</v>
      </c>
      <c r="P68" s="302"/>
      <c r="Q68" s="253">
        <v>0.22916666666666663</v>
      </c>
      <c r="R68" s="253">
        <v>6.25E-2</v>
      </c>
      <c r="S68" s="285">
        <f t="shared" si="51"/>
        <v>19</v>
      </c>
      <c r="T68" s="303">
        <v>15</v>
      </c>
      <c r="U68" s="302"/>
      <c r="V68" s="253">
        <v>0.39583333333333337</v>
      </c>
      <c r="W68" s="253">
        <v>0.3125</v>
      </c>
      <c r="X68" s="285">
        <f t="shared" si="52"/>
        <v>15</v>
      </c>
      <c r="Y68" s="303"/>
      <c r="Z68" s="287">
        <v>22</v>
      </c>
      <c r="AA68" s="253">
        <v>0.24193548387096775</v>
      </c>
      <c r="AB68" s="253">
        <v>4.8387096774193505E-2</v>
      </c>
      <c r="AC68" s="285">
        <f t="shared" si="53"/>
        <v>22</v>
      </c>
      <c r="AD68" s="303"/>
      <c r="AE68" s="287">
        <v>14</v>
      </c>
      <c r="AF68" s="253">
        <v>0.30952380952380953</v>
      </c>
      <c r="AG68" s="253">
        <v>0.2142857142857143</v>
      </c>
      <c r="AH68" s="285">
        <f t="shared" si="54"/>
        <v>14</v>
      </c>
      <c r="AI68" s="260"/>
      <c r="AJ68" s="257"/>
      <c r="AK68" s="301"/>
      <c r="AL68" s="301"/>
      <c r="AM68" s="285">
        <f t="shared" si="55"/>
        <v>0</v>
      </c>
      <c r="AN68" s="260"/>
      <c r="AO68" s="257"/>
      <c r="AP68" s="301"/>
      <c r="AQ68" s="301"/>
      <c r="AR68" s="285">
        <f t="shared" si="56"/>
        <v>0</v>
      </c>
      <c r="AS68" s="260"/>
      <c r="AT68" s="257"/>
      <c r="AU68" s="301"/>
      <c r="AV68" s="301"/>
      <c r="AW68" s="285">
        <f t="shared" si="57"/>
        <v>0</v>
      </c>
      <c r="AX68" s="260"/>
      <c r="AY68" s="257"/>
      <c r="AZ68" s="301"/>
      <c r="BA68" s="301"/>
      <c r="BB68" s="285">
        <f t="shared" si="58"/>
        <v>0</v>
      </c>
      <c r="BC68" s="260"/>
      <c r="BD68" s="257"/>
      <c r="BE68" s="287"/>
      <c r="BF68" s="301"/>
      <c r="BG68" s="285">
        <f t="shared" si="59"/>
        <v>0</v>
      </c>
      <c r="BH68" s="298"/>
      <c r="BI68" s="257"/>
      <c r="BJ68" s="287"/>
      <c r="BK68" s="301"/>
      <c r="BL68" s="285">
        <f t="shared" si="60"/>
        <v>0</v>
      </c>
      <c r="BM68" s="305"/>
      <c r="BN68" s="257"/>
      <c r="BO68" s="287"/>
      <c r="BP68" s="301"/>
      <c r="BQ68" s="285">
        <f t="shared" si="61"/>
        <v>0</v>
      </c>
      <c r="BR68" s="298"/>
      <c r="BS68" s="257"/>
      <c r="BT68" s="287"/>
      <c r="BU68" s="301"/>
      <c r="BV68" s="285">
        <f t="shared" si="62"/>
        <v>0</v>
      </c>
      <c r="BW68" s="298"/>
      <c r="BX68" s="257">
        <v>23</v>
      </c>
      <c r="BY68" s="304">
        <v>0.25</v>
      </c>
      <c r="BZ68" s="253">
        <v>0.15000000000000002</v>
      </c>
      <c r="CA68" s="285">
        <f t="shared" si="63"/>
        <v>23</v>
      </c>
      <c r="CB68" s="298"/>
      <c r="CC68" s="257"/>
      <c r="CD68" s="287"/>
      <c r="CE68" s="301"/>
      <c r="CF68" s="285">
        <f t="shared" si="64"/>
        <v>0</v>
      </c>
      <c r="CG68" s="298"/>
      <c r="CH68" s="257">
        <v>20</v>
      </c>
      <c r="CI68" s="304">
        <v>0.35</v>
      </c>
      <c r="CJ68" s="253">
        <v>0.21666666666666667</v>
      </c>
      <c r="CK68" s="285">
        <f t="shared" si="65"/>
        <v>20</v>
      </c>
      <c r="CL68" s="298"/>
      <c r="CM68" s="257">
        <v>21</v>
      </c>
      <c r="CN68" s="453">
        <v>0.359375</v>
      </c>
      <c r="CO68" s="454">
        <v>0.140625</v>
      </c>
      <c r="CP68" s="285">
        <f t="shared" si="66"/>
        <v>21</v>
      </c>
      <c r="CQ68" s="298"/>
      <c r="CR68" s="257">
        <v>10</v>
      </c>
      <c r="CS68" s="287">
        <v>0.52500000000000002</v>
      </c>
      <c r="CT68" s="301">
        <v>0.22499999999999998</v>
      </c>
      <c r="CU68" s="285">
        <f t="shared" si="67"/>
        <v>10</v>
      </c>
      <c r="CV68" s="298"/>
      <c r="CW68" s="257">
        <v>14</v>
      </c>
      <c r="CX68" s="304">
        <v>0.59090909090909083</v>
      </c>
      <c r="CY68" s="253">
        <v>0.31818181818181823</v>
      </c>
      <c r="CZ68" s="285">
        <f t="shared" si="19"/>
        <v>14</v>
      </c>
      <c r="DA68" s="298"/>
      <c r="DB68" s="257"/>
      <c r="DC68" s="287"/>
      <c r="DD68" s="301"/>
      <c r="DE68" s="285">
        <f t="shared" si="20"/>
        <v>0</v>
      </c>
      <c r="DF68" s="298"/>
      <c r="DG68" s="257">
        <v>11</v>
      </c>
      <c r="DH68" s="304">
        <v>0.70833333333333326</v>
      </c>
      <c r="DI68" s="253">
        <v>0.45833333333333337</v>
      </c>
      <c r="DJ68" s="285">
        <f t="shared" si="68"/>
        <v>11</v>
      </c>
      <c r="DK68" s="298"/>
      <c r="DL68" s="257">
        <v>9</v>
      </c>
      <c r="DM68" s="304">
        <v>0.6964285714285714</v>
      </c>
      <c r="DN68" s="253">
        <v>0.5535714285714286</v>
      </c>
      <c r="DO68" s="285">
        <f t="shared" si="69"/>
        <v>9</v>
      </c>
      <c r="DP68" s="298"/>
      <c r="DQ68" s="257"/>
      <c r="DR68" s="287"/>
      <c r="DS68" s="301"/>
      <c r="DT68" s="285">
        <f t="shared" si="70"/>
        <v>0</v>
      </c>
      <c r="DU68" s="298"/>
      <c r="DV68" s="257"/>
      <c r="DW68" s="287"/>
      <c r="DX68" s="301"/>
      <c r="DY68" s="285">
        <f t="shared" si="71"/>
        <v>0</v>
      </c>
      <c r="DZ68" s="475"/>
      <c r="EA68" s="456">
        <v>30</v>
      </c>
      <c r="EB68" s="461">
        <v>0.23333333333333328</v>
      </c>
      <c r="EC68" s="463">
        <v>0.12222222222222223</v>
      </c>
      <c r="ED68" s="285">
        <f t="shared" si="72"/>
        <v>30</v>
      </c>
      <c r="EE68" s="475"/>
      <c r="EF68" s="456"/>
      <c r="EG68" s="461"/>
      <c r="EH68" s="463"/>
      <c r="EI68" s="285">
        <f t="shared" si="73"/>
        <v>0</v>
      </c>
      <c r="EJ68" s="467">
        <f t="shared" si="74"/>
        <v>13</v>
      </c>
      <c r="EK68" s="522">
        <f t="shared" si="75"/>
        <v>8</v>
      </c>
      <c r="EL68" s="267">
        <f t="shared" si="76"/>
        <v>13</v>
      </c>
      <c r="EM68" s="267">
        <f t="shared" si="77"/>
        <v>0</v>
      </c>
      <c r="EN68" s="516">
        <f t="shared" si="78"/>
        <v>0</v>
      </c>
      <c r="EO68" s="273">
        <f t="shared" si="79"/>
        <v>8</v>
      </c>
      <c r="EP68" s="15"/>
      <c r="EQ68" s="61">
        <f t="shared" si="80"/>
        <v>217</v>
      </c>
      <c r="ER68" s="187">
        <f>IF(OR($E68="B",$F68="B"),0,$I68)+IF(OR($J68="B",$K68="B"),0,$N68)+IF(OR($O68="B",$P68="B"),0,$S68)+IF(OR($T68="B",$U68="B"),0,$X68)+IF(OR($Y68="B",$Z68="B"),0,$AC68)+IF(OR($AD68="B",$AE68="B"),0,$AH68)+IF(OR($AI68="B",$AJ68="B"),0,$AM68)+IF(OR($HP45="B",$AO68="B"),0,$AR68)+IF(OR($AS68="B",$AT68="B"),0,$AW68)+IF(OR($AX68="B",$AY68="B"),0,$BB68)+IF(OR($BC68="B",$BD68="B"),0,$BG68)+IF(OR($BH68="B",$BI68="B"),0,$BL68)+IF(OR($BM68="B",$BN68="B"),0,$BQ68)+IF(OR($BR68="B",$BS68="B"),0,$BV68)+IF(OR($BW68="B",$BX68="B"),0,$CA68)+IF(OR($CB68="B",$CC68="B"),0,$CF68)+IF(OR($CG68="B",$CH68="B"),0,$CK68)+IF(OR($CL68="B",$CM68="B"),0,$CP68)+IF(OR($CQ68="B",$CR68="B"),0,$CU68)+IF(OR($CV68="B",$CW68="B"),0,$CZ68)+IF(OR($DA68="B",$DB68="B"),0,$DE68)+IF(OR($DF68="B",$DG68="B"),0,$DJ68)+IF(OR($DK68="B",$DL68="B"),0,$DO68)+IF(OR($DP68="B",$DQ68="B"),0,$DT68)+IF(OR($DU68="B",$DV68="B"),0,$DY68)+IF(OR($DZ68="B",$EA68="B"),0,$ED68)+IF(OR($EE68="B",$EF68="B"),0,$EI68)</f>
        <v>217</v>
      </c>
      <c r="ES68" s="28">
        <f t="shared" si="81"/>
        <v>16.692307692307693</v>
      </c>
      <c r="ET68" s="62">
        <f t="shared" si="82"/>
        <v>16.692307692307693</v>
      </c>
      <c r="EU68" s="63"/>
      <c r="EV68" s="247">
        <f t="shared" si="83"/>
        <v>231</v>
      </c>
      <c r="EW68" s="249">
        <f t="shared" si="84"/>
        <v>231</v>
      </c>
      <c r="EX68" s="23">
        <f t="shared" si="85"/>
        <v>17.76923076923077</v>
      </c>
      <c r="EY68" s="74">
        <f t="shared" si="86"/>
        <v>17.76923076923077</v>
      </c>
      <c r="EZ68" s="63"/>
      <c r="FA68" s="336">
        <f t="shared" si="87"/>
        <v>13</v>
      </c>
      <c r="FB68" s="337">
        <f t="shared" si="88"/>
        <v>0</v>
      </c>
      <c r="FC68" s="333">
        <f t="shared" si="89"/>
        <v>5.4850767176372015</v>
      </c>
      <c r="FD68" s="420">
        <f t="shared" si="90"/>
        <v>0.42192897827978471</v>
      </c>
      <c r="FE68" s="433">
        <f t="shared" si="91"/>
        <v>3.2270351847972818</v>
      </c>
      <c r="FF68" s="213">
        <f t="shared" si="92"/>
        <v>0.24823347575363705</v>
      </c>
      <c r="FG68" s="15"/>
      <c r="FH68" s="37">
        <f t="shared" si="46"/>
        <v>42</v>
      </c>
    </row>
    <row r="69" spans="2:164" ht="17" customHeight="1" thickBot="1" x14ac:dyDescent="0.25">
      <c r="B69" s="258" t="s">
        <v>153</v>
      </c>
      <c r="C69" s="259" t="s">
        <v>154</v>
      </c>
      <c r="D69" s="299">
        <v>521321</v>
      </c>
      <c r="E69" s="300"/>
      <c r="F69" s="285"/>
      <c r="G69" s="285"/>
      <c r="H69" s="285"/>
      <c r="I69" s="285">
        <f t="shared" si="49"/>
        <v>0</v>
      </c>
      <c r="J69" s="301"/>
      <c r="K69" s="301"/>
      <c r="L69" s="301"/>
      <c r="M69" s="301"/>
      <c r="N69" s="285">
        <f t="shared" si="50"/>
        <v>0</v>
      </c>
      <c r="O69" s="303"/>
      <c r="P69" s="302"/>
      <c r="Q69" s="301"/>
      <c r="R69" s="301"/>
      <c r="S69" s="285">
        <f t="shared" si="51"/>
        <v>0</v>
      </c>
      <c r="T69" s="303"/>
      <c r="U69" s="302"/>
      <c r="V69" s="301"/>
      <c r="W69" s="301"/>
      <c r="X69" s="285">
        <f t="shared" si="52"/>
        <v>0</v>
      </c>
      <c r="Y69" s="303"/>
      <c r="Z69" s="287"/>
      <c r="AA69" s="301"/>
      <c r="AB69" s="301"/>
      <c r="AC69" s="285">
        <f t="shared" si="53"/>
        <v>0</v>
      </c>
      <c r="AD69" s="303">
        <v>1</v>
      </c>
      <c r="AE69" s="287"/>
      <c r="AF69" s="253">
        <v>0.40476190476190477</v>
      </c>
      <c r="AG69" s="253">
        <v>0.73809523809523814</v>
      </c>
      <c r="AH69" s="285">
        <f t="shared" si="54"/>
        <v>1</v>
      </c>
      <c r="AI69" s="260"/>
      <c r="AJ69" s="257"/>
      <c r="AK69" s="301"/>
      <c r="AL69" s="301"/>
      <c r="AM69" s="285">
        <f t="shared" si="55"/>
        <v>0</v>
      </c>
      <c r="AN69" s="260">
        <v>2</v>
      </c>
      <c r="AO69" s="257"/>
      <c r="AP69" s="253">
        <v>0.1875</v>
      </c>
      <c r="AQ69" s="253">
        <v>0.1875</v>
      </c>
      <c r="AR69" s="285">
        <f t="shared" si="56"/>
        <v>2</v>
      </c>
      <c r="AS69" s="260"/>
      <c r="AT69" s="257"/>
      <c r="AU69" s="301"/>
      <c r="AV69" s="301"/>
      <c r="AW69" s="285">
        <f t="shared" si="57"/>
        <v>0</v>
      </c>
      <c r="AX69" s="260"/>
      <c r="AY69" s="257"/>
      <c r="AZ69" s="301"/>
      <c r="BA69" s="301"/>
      <c r="BB69" s="285">
        <f t="shared" si="58"/>
        <v>0</v>
      </c>
      <c r="BC69" s="260"/>
      <c r="BD69" s="257"/>
      <c r="BE69" s="287"/>
      <c r="BF69" s="301"/>
      <c r="BG69" s="285">
        <f t="shared" si="59"/>
        <v>0</v>
      </c>
      <c r="BH69" s="298"/>
      <c r="BI69" s="257"/>
      <c r="BJ69" s="287"/>
      <c r="BK69" s="301"/>
      <c r="BL69" s="285">
        <f t="shared" si="60"/>
        <v>0</v>
      </c>
      <c r="BM69" s="305"/>
      <c r="BN69" s="257"/>
      <c r="BO69" s="287"/>
      <c r="BP69" s="301"/>
      <c r="BQ69" s="285">
        <f t="shared" si="61"/>
        <v>0</v>
      </c>
      <c r="BR69" s="298">
        <v>2</v>
      </c>
      <c r="BS69" s="257"/>
      <c r="BT69" s="304">
        <v>0.14000000000000001</v>
      </c>
      <c r="BU69" s="253">
        <v>0.33999999999999997</v>
      </c>
      <c r="BV69" s="285">
        <f t="shared" si="62"/>
        <v>2</v>
      </c>
      <c r="BW69" s="298">
        <v>2</v>
      </c>
      <c r="BX69" s="257"/>
      <c r="BY69" s="304">
        <v>0.18333333333333335</v>
      </c>
      <c r="BZ69" s="253">
        <v>0.81666666666666665</v>
      </c>
      <c r="CA69" s="285">
        <f t="shared" si="63"/>
        <v>2</v>
      </c>
      <c r="CB69" s="298">
        <v>1</v>
      </c>
      <c r="CC69" s="257"/>
      <c r="CD69" s="304">
        <v>0.68333333333333335</v>
      </c>
      <c r="CE69" s="253">
        <v>0.6166666666666667</v>
      </c>
      <c r="CF69" s="285">
        <f t="shared" si="64"/>
        <v>1</v>
      </c>
      <c r="CG69" s="447">
        <v>1</v>
      </c>
      <c r="CH69" s="257"/>
      <c r="CI69" s="287">
        <v>0.15</v>
      </c>
      <c r="CJ69" s="253">
        <v>0.15</v>
      </c>
      <c r="CK69" s="285">
        <f t="shared" si="65"/>
        <v>1</v>
      </c>
      <c r="CL69" s="298">
        <v>2</v>
      </c>
      <c r="CM69" s="257"/>
      <c r="CN69" s="304">
        <v>0.109375</v>
      </c>
      <c r="CO69" s="253">
        <v>7.8125E-2</v>
      </c>
      <c r="CP69" s="285">
        <f t="shared" si="66"/>
        <v>2</v>
      </c>
      <c r="CQ69" s="298"/>
      <c r="CR69" s="257"/>
      <c r="CS69" s="287"/>
      <c r="CT69" s="301"/>
      <c r="CU69" s="285">
        <f t="shared" si="67"/>
        <v>0</v>
      </c>
      <c r="CV69" s="298">
        <v>1</v>
      </c>
      <c r="CW69" s="257"/>
      <c r="CX69" s="304">
        <v>0.22727272727272729</v>
      </c>
      <c r="CY69" s="253">
        <v>0.5</v>
      </c>
      <c r="CZ69" s="285">
        <f t="shared" si="19"/>
        <v>1</v>
      </c>
      <c r="DA69" s="298"/>
      <c r="DB69" s="257"/>
      <c r="DC69" s="287"/>
      <c r="DD69" s="301"/>
      <c r="DE69" s="285">
        <f t="shared" si="20"/>
        <v>0</v>
      </c>
      <c r="DF69" s="298"/>
      <c r="DG69" s="257">
        <v>31</v>
      </c>
      <c r="DH69" s="304">
        <v>0.15277777777777779</v>
      </c>
      <c r="DI69" s="253">
        <v>0.20833333333333337</v>
      </c>
      <c r="DJ69" s="285">
        <f t="shared" si="68"/>
        <v>31</v>
      </c>
      <c r="DK69" s="298"/>
      <c r="DL69" s="257"/>
      <c r="DM69" s="287"/>
      <c r="DN69" s="301"/>
      <c r="DO69" s="285">
        <f t="shared" si="69"/>
        <v>0</v>
      </c>
      <c r="DP69" s="298"/>
      <c r="DQ69" s="257"/>
      <c r="DR69" s="287"/>
      <c r="DS69" s="301"/>
      <c r="DT69" s="285">
        <f t="shared" si="70"/>
        <v>0</v>
      </c>
      <c r="DU69" s="298">
        <v>7</v>
      </c>
      <c r="DV69" s="257"/>
      <c r="DW69" s="304">
        <v>1.5151515151515138E-2</v>
      </c>
      <c r="DX69" s="253">
        <v>4.5454545454545414E-2</v>
      </c>
      <c r="DY69" s="285">
        <f t="shared" si="71"/>
        <v>7</v>
      </c>
      <c r="DZ69" s="475">
        <v>3</v>
      </c>
      <c r="EA69" s="456"/>
      <c r="EB69" s="461">
        <v>0.34444444444444444</v>
      </c>
      <c r="EC69" s="463">
        <v>0.4555555555555556</v>
      </c>
      <c r="ED69" s="285">
        <f t="shared" si="72"/>
        <v>3</v>
      </c>
      <c r="EE69" s="475">
        <v>6</v>
      </c>
      <c r="EF69" s="456"/>
      <c r="EG69" s="461">
        <v>0.34615384615384615</v>
      </c>
      <c r="EH69" s="463">
        <v>0.47435897435897434</v>
      </c>
      <c r="EI69" s="285">
        <f t="shared" si="73"/>
        <v>6</v>
      </c>
      <c r="EJ69" s="467">
        <f t="shared" si="74"/>
        <v>12</v>
      </c>
      <c r="EK69" s="522">
        <f t="shared" si="75"/>
        <v>10</v>
      </c>
      <c r="EL69" s="267">
        <f t="shared" si="76"/>
        <v>12</v>
      </c>
      <c r="EM69" s="267">
        <f t="shared" si="77"/>
        <v>0</v>
      </c>
      <c r="EN69" s="516">
        <f t="shared" si="78"/>
        <v>0</v>
      </c>
      <c r="EO69" s="273">
        <f t="shared" si="79"/>
        <v>10</v>
      </c>
      <c r="EP69" s="15"/>
      <c r="EQ69" s="61">
        <f t="shared" si="80"/>
        <v>59</v>
      </c>
      <c r="ER69" s="187">
        <f>IF(OR($E69="B",$F69="B"),0,$I69)+IF(OR($J69="B",$K69="B"),0,$N69)+IF(OR($O69="B",$P69="B"),0,$S69)+IF(OR($T69="B",$U69="B"),0,$X69)+IF(OR($Y69="B",$Z69="B"),0,$AC69)+IF(OR($AD69="B",$AE69="B"),0,$AH69)+IF(OR($AI69="B",$AJ69="B"),0,$AM69)+IF(OR($HP48="B",$AO69="B"),0,$AR69)+IF(OR($AS69="B",$AT69="B"),0,$AW69)+IF(OR($AX69="B",$AY69="B"),0,$BB69)+IF(OR($BC69="B",$BD69="B"),0,$BG69)+IF(OR($BH69="B",$BI69="B"),0,$BL69)+IF(OR($BM69="B",$BN69="B"),0,$BQ69)+IF(OR($BR69="B",$BS69="B"),0,$BV69)+IF(OR($BW69="B",$BX69="B"),0,$CA69)+IF(OR($CB69="B",$CC69="B"),0,$CF69)+IF(OR($CG69="B",$CH69="B"),0,$CK69)+IF(OR($CL69="B",$CM69="B"),0,$CP69)+IF(OR($CQ69="B",$CR69="B"),0,$CU69)+IF(OR($CV69="B",$CW69="B"),0,$CZ69)+IF(OR($DA69="B",$DB69="B"),0,$DE69)+IF(OR($DF69="B",$DG69="B"),0,$DJ69)+IF(OR($DK69="B",$DL69="B"),0,$DO69)+IF(OR($DP69="B",$DQ69="B"),0,$DT69)+IF(OR($DU69="B",$DV69="B"),0,$DY69)+IF(OR($DZ69="B",$EA69="B"),0,$ED69)+IF(OR($EE69="B",$EF69="B"),0,$EI69)</f>
        <v>59</v>
      </c>
      <c r="ES69" s="28">
        <f t="shared" si="81"/>
        <v>4.916666666666667</v>
      </c>
      <c r="ET69" s="62">
        <f t="shared" si="82"/>
        <v>4.916666666666667</v>
      </c>
      <c r="EU69" s="63"/>
      <c r="EV69" s="247">
        <f t="shared" si="83"/>
        <v>74</v>
      </c>
      <c r="EW69" s="249">
        <f t="shared" si="84"/>
        <v>74</v>
      </c>
      <c r="EX69" s="23">
        <f t="shared" si="85"/>
        <v>6.166666666666667</v>
      </c>
      <c r="EY69" s="74">
        <f t="shared" si="86"/>
        <v>6.166666666666667</v>
      </c>
      <c r="EZ69" s="63"/>
      <c r="FA69" s="336">
        <f t="shared" si="87"/>
        <v>12</v>
      </c>
      <c r="FB69" s="337">
        <f t="shared" si="88"/>
        <v>0</v>
      </c>
      <c r="FC69" s="333">
        <f t="shared" si="89"/>
        <v>2.9441038822288825</v>
      </c>
      <c r="FD69" s="420">
        <f t="shared" si="90"/>
        <v>0.24534199018574021</v>
      </c>
      <c r="FE69" s="433">
        <f t="shared" si="91"/>
        <v>4.6107559801309801</v>
      </c>
      <c r="FF69" s="213">
        <f t="shared" si="92"/>
        <v>0.38422966501091499</v>
      </c>
      <c r="FG69" s="15"/>
      <c r="FH69" s="37">
        <f t="shared" si="46"/>
        <v>43</v>
      </c>
    </row>
    <row r="70" spans="2:164" ht="17" thickBot="1" x14ac:dyDescent="0.25">
      <c r="B70" s="258" t="s">
        <v>132</v>
      </c>
      <c r="C70" s="259" t="s">
        <v>133</v>
      </c>
      <c r="D70" s="299">
        <v>228431</v>
      </c>
      <c r="E70" s="300"/>
      <c r="F70" s="285"/>
      <c r="G70" s="285"/>
      <c r="H70" s="285"/>
      <c r="I70" s="285">
        <f t="shared" si="49"/>
        <v>0</v>
      </c>
      <c r="J70" s="301"/>
      <c r="K70" s="301">
        <v>16</v>
      </c>
      <c r="L70" s="253">
        <v>5.0208333333333334E-2</v>
      </c>
      <c r="M70" s="253">
        <v>0.64583333333333326</v>
      </c>
      <c r="N70" s="285">
        <f t="shared" si="50"/>
        <v>16</v>
      </c>
      <c r="O70" s="303">
        <v>21</v>
      </c>
      <c r="P70" s="302"/>
      <c r="Q70" s="253">
        <v>0.14583333333333337</v>
      </c>
      <c r="R70" s="253">
        <v>0.9375</v>
      </c>
      <c r="S70" s="285">
        <f t="shared" si="51"/>
        <v>21</v>
      </c>
      <c r="T70" s="303"/>
      <c r="U70" s="302"/>
      <c r="V70" s="301"/>
      <c r="W70" s="301"/>
      <c r="X70" s="285">
        <f t="shared" si="52"/>
        <v>0</v>
      </c>
      <c r="Y70" s="303"/>
      <c r="Z70" s="287">
        <v>27</v>
      </c>
      <c r="AA70" s="253">
        <v>4.8387096774193505E-2</v>
      </c>
      <c r="AB70" s="253">
        <v>0.33870967741935487</v>
      </c>
      <c r="AC70" s="285">
        <f t="shared" si="53"/>
        <v>27</v>
      </c>
      <c r="AD70" s="303"/>
      <c r="AE70" s="287"/>
      <c r="AF70" s="253"/>
      <c r="AG70" s="253"/>
      <c r="AH70" s="285">
        <f t="shared" si="54"/>
        <v>0</v>
      </c>
      <c r="AI70" s="260"/>
      <c r="AJ70" s="257"/>
      <c r="AK70" s="301"/>
      <c r="AL70" s="301"/>
      <c r="AM70" s="285">
        <f t="shared" si="55"/>
        <v>0</v>
      </c>
      <c r="AN70" s="176"/>
      <c r="AO70" s="81"/>
      <c r="AP70" s="191"/>
      <c r="AQ70" s="191"/>
      <c r="AR70" s="285">
        <f t="shared" si="56"/>
        <v>0</v>
      </c>
      <c r="AS70" s="260"/>
      <c r="AT70" s="257">
        <v>17</v>
      </c>
      <c r="AU70" s="253">
        <v>0.19565217391304346</v>
      </c>
      <c r="AV70" s="253">
        <v>0.67391304347826086</v>
      </c>
      <c r="AW70" s="285">
        <f t="shared" si="57"/>
        <v>17</v>
      </c>
      <c r="AX70" s="260"/>
      <c r="AY70" s="257"/>
      <c r="AZ70" s="301"/>
      <c r="BA70" s="301"/>
      <c r="BB70" s="285">
        <f t="shared" si="58"/>
        <v>0</v>
      </c>
      <c r="BC70" s="260"/>
      <c r="BD70" s="257"/>
      <c r="BE70" s="287"/>
      <c r="BF70" s="301"/>
      <c r="BG70" s="285">
        <f t="shared" si="59"/>
        <v>0</v>
      </c>
      <c r="BH70" s="298"/>
      <c r="BI70" s="257"/>
      <c r="BJ70" s="287"/>
      <c r="BK70" s="301"/>
      <c r="BL70" s="285">
        <f t="shared" si="60"/>
        <v>0</v>
      </c>
      <c r="BM70" s="305"/>
      <c r="BN70" s="257"/>
      <c r="BO70" s="287"/>
      <c r="BP70" s="301"/>
      <c r="BQ70" s="285">
        <f t="shared" si="61"/>
        <v>0</v>
      </c>
      <c r="BR70" s="298"/>
      <c r="BS70" s="257"/>
      <c r="BT70" s="287"/>
      <c r="BU70" s="301"/>
      <c r="BV70" s="285">
        <f t="shared" si="62"/>
        <v>0</v>
      </c>
      <c r="BW70" s="298">
        <v>1</v>
      </c>
      <c r="BX70" s="257"/>
      <c r="BY70" s="304">
        <v>0.18333333333333335</v>
      </c>
      <c r="BZ70" s="253">
        <v>8.333333333333337E-2</v>
      </c>
      <c r="CA70" s="285">
        <f t="shared" si="63"/>
        <v>1</v>
      </c>
      <c r="CB70" s="298"/>
      <c r="CC70" s="257">
        <v>27</v>
      </c>
      <c r="CD70" s="304">
        <v>0.05</v>
      </c>
      <c r="CE70" s="253">
        <v>0.8833333333333333</v>
      </c>
      <c r="CF70" s="285">
        <f t="shared" si="64"/>
        <v>27</v>
      </c>
      <c r="CG70" s="298"/>
      <c r="CH70" s="257"/>
      <c r="CI70" s="287"/>
      <c r="CJ70" s="301"/>
      <c r="CK70" s="285">
        <f t="shared" si="65"/>
        <v>0</v>
      </c>
      <c r="CL70" s="298"/>
      <c r="CM70" s="257"/>
      <c r="CN70" s="287"/>
      <c r="CO70" s="301"/>
      <c r="CP70" s="285">
        <f t="shared" si="66"/>
        <v>0</v>
      </c>
      <c r="CQ70" s="298"/>
      <c r="CR70" s="257"/>
      <c r="CS70" s="287"/>
      <c r="CT70" s="301"/>
      <c r="CU70" s="285">
        <f t="shared" si="67"/>
        <v>0</v>
      </c>
      <c r="CV70" s="298"/>
      <c r="CW70" s="257"/>
      <c r="CX70" s="287"/>
      <c r="CY70" s="301"/>
      <c r="CZ70" s="285">
        <f t="shared" si="19"/>
        <v>0</v>
      </c>
      <c r="DA70" s="298"/>
      <c r="DB70" s="257"/>
      <c r="DC70" s="287"/>
      <c r="DD70" s="301"/>
      <c r="DE70" s="285">
        <f t="shared" si="20"/>
        <v>0</v>
      </c>
      <c r="DF70" s="298"/>
      <c r="DG70" s="257"/>
      <c r="DH70" s="287"/>
      <c r="DI70" s="301"/>
      <c r="DJ70" s="285">
        <f t="shared" si="68"/>
        <v>0</v>
      </c>
      <c r="DK70" s="298"/>
      <c r="DL70" s="257"/>
      <c r="DM70" s="287"/>
      <c r="DN70" s="301"/>
      <c r="DO70" s="285">
        <f t="shared" si="69"/>
        <v>0</v>
      </c>
      <c r="DP70" s="298">
        <v>7</v>
      </c>
      <c r="DQ70" s="257"/>
      <c r="DR70" s="304">
        <v>5.1724137931034475E-2</v>
      </c>
      <c r="DS70" s="253">
        <v>5.1724137931034475E-2</v>
      </c>
      <c r="DT70" s="285">
        <f t="shared" si="70"/>
        <v>7</v>
      </c>
      <c r="DU70" s="298">
        <v>3</v>
      </c>
      <c r="DV70" s="257"/>
      <c r="DW70" s="304">
        <v>0.13636363636363635</v>
      </c>
      <c r="DX70" s="253">
        <v>0.5</v>
      </c>
      <c r="DY70" s="285">
        <f t="shared" si="71"/>
        <v>3</v>
      </c>
      <c r="DZ70" s="475">
        <v>9</v>
      </c>
      <c r="EA70" s="81"/>
      <c r="EB70" s="461">
        <v>0.14444444444444449</v>
      </c>
      <c r="EC70" s="463">
        <v>0.30000000000000004</v>
      </c>
      <c r="ED70" s="285">
        <f t="shared" si="72"/>
        <v>9</v>
      </c>
      <c r="EE70" s="475">
        <v>4</v>
      </c>
      <c r="EF70" s="81"/>
      <c r="EG70" s="461">
        <v>0.42307692307692313</v>
      </c>
      <c r="EH70" s="463">
        <v>0.91025641025641024</v>
      </c>
      <c r="EI70" s="285">
        <f t="shared" si="73"/>
        <v>4</v>
      </c>
      <c r="EJ70" s="467">
        <f t="shared" si="74"/>
        <v>10</v>
      </c>
      <c r="EK70" s="522">
        <f t="shared" si="75"/>
        <v>6</v>
      </c>
      <c r="EL70" s="267">
        <f t="shared" si="76"/>
        <v>10</v>
      </c>
      <c r="EM70" s="267">
        <f t="shared" si="77"/>
        <v>0</v>
      </c>
      <c r="EN70" s="516">
        <f t="shared" si="78"/>
        <v>0</v>
      </c>
      <c r="EO70" s="273">
        <f t="shared" si="79"/>
        <v>6</v>
      </c>
      <c r="EP70" s="15"/>
      <c r="EQ70" s="61">
        <f t="shared" si="80"/>
        <v>132</v>
      </c>
      <c r="ER70" s="187">
        <f>IF(OR($E70="B",$F70="B"),0,$I70)+IF(OR($J70="B",$K70="B"),0,$N70)+IF(OR($O70="B",$P70="B"),0,$S70)+IF(OR($T70="B",$U70="B"),0,$X70)+IF(OR($Y70="B",$Z70="B"),0,$AC70)+IF(OR($AD70="B",$AE70="B"),0,$AH70)+IF(OR($AI70="B",$AJ70="B"),0,$AM70)+IF(OR($HP48="B",$AO70="B"),0,$AR70)+IF(OR($AS70="B",$AT70="B"),0,$AW70)+IF(OR($AX70="B",$AY70="B"),0,$BB70)+IF(OR($BC70="B",$BD70="B"),0,$BG70)+IF(OR($BH70="B",$BI70="B"),0,$BL70)+IF(OR($BM70="B",$BN70="B"),0,$BQ70)+IF(OR($BR70="B",$BS70="B"),0,$BV70)+IF(OR($BW70="B",$BX70="B"),0,$CA70)+IF(OR($CB70="B",$CC70="B"),0,$CF70)+IF(OR($CG70="B",$CH70="B"),0,$CK70)+IF(OR($CL70="B",$CM70="B"),0,$CP70)+IF(OR($CQ70="B",$CR70="B"),0,$CU70)+IF(OR($CV70="B",$CW70="B"),0,$CZ70)+IF(OR($DA70="B",$DB70="B"),0,$DE70)+IF(OR($DF70="B",$DG70="B"),0,$DJ70)+IF(OR($DK70="B",$DL70="B"),0,$DO70)+IF(OR($DP70="B",$DQ70="B"),0,$DT70)+IF(OR($DU70="B",$DV70="B"),0,$DY70)+IF(OR($DZ70="B",$EA70="B"),0,$ED70)+IF(OR($EE70="B",$EF70="B"),0,$EI70)</f>
        <v>132</v>
      </c>
      <c r="ES70" s="28">
        <f t="shared" si="81"/>
        <v>13.2</v>
      </c>
      <c r="ET70" s="62">
        <f t="shared" si="82"/>
        <v>13.2</v>
      </c>
      <c r="EU70" s="63"/>
      <c r="EV70" s="247">
        <f t="shared" si="83"/>
        <v>149</v>
      </c>
      <c r="EW70" s="249">
        <f t="shared" si="84"/>
        <v>149</v>
      </c>
      <c r="EX70" s="23">
        <f t="shared" si="85"/>
        <v>14.9</v>
      </c>
      <c r="EY70" s="74">
        <f t="shared" si="86"/>
        <v>14.9</v>
      </c>
      <c r="EZ70" s="63"/>
      <c r="FA70" s="336">
        <f t="shared" si="87"/>
        <v>10</v>
      </c>
      <c r="FB70" s="337">
        <f t="shared" si="88"/>
        <v>0</v>
      </c>
      <c r="FC70" s="333">
        <f t="shared" si="89"/>
        <v>1.4290234125032755</v>
      </c>
      <c r="FD70" s="420">
        <f t="shared" si="90"/>
        <v>0.14290234125032755</v>
      </c>
      <c r="FE70" s="433">
        <f t="shared" si="91"/>
        <v>5.3246032690850607</v>
      </c>
      <c r="FF70" s="213">
        <f t="shared" si="92"/>
        <v>0.53246032690850609</v>
      </c>
      <c r="FG70" s="15"/>
      <c r="FH70" s="37">
        <f t="shared" si="46"/>
        <v>44</v>
      </c>
    </row>
    <row r="71" spans="2:164" ht="17" customHeight="1" thickBot="1" x14ac:dyDescent="0.25">
      <c r="B71" s="258" t="s">
        <v>159</v>
      </c>
      <c r="C71" s="259" t="s">
        <v>160</v>
      </c>
      <c r="D71" s="299">
        <v>522360</v>
      </c>
      <c r="E71" s="300"/>
      <c r="F71" s="285"/>
      <c r="G71" s="285"/>
      <c r="H71" s="285"/>
      <c r="I71" s="285">
        <f t="shared" si="49"/>
        <v>0</v>
      </c>
      <c r="J71" s="301"/>
      <c r="K71" s="301"/>
      <c r="L71" s="301"/>
      <c r="M71" s="301"/>
      <c r="N71" s="285">
        <f t="shared" si="50"/>
        <v>0</v>
      </c>
      <c r="O71" s="303"/>
      <c r="P71" s="302"/>
      <c r="Q71" s="301"/>
      <c r="R71" s="301"/>
      <c r="S71" s="285">
        <f t="shared" si="51"/>
        <v>0</v>
      </c>
      <c r="T71" s="163"/>
      <c r="U71" s="145"/>
      <c r="V71" s="191"/>
      <c r="W71" s="191"/>
      <c r="X71" s="285">
        <f t="shared" si="52"/>
        <v>0</v>
      </c>
      <c r="Y71" s="303"/>
      <c r="Z71" s="287"/>
      <c r="AA71" s="301"/>
      <c r="AB71" s="301"/>
      <c r="AC71" s="285">
        <f t="shared" si="53"/>
        <v>0</v>
      </c>
      <c r="AD71" s="303"/>
      <c r="AE71" s="287"/>
      <c r="AF71" s="253"/>
      <c r="AG71" s="253"/>
      <c r="AH71" s="285">
        <f t="shared" si="54"/>
        <v>0</v>
      </c>
      <c r="AI71" s="260"/>
      <c r="AJ71" s="257"/>
      <c r="AK71" s="301"/>
      <c r="AL71" s="301"/>
      <c r="AM71" s="285">
        <f t="shared" si="55"/>
        <v>0</v>
      </c>
      <c r="AN71" s="260"/>
      <c r="AO71" s="257"/>
      <c r="AP71" s="301"/>
      <c r="AQ71" s="301"/>
      <c r="AR71" s="285">
        <f t="shared" si="56"/>
        <v>0</v>
      </c>
      <c r="AS71" s="260"/>
      <c r="AT71" s="257"/>
      <c r="AU71" s="301"/>
      <c r="AV71" s="301"/>
      <c r="AW71" s="285">
        <f t="shared" si="57"/>
        <v>0</v>
      </c>
      <c r="AX71" s="260"/>
      <c r="AY71" s="257"/>
      <c r="AZ71" s="301"/>
      <c r="BA71" s="301"/>
      <c r="BB71" s="285">
        <f t="shared" si="58"/>
        <v>0</v>
      </c>
      <c r="BC71" s="260"/>
      <c r="BD71" s="257"/>
      <c r="BE71" s="287"/>
      <c r="BF71" s="301"/>
      <c r="BG71" s="285">
        <f t="shared" si="59"/>
        <v>0</v>
      </c>
      <c r="BH71" s="298"/>
      <c r="BI71" s="257"/>
      <c r="BJ71" s="287"/>
      <c r="BK71" s="301"/>
      <c r="BL71" s="285">
        <f t="shared" si="60"/>
        <v>0</v>
      </c>
      <c r="BM71" s="305"/>
      <c r="BN71" s="257"/>
      <c r="BO71" s="287"/>
      <c r="BP71" s="301"/>
      <c r="BQ71" s="285">
        <f t="shared" si="61"/>
        <v>0</v>
      </c>
      <c r="BR71" s="298"/>
      <c r="BS71" s="257"/>
      <c r="BT71" s="287"/>
      <c r="BU71" s="301"/>
      <c r="BV71" s="285">
        <f t="shared" si="62"/>
        <v>0</v>
      </c>
      <c r="BW71" s="298"/>
      <c r="BX71" s="257"/>
      <c r="BY71" s="287"/>
      <c r="BZ71" s="301"/>
      <c r="CA71" s="285">
        <f t="shared" si="63"/>
        <v>0</v>
      </c>
      <c r="CB71" s="298"/>
      <c r="CC71" s="257"/>
      <c r="CD71" s="287"/>
      <c r="CE71" s="301"/>
      <c r="CF71" s="285">
        <f t="shared" si="64"/>
        <v>0</v>
      </c>
      <c r="CG71" s="298"/>
      <c r="CH71" s="257"/>
      <c r="CI71" s="287"/>
      <c r="CJ71" s="301"/>
      <c r="CK71" s="285">
        <f t="shared" si="65"/>
        <v>0</v>
      </c>
      <c r="CL71" s="298"/>
      <c r="CM71" s="257" t="s">
        <v>2</v>
      </c>
      <c r="CN71" s="304">
        <v>4.6875E-2</v>
      </c>
      <c r="CO71" s="253">
        <v>4.6875E-2</v>
      </c>
      <c r="CP71" s="285">
        <f t="shared" si="66"/>
        <v>28</v>
      </c>
      <c r="CQ71" s="298">
        <v>1</v>
      </c>
      <c r="CR71" s="257"/>
      <c r="CS71" s="287">
        <v>2.5000000000000022E-2</v>
      </c>
      <c r="CT71" s="301">
        <v>0.125</v>
      </c>
      <c r="CU71" s="285">
        <f t="shared" si="67"/>
        <v>1</v>
      </c>
      <c r="CV71" s="298">
        <v>2</v>
      </c>
      <c r="CW71" s="257"/>
      <c r="CX71" s="304">
        <v>0.19696969696969702</v>
      </c>
      <c r="CY71" s="253">
        <v>0.65151515151515149</v>
      </c>
      <c r="CZ71" s="285">
        <f t="shared" si="19"/>
        <v>2</v>
      </c>
      <c r="DA71" s="298">
        <v>2</v>
      </c>
      <c r="DB71" s="257"/>
      <c r="DC71" s="304">
        <v>0.10416666666666663</v>
      </c>
      <c r="DD71" s="253">
        <v>0.35416666666666663</v>
      </c>
      <c r="DE71" s="285">
        <f t="shared" si="20"/>
        <v>2</v>
      </c>
      <c r="DF71" s="298">
        <v>1</v>
      </c>
      <c r="DG71" s="257"/>
      <c r="DH71" s="304">
        <v>9.722222222222221E-2</v>
      </c>
      <c r="DI71" s="253">
        <v>0.43055555555555558</v>
      </c>
      <c r="DJ71" s="285">
        <f t="shared" si="68"/>
        <v>1</v>
      </c>
      <c r="DK71" s="475" t="s">
        <v>2</v>
      </c>
      <c r="DL71" s="257"/>
      <c r="DM71" s="461">
        <v>0.125</v>
      </c>
      <c r="DN71" s="253">
        <v>0.125</v>
      </c>
      <c r="DO71" s="285">
        <f t="shared" si="69"/>
        <v>5</v>
      </c>
      <c r="DP71" s="298">
        <v>2</v>
      </c>
      <c r="DQ71" s="257"/>
      <c r="DR71" s="304">
        <v>0.39655172413793105</v>
      </c>
      <c r="DS71" s="253">
        <v>0.94827586206896552</v>
      </c>
      <c r="DT71" s="285">
        <f t="shared" si="70"/>
        <v>2</v>
      </c>
      <c r="DU71" s="298">
        <v>1</v>
      </c>
      <c r="DV71" s="257"/>
      <c r="DW71" s="304">
        <v>0.34848484848484851</v>
      </c>
      <c r="DX71" s="253">
        <v>0.77272727272727271</v>
      </c>
      <c r="DY71" s="285">
        <f t="shared" si="71"/>
        <v>1</v>
      </c>
      <c r="DZ71" s="475">
        <v>11</v>
      </c>
      <c r="EA71" s="456"/>
      <c r="EB71" s="461">
        <v>9.9999999999999978E-2</v>
      </c>
      <c r="EC71" s="463">
        <v>0.14444444444444449</v>
      </c>
      <c r="ED71" s="285">
        <f t="shared" si="72"/>
        <v>11</v>
      </c>
      <c r="EE71" s="475">
        <v>1</v>
      </c>
      <c r="EF71" s="456"/>
      <c r="EG71" s="461">
        <v>0.52564102564102566</v>
      </c>
      <c r="EH71" s="463">
        <v>0.9358974358974359</v>
      </c>
      <c r="EI71" s="285">
        <f t="shared" si="73"/>
        <v>1</v>
      </c>
      <c r="EJ71" s="467">
        <f t="shared" si="74"/>
        <v>10</v>
      </c>
      <c r="EK71" s="522">
        <f t="shared" si="75"/>
        <v>10</v>
      </c>
      <c r="EL71" s="267">
        <f t="shared" si="76"/>
        <v>8</v>
      </c>
      <c r="EM71" s="267">
        <f t="shared" si="77"/>
        <v>0</v>
      </c>
      <c r="EN71" s="516">
        <f t="shared" si="78"/>
        <v>0</v>
      </c>
      <c r="EO71" s="273">
        <f t="shared" si="79"/>
        <v>10</v>
      </c>
      <c r="EP71" s="15"/>
      <c r="EQ71" s="61">
        <f t="shared" si="80"/>
        <v>54</v>
      </c>
      <c r="ER71" s="187">
        <f>IF(OR($E71="B",$F71="B"),0,$I71)+IF(OR($J71="B",$K71="B"),0,$N71)+IF(OR($O71="B",$P71="B"),0,$S71)+IF(OR($T71="B",$U71="B"),0,$X71)+IF(OR($Y71="B",$Z71="B"),0,$AC71)+IF(OR($AD71="B",$AE71="B"),0,$AH71)+IF(OR($AI71="B",$AJ71="B"),0,$AM71)+IF(OR($HP50="B",$AO71="B"),0,$AR71)+IF(OR($AS71="B",$AT71="B"),0,$AW71)+IF(OR($AX71="B",$AY71="B"),0,$BB71)+IF(OR($BC71="B",$BD71="B"),0,$BG71)+IF(OR($BH71="B",$BI71="B"),0,$BL71)+IF(OR($BM71="B",$BN71="B"),0,$BQ71)+IF(OR($BR71="B",$BS71="B"),0,$BV71)+IF(OR($BW71="B",$BX71="B"),0,$CA71)+IF(OR($CB71="B",$CC71="B"),0,$CF71)+IF(OR($CG71="B",$CH71="B"),0,$CK71)+IF(OR($CL71="B",$CM71="B"),0,$CP71)+IF(OR($CQ71="B",$CR71="B"),0,$CU71)+IF(OR($CV71="B",$CW71="B"),0,$CZ71)+IF(OR($DA71="B",$DB71="B"),0,$DE71)+IF(OR($DF71="B",$DG71="B"),0,$DJ71)+IF(OR($DK71="B",$DL71="B"),0,$DO71)+IF(OR($DP71="B",$DQ71="B"),0,$DT71)+IF(OR($DU71="B",$DV71="B"),0,$DY71)+IF(OR($DZ71="B",$EA71="B"),0,$ED71)+IF(OR($EE71="B",$EF71="B"),0,$EI71)</f>
        <v>21</v>
      </c>
      <c r="ES71" s="28">
        <f t="shared" si="81"/>
        <v>5.4</v>
      </c>
      <c r="ET71" s="62">
        <f t="shared" si="82"/>
        <v>2.625</v>
      </c>
      <c r="EU71" s="63"/>
      <c r="EV71" s="247">
        <f t="shared" si="83"/>
        <v>71</v>
      </c>
      <c r="EW71" s="249">
        <f t="shared" si="84"/>
        <v>40</v>
      </c>
      <c r="EX71" s="23">
        <f t="shared" si="85"/>
        <v>7.1</v>
      </c>
      <c r="EY71" s="74">
        <f t="shared" si="86"/>
        <v>5</v>
      </c>
      <c r="EZ71" s="63"/>
      <c r="FA71" s="336">
        <f t="shared" si="87"/>
        <v>10</v>
      </c>
      <c r="FB71" s="337">
        <f t="shared" si="88"/>
        <v>0</v>
      </c>
      <c r="FC71" s="333">
        <f t="shared" si="89"/>
        <v>1.9659111841223909</v>
      </c>
      <c r="FD71" s="420">
        <f t="shared" si="90"/>
        <v>0.19659111841223909</v>
      </c>
      <c r="FE71" s="433">
        <f t="shared" si="91"/>
        <v>4.5344573888754915</v>
      </c>
      <c r="FF71" s="213">
        <f t="shared" si="92"/>
        <v>0.45344573888754913</v>
      </c>
      <c r="FG71" s="15"/>
      <c r="FH71" s="37">
        <f t="shared" si="46"/>
        <v>45</v>
      </c>
    </row>
    <row r="72" spans="2:164" ht="17" customHeight="1" thickBot="1" x14ac:dyDescent="0.25">
      <c r="B72" s="258" t="s">
        <v>96</v>
      </c>
      <c r="C72" s="259" t="s">
        <v>97</v>
      </c>
      <c r="D72" s="299">
        <v>504333</v>
      </c>
      <c r="E72" s="300"/>
      <c r="F72" s="285"/>
      <c r="G72" s="285"/>
      <c r="H72" s="285"/>
      <c r="I72" s="285">
        <f t="shared" si="49"/>
        <v>0</v>
      </c>
      <c r="J72" s="301"/>
      <c r="K72" s="301"/>
      <c r="L72" s="301"/>
      <c r="M72" s="301"/>
      <c r="N72" s="285">
        <f t="shared" si="50"/>
        <v>0</v>
      </c>
      <c r="O72" s="303"/>
      <c r="P72" s="302"/>
      <c r="Q72" s="301"/>
      <c r="R72" s="301"/>
      <c r="S72" s="285">
        <f t="shared" si="51"/>
        <v>0</v>
      </c>
      <c r="T72" s="303"/>
      <c r="U72" s="302"/>
      <c r="V72" s="301"/>
      <c r="W72" s="301"/>
      <c r="X72" s="285">
        <f t="shared" si="52"/>
        <v>0</v>
      </c>
      <c r="Y72" s="303"/>
      <c r="Z72" s="287"/>
      <c r="AA72" s="301"/>
      <c r="AB72" s="301"/>
      <c r="AC72" s="285">
        <f t="shared" si="53"/>
        <v>0</v>
      </c>
      <c r="AD72" s="303"/>
      <c r="AE72" s="287"/>
      <c r="AF72" s="301"/>
      <c r="AG72" s="301"/>
      <c r="AH72" s="285">
        <f t="shared" si="54"/>
        <v>0</v>
      </c>
      <c r="AI72" s="260"/>
      <c r="AJ72" s="257"/>
      <c r="AK72" s="301"/>
      <c r="AL72" s="301"/>
      <c r="AM72" s="285">
        <f t="shared" si="55"/>
        <v>0</v>
      </c>
      <c r="AN72" s="260"/>
      <c r="AO72" s="257"/>
      <c r="AP72" s="301"/>
      <c r="AQ72" s="301"/>
      <c r="AR72" s="285">
        <f t="shared" si="56"/>
        <v>0</v>
      </c>
      <c r="AS72" s="260"/>
      <c r="AT72" s="257"/>
      <c r="AU72" s="301"/>
      <c r="AV72" s="301"/>
      <c r="AW72" s="285">
        <f t="shared" si="57"/>
        <v>0</v>
      </c>
      <c r="AX72" s="260"/>
      <c r="AY72" s="257"/>
      <c r="AZ72" s="301"/>
      <c r="BA72" s="301"/>
      <c r="BB72" s="285">
        <f t="shared" si="58"/>
        <v>0</v>
      </c>
      <c r="BC72" s="260"/>
      <c r="BD72" s="257"/>
      <c r="BE72" s="287"/>
      <c r="BF72" s="301"/>
      <c r="BG72" s="285">
        <f t="shared" si="59"/>
        <v>0</v>
      </c>
      <c r="BH72" s="298"/>
      <c r="BI72" s="257"/>
      <c r="BJ72" s="287"/>
      <c r="BK72" s="301"/>
      <c r="BL72" s="285">
        <f t="shared" si="60"/>
        <v>0</v>
      </c>
      <c r="BM72" s="305"/>
      <c r="BN72" s="257"/>
      <c r="BO72" s="287"/>
      <c r="BP72" s="301"/>
      <c r="BQ72" s="285">
        <f t="shared" si="61"/>
        <v>0</v>
      </c>
      <c r="BR72" s="298"/>
      <c r="BS72" s="257"/>
      <c r="BT72" s="287"/>
      <c r="BU72" s="301"/>
      <c r="BV72" s="285">
        <f t="shared" si="62"/>
        <v>0</v>
      </c>
      <c r="BW72" s="298">
        <v>4</v>
      </c>
      <c r="BX72" s="257"/>
      <c r="BY72" s="304">
        <v>5.0000000000000044E-2</v>
      </c>
      <c r="BZ72" s="253">
        <v>5.0000000000000044E-2</v>
      </c>
      <c r="CA72" s="285">
        <f t="shared" si="63"/>
        <v>4</v>
      </c>
      <c r="CB72" s="298">
        <v>2</v>
      </c>
      <c r="CC72" s="257"/>
      <c r="CD72" s="304">
        <v>8.333333333333337E-2</v>
      </c>
      <c r="CE72" s="253">
        <v>0.98333333333333328</v>
      </c>
      <c r="CF72" s="285">
        <f t="shared" si="64"/>
        <v>2</v>
      </c>
      <c r="CG72" s="298"/>
      <c r="CH72" s="257"/>
      <c r="CI72" s="287"/>
      <c r="CJ72" s="301"/>
      <c r="CK72" s="285">
        <f t="shared" si="65"/>
        <v>0</v>
      </c>
      <c r="CL72" s="298">
        <v>1</v>
      </c>
      <c r="CM72" s="257"/>
      <c r="CN72" s="304">
        <v>0.140625</v>
      </c>
      <c r="CO72" s="253">
        <v>0.390625</v>
      </c>
      <c r="CP72" s="285">
        <f t="shared" si="66"/>
        <v>1</v>
      </c>
      <c r="CQ72" s="298"/>
      <c r="CR72" s="257"/>
      <c r="CS72" s="287"/>
      <c r="CT72" s="301"/>
      <c r="CU72" s="285">
        <f t="shared" si="67"/>
        <v>0</v>
      </c>
      <c r="CV72" s="298">
        <v>6</v>
      </c>
      <c r="CW72" s="257"/>
      <c r="CX72" s="304">
        <v>1.5151515151515138E-2</v>
      </c>
      <c r="CY72" s="253">
        <v>0.22727272727272729</v>
      </c>
      <c r="CZ72" s="285">
        <f t="shared" si="19"/>
        <v>6</v>
      </c>
      <c r="DA72" s="298"/>
      <c r="DB72" s="257"/>
      <c r="DC72" s="287"/>
      <c r="DD72" s="301"/>
      <c r="DE72" s="285">
        <f t="shared" si="20"/>
        <v>0</v>
      </c>
      <c r="DF72" s="298">
        <v>2</v>
      </c>
      <c r="DG72" s="257"/>
      <c r="DH72" s="304">
        <v>6.944444444444442E-2</v>
      </c>
      <c r="DI72" s="253">
        <v>0.48611111111111116</v>
      </c>
      <c r="DJ72" s="285">
        <f t="shared" si="68"/>
        <v>2</v>
      </c>
      <c r="DK72" s="298"/>
      <c r="DL72" s="257"/>
      <c r="DM72" s="287"/>
      <c r="DN72" s="301"/>
      <c r="DO72" s="285">
        <f t="shared" si="69"/>
        <v>0</v>
      </c>
      <c r="DP72" s="298">
        <v>3</v>
      </c>
      <c r="DQ72" s="257"/>
      <c r="DR72" s="304">
        <v>0.2931034482758621</v>
      </c>
      <c r="DS72" s="253">
        <v>0.74137931034482762</v>
      </c>
      <c r="DT72" s="285">
        <f t="shared" si="70"/>
        <v>3</v>
      </c>
      <c r="DU72" s="298">
        <v>5</v>
      </c>
      <c r="DV72" s="257"/>
      <c r="DW72" s="304">
        <v>7.5757575757575801E-2</v>
      </c>
      <c r="DX72" s="253">
        <v>0.25757575757575757</v>
      </c>
      <c r="DY72" s="285">
        <f t="shared" si="71"/>
        <v>5</v>
      </c>
      <c r="DZ72" s="475">
        <v>5</v>
      </c>
      <c r="EA72" s="456"/>
      <c r="EB72" s="461">
        <v>0.27777777777777779</v>
      </c>
      <c r="EC72" s="463">
        <v>0.65555555555555556</v>
      </c>
      <c r="ED72" s="285">
        <f t="shared" si="72"/>
        <v>5</v>
      </c>
      <c r="EE72" s="475">
        <v>10</v>
      </c>
      <c r="EF72" s="456"/>
      <c r="EG72" s="461">
        <v>0.14102564102564108</v>
      </c>
      <c r="EH72" s="463">
        <v>0.60256410256410264</v>
      </c>
      <c r="EI72" s="285">
        <f t="shared" si="73"/>
        <v>10</v>
      </c>
      <c r="EJ72" s="467">
        <f t="shared" si="74"/>
        <v>9</v>
      </c>
      <c r="EK72" s="522">
        <f t="shared" si="75"/>
        <v>9</v>
      </c>
      <c r="EL72" s="267">
        <f t="shared" si="76"/>
        <v>9</v>
      </c>
      <c r="EM72" s="267">
        <f t="shared" si="77"/>
        <v>0</v>
      </c>
      <c r="EN72" s="516">
        <f t="shared" si="78"/>
        <v>0</v>
      </c>
      <c r="EO72" s="273">
        <f t="shared" si="79"/>
        <v>9</v>
      </c>
      <c r="EP72" s="15"/>
      <c r="EQ72" s="61">
        <f t="shared" si="80"/>
        <v>38</v>
      </c>
      <c r="ER72" s="187">
        <f>IF(OR($E72="B",$F72="B"),0,$I72)+IF(OR($J72="B",$K72="B"),0,$N72)+IF(OR($O72="B",$P72="B"),0,$S72)+IF(OR($T72="B",$U72="B"),0,$X72)+IF(OR($Y72="B",$Z72="B"),0,$AC72)+IF(OR($AD72="B",$AE72="B"),0,$AH72)+IF(OR($AI72="B",$AJ72="B"),0,$AM72)+IF(OR($HP50="B",$AO72="B"),0,$AR72)+IF(OR($AS72="B",$AT72="B"),0,$AW72)+IF(OR($AX72="B",$AY72="B"),0,$BB72)+IF(OR($BC72="B",$BD72="B"),0,$BG72)+IF(OR($BH72="B",$BI72="B"),0,$BL72)+IF(OR($BM72="B",$BN72="B"),0,$BQ72)+IF(OR($BR72="B",$BS72="B"),0,$BV72)+IF(OR($BW72="B",$BX72="B"),0,$CA72)+IF(OR($CB72="B",$CC72="B"),0,$CF72)+IF(OR($CG72="B",$CH72="B"),0,$CK72)+IF(OR($CL72="B",$CM72="B"),0,$CP72)+IF(OR($CQ72="B",$CR72="B"),0,$CU72)+IF(OR($CV72="B",$CW72="B"),0,$CZ72)+IF(OR($DA72="B",$DB72="B"),0,$DE72)+IF(OR($DF72="B",$DG72="B"),0,$DJ72)+IF(OR($DK72="B",$DL72="B"),0,$DO72)+IF(OR($DP72="B",$DQ72="B"),0,$DT72)+IF(OR($DU72="B",$DV72="B"),0,$DY72)+IF(OR($DZ72="B",$EA72="B"),0,$ED72)+IF(OR($EE72="B",$EF72="B"),0,$EI72)</f>
        <v>38</v>
      </c>
      <c r="ES72" s="28">
        <f t="shared" si="81"/>
        <v>4.2222222222222223</v>
      </c>
      <c r="ET72" s="62">
        <f t="shared" si="82"/>
        <v>4.2222222222222223</v>
      </c>
      <c r="EU72" s="63"/>
      <c r="EV72" s="247">
        <f t="shared" si="83"/>
        <v>56</v>
      </c>
      <c r="EW72" s="249">
        <f t="shared" si="84"/>
        <v>56</v>
      </c>
      <c r="EX72" s="23">
        <f t="shared" si="85"/>
        <v>6.2222222222222223</v>
      </c>
      <c r="EY72" s="74">
        <f t="shared" si="86"/>
        <v>6.2222222222222223</v>
      </c>
      <c r="EZ72" s="63"/>
      <c r="FA72" s="336">
        <f t="shared" si="87"/>
        <v>9</v>
      </c>
      <c r="FB72" s="337">
        <f t="shared" si="88"/>
        <v>0</v>
      </c>
      <c r="FC72" s="333">
        <f t="shared" si="89"/>
        <v>1.1462187357661495</v>
      </c>
      <c r="FD72" s="420">
        <f t="shared" si="90"/>
        <v>0.12735763730734995</v>
      </c>
      <c r="FE72" s="433">
        <f t="shared" si="91"/>
        <v>4.3944168977574147</v>
      </c>
      <c r="FF72" s="213">
        <f t="shared" si="92"/>
        <v>0.48826854419526833</v>
      </c>
      <c r="FG72" s="15"/>
      <c r="FH72" s="37">
        <f t="shared" si="46"/>
        <v>46</v>
      </c>
    </row>
    <row r="73" spans="2:164" ht="17" thickBot="1" x14ac:dyDescent="0.25">
      <c r="B73" s="258" t="s">
        <v>170</v>
      </c>
      <c r="C73" s="259" t="s">
        <v>171</v>
      </c>
      <c r="D73" s="299">
        <v>238065</v>
      </c>
      <c r="E73" s="300"/>
      <c r="F73" s="285"/>
      <c r="G73" s="285"/>
      <c r="H73" s="285"/>
      <c r="I73" s="285">
        <f t="shared" si="49"/>
        <v>0</v>
      </c>
      <c r="J73" s="301"/>
      <c r="K73" s="301"/>
      <c r="L73" s="301"/>
      <c r="M73" s="301"/>
      <c r="N73" s="285">
        <f t="shared" si="50"/>
        <v>0</v>
      </c>
      <c r="O73" s="303"/>
      <c r="P73" s="302"/>
      <c r="Q73" s="301"/>
      <c r="R73" s="301"/>
      <c r="S73" s="285">
        <f t="shared" si="51"/>
        <v>0</v>
      </c>
      <c r="T73" s="303"/>
      <c r="U73" s="302"/>
      <c r="V73" s="301"/>
      <c r="W73" s="301"/>
      <c r="X73" s="285">
        <f t="shared" si="52"/>
        <v>0</v>
      </c>
      <c r="Y73" s="303"/>
      <c r="Z73" s="287">
        <v>20</v>
      </c>
      <c r="AA73" s="253">
        <v>0.33870967741935487</v>
      </c>
      <c r="AB73" s="253">
        <v>0.5</v>
      </c>
      <c r="AC73" s="285">
        <f t="shared" si="53"/>
        <v>20</v>
      </c>
      <c r="AD73" s="303"/>
      <c r="AE73" s="287"/>
      <c r="AF73" s="301"/>
      <c r="AG73" s="301"/>
      <c r="AH73" s="285">
        <f t="shared" si="54"/>
        <v>0</v>
      </c>
      <c r="AI73" s="260"/>
      <c r="AJ73" s="257"/>
      <c r="AK73" s="301"/>
      <c r="AL73" s="301"/>
      <c r="AM73" s="285">
        <f t="shared" si="55"/>
        <v>0</v>
      </c>
      <c r="AN73" s="260"/>
      <c r="AO73" s="257"/>
      <c r="AP73" s="301"/>
      <c r="AQ73" s="301"/>
      <c r="AR73" s="285">
        <f t="shared" si="56"/>
        <v>0</v>
      </c>
      <c r="AS73" s="260"/>
      <c r="AT73" s="257"/>
      <c r="AU73" s="301"/>
      <c r="AV73" s="301"/>
      <c r="AW73" s="285">
        <f t="shared" si="57"/>
        <v>0</v>
      </c>
      <c r="AX73" s="260"/>
      <c r="AY73" s="257"/>
      <c r="AZ73" s="301"/>
      <c r="BA73" s="301"/>
      <c r="BB73" s="285">
        <f t="shared" si="58"/>
        <v>0</v>
      </c>
      <c r="BC73" s="260">
        <v>1</v>
      </c>
      <c r="BD73" s="257"/>
      <c r="BE73" s="304">
        <v>0.16666666666666663</v>
      </c>
      <c r="BF73" s="253">
        <v>0.20370370370370372</v>
      </c>
      <c r="BG73" s="285">
        <f t="shared" si="59"/>
        <v>1</v>
      </c>
      <c r="BH73" s="298"/>
      <c r="BI73" s="257"/>
      <c r="BJ73" s="287"/>
      <c r="BK73" s="301"/>
      <c r="BL73" s="285">
        <f t="shared" si="60"/>
        <v>0</v>
      </c>
      <c r="BM73" s="305"/>
      <c r="BN73" s="257"/>
      <c r="BO73" s="287"/>
      <c r="BP73" s="301"/>
      <c r="BQ73" s="285">
        <f t="shared" si="61"/>
        <v>0</v>
      </c>
      <c r="BR73" s="298"/>
      <c r="BS73" s="257"/>
      <c r="BT73" s="287"/>
      <c r="BU73" s="301"/>
      <c r="BV73" s="285">
        <f t="shared" si="62"/>
        <v>0</v>
      </c>
      <c r="BW73" s="298">
        <v>3</v>
      </c>
      <c r="BX73" s="257"/>
      <c r="BY73" s="304">
        <v>8.333333333333337E-2</v>
      </c>
      <c r="BZ73" s="253">
        <v>0.1166666666666667</v>
      </c>
      <c r="CA73" s="285">
        <f t="shared" si="63"/>
        <v>3</v>
      </c>
      <c r="CB73" s="298"/>
      <c r="CC73" s="257"/>
      <c r="CD73" s="287"/>
      <c r="CE73" s="301"/>
      <c r="CF73" s="285">
        <f t="shared" si="64"/>
        <v>0</v>
      </c>
      <c r="CG73" s="298"/>
      <c r="CH73" s="257"/>
      <c r="CI73" s="287"/>
      <c r="CJ73" s="301"/>
      <c r="CK73" s="285">
        <f t="shared" si="65"/>
        <v>0</v>
      </c>
      <c r="CL73" s="298"/>
      <c r="CM73" s="257"/>
      <c r="CN73" s="287"/>
      <c r="CO73" s="301"/>
      <c r="CP73" s="285">
        <f t="shared" si="66"/>
        <v>0</v>
      </c>
      <c r="CQ73" s="298"/>
      <c r="CR73" s="257"/>
      <c r="CS73" s="287"/>
      <c r="CT73" s="301"/>
      <c r="CU73" s="285">
        <f t="shared" si="67"/>
        <v>0</v>
      </c>
      <c r="CV73" s="298">
        <v>4</v>
      </c>
      <c r="CW73" s="257"/>
      <c r="CX73" s="304">
        <v>7.5757575757575801E-2</v>
      </c>
      <c r="CY73" s="253">
        <v>7.5757575757575801E-2</v>
      </c>
      <c r="CZ73" s="285">
        <f t="shared" si="19"/>
        <v>4</v>
      </c>
      <c r="DA73" s="298"/>
      <c r="DB73" s="257"/>
      <c r="DC73" s="287"/>
      <c r="DD73" s="301"/>
      <c r="DE73" s="285">
        <f t="shared" si="20"/>
        <v>0</v>
      </c>
      <c r="DF73" s="298"/>
      <c r="DG73" s="257">
        <v>30</v>
      </c>
      <c r="DH73" s="304">
        <v>0.18055555555555558</v>
      </c>
      <c r="DI73" s="253">
        <v>0.125</v>
      </c>
      <c r="DJ73" s="285">
        <f t="shared" si="68"/>
        <v>30</v>
      </c>
      <c r="DK73" s="298"/>
      <c r="DL73" s="257"/>
      <c r="DM73" s="287"/>
      <c r="DN73" s="301"/>
      <c r="DO73" s="285">
        <f t="shared" si="69"/>
        <v>0</v>
      </c>
      <c r="DP73" s="298"/>
      <c r="DQ73" s="257">
        <v>19</v>
      </c>
      <c r="DR73" s="304">
        <v>0.25862068965517238</v>
      </c>
      <c r="DS73" s="253">
        <v>0.22413793103448276</v>
      </c>
      <c r="DT73" s="285">
        <f t="shared" si="70"/>
        <v>19</v>
      </c>
      <c r="DU73" s="298"/>
      <c r="DV73" s="257">
        <v>22</v>
      </c>
      <c r="DW73" s="304">
        <v>0.31818181818181823</v>
      </c>
      <c r="DX73" s="463">
        <v>0.19696969696969702</v>
      </c>
      <c r="DY73" s="285">
        <f t="shared" si="71"/>
        <v>22</v>
      </c>
      <c r="DZ73" s="182"/>
      <c r="EA73" s="456">
        <v>26</v>
      </c>
      <c r="EB73" s="461">
        <v>0.41111111111111109</v>
      </c>
      <c r="EC73" s="463">
        <v>0.54444444444444451</v>
      </c>
      <c r="ED73" s="285">
        <f t="shared" si="72"/>
        <v>26</v>
      </c>
      <c r="EE73" s="475">
        <v>2</v>
      </c>
      <c r="EF73" s="456"/>
      <c r="EG73" s="461">
        <v>0.47435897435897434</v>
      </c>
      <c r="EH73" s="463">
        <v>0.55128205128205132</v>
      </c>
      <c r="EI73" s="285">
        <f t="shared" si="73"/>
        <v>2</v>
      </c>
      <c r="EJ73" s="467">
        <f t="shared" si="74"/>
        <v>9</v>
      </c>
      <c r="EK73" s="522">
        <f t="shared" si="75"/>
        <v>7</v>
      </c>
      <c r="EL73" s="267">
        <f t="shared" si="76"/>
        <v>9</v>
      </c>
      <c r="EM73" s="267">
        <f t="shared" si="77"/>
        <v>0</v>
      </c>
      <c r="EN73" s="516">
        <f t="shared" si="78"/>
        <v>0</v>
      </c>
      <c r="EO73" s="273">
        <f t="shared" si="79"/>
        <v>7</v>
      </c>
      <c r="EP73" s="15"/>
      <c r="EQ73" s="61">
        <f t="shared" si="80"/>
        <v>127</v>
      </c>
      <c r="ER73" s="187">
        <f>IF(OR($E73="B",$F73="B"),0,$I73)+IF(OR($J73="B",$K73="B"),0,$N73)+IF(OR($O73="B",$P73="B"),0,$S73)+IF(OR($T73="B",$U73="B"),0,$X73)+IF(OR($Y73="B",$Z73="B"),0,$AC73)+IF(OR($AD73="B",$AE73="B"),0,$AH73)+IF(OR($AI73="B",$AJ73="B"),0,$AM73)+IF(OR($HP52="B",$AO73="B"),0,$AR73)+IF(OR($AS73="B",$AT73="B"),0,$AW73)+IF(OR($AX73="B",$AY73="B"),0,$BB73)+IF(OR($BC73="B",$BD73="B"),0,$BG73)+IF(OR($BH73="B",$BI73="B"),0,$BL73)+IF(OR($BM73="B",$BN73="B"),0,$BQ73)+IF(OR($BR73="B",$BS73="B"),0,$BV73)+IF(OR($BW73="B",$BX73="B"),0,$CA73)+IF(OR($CB73="B",$CC73="B"),0,$CF73)+IF(OR($CG73="B",$CH73="B"),0,$CK73)+IF(OR($CL73="B",$CM73="B"),0,$CP73)+IF(OR($CQ73="B",$CR73="B"),0,$CU73)+IF(OR($CV73="B",$CW73="B"),0,$CZ73)+IF(OR($DA73="B",$DB73="B"),0,$DE73)+IF(OR($DF73="B",$DG73="B"),0,$DJ73)+IF(OR($DK73="B",$DL73="B"),0,$DO73)+IF(OR($DP73="B",$DQ73="B"),0,$DT73)+IF(OR($DU73="B",$DV73="B"),0,$DY73)+IF(OR($DZ73="B",$EA73="B"),0,$ED73)+IF(OR($EE73="B",$EF73="B"),0,$EI73)</f>
        <v>127</v>
      </c>
      <c r="ES73" s="28">
        <f t="shared" si="81"/>
        <v>14.111111111111111</v>
      </c>
      <c r="ET73" s="62">
        <f t="shared" si="82"/>
        <v>14.111111111111111</v>
      </c>
      <c r="EU73" s="63"/>
      <c r="EV73" s="247">
        <f t="shared" si="83"/>
        <v>145</v>
      </c>
      <c r="EW73" s="249">
        <f t="shared" si="84"/>
        <v>145</v>
      </c>
      <c r="EX73" s="23">
        <f t="shared" si="85"/>
        <v>16.111111111111111</v>
      </c>
      <c r="EY73" s="74">
        <f t="shared" si="86"/>
        <v>16.111111111111111</v>
      </c>
      <c r="EZ73" s="63"/>
      <c r="FA73" s="336">
        <f t="shared" si="87"/>
        <v>9</v>
      </c>
      <c r="FB73" s="337">
        <f t="shared" si="88"/>
        <v>0</v>
      </c>
      <c r="FC73" s="333">
        <f t="shared" si="89"/>
        <v>2.3072954020395624</v>
      </c>
      <c r="FD73" s="420">
        <f t="shared" si="90"/>
        <v>0.25636615578217359</v>
      </c>
      <c r="FE73" s="433">
        <f t="shared" si="91"/>
        <v>2.5379620698586214</v>
      </c>
      <c r="FF73" s="213">
        <f t="shared" si="92"/>
        <v>0.28199578553984683</v>
      </c>
      <c r="FG73" s="15"/>
      <c r="FH73" s="37">
        <f t="shared" si="46"/>
        <v>47</v>
      </c>
    </row>
    <row r="74" spans="2:164" ht="17" thickBot="1" x14ac:dyDescent="0.25">
      <c r="B74" s="459" t="s">
        <v>251</v>
      </c>
      <c r="C74" s="460" t="s">
        <v>252</v>
      </c>
      <c r="D74" s="299"/>
      <c r="E74" s="300"/>
      <c r="F74" s="285"/>
      <c r="G74" s="306"/>
      <c r="H74" s="306"/>
      <c r="I74" s="285"/>
      <c r="J74" s="301"/>
      <c r="K74" s="301"/>
      <c r="L74" s="301"/>
      <c r="M74" s="301"/>
      <c r="N74" s="285"/>
      <c r="O74" s="303"/>
      <c r="P74" s="302"/>
      <c r="Q74" s="253"/>
      <c r="R74" s="253"/>
      <c r="S74" s="285"/>
      <c r="T74" s="303"/>
      <c r="U74" s="302"/>
      <c r="V74" s="253"/>
      <c r="W74" s="253"/>
      <c r="X74" s="285"/>
      <c r="Y74" s="303"/>
      <c r="Z74" s="287"/>
      <c r="AA74" s="253"/>
      <c r="AB74" s="253"/>
      <c r="AC74" s="285"/>
      <c r="AD74" s="303"/>
      <c r="AE74" s="287"/>
      <c r="AF74" s="253"/>
      <c r="AG74" s="253"/>
      <c r="AH74" s="285"/>
      <c r="AI74" s="260"/>
      <c r="AJ74" s="257"/>
      <c r="AK74" s="301"/>
      <c r="AL74" s="301"/>
      <c r="AM74" s="285"/>
      <c r="AN74" s="260"/>
      <c r="AO74" s="257"/>
      <c r="AP74" s="301"/>
      <c r="AQ74" s="301"/>
      <c r="AR74" s="285"/>
      <c r="AS74" s="260"/>
      <c r="AT74" s="257"/>
      <c r="AU74" s="301"/>
      <c r="AV74" s="301"/>
      <c r="AW74" s="285"/>
      <c r="AX74" s="260"/>
      <c r="AY74" s="257"/>
      <c r="AZ74" s="301"/>
      <c r="BA74" s="301"/>
      <c r="BB74" s="285"/>
      <c r="BC74" s="260"/>
      <c r="BD74" s="257"/>
      <c r="BE74" s="287"/>
      <c r="BF74" s="301"/>
      <c r="BG74" s="285"/>
      <c r="BH74" s="298"/>
      <c r="BI74" s="257"/>
      <c r="BJ74" s="287"/>
      <c r="BK74" s="301"/>
      <c r="BL74" s="285"/>
      <c r="BM74" s="305"/>
      <c r="BN74" s="257"/>
      <c r="BO74" s="287"/>
      <c r="BP74" s="301"/>
      <c r="BQ74" s="285"/>
      <c r="BR74" s="298"/>
      <c r="BS74" s="257"/>
      <c r="BT74" s="287"/>
      <c r="BU74" s="301"/>
      <c r="BV74" s="285"/>
      <c r="BW74" s="298"/>
      <c r="BX74" s="257"/>
      <c r="BY74" s="304"/>
      <c r="BZ74" s="253"/>
      <c r="CA74" s="285"/>
      <c r="CB74" s="298"/>
      <c r="CC74" s="257"/>
      <c r="CD74" s="287"/>
      <c r="CE74" s="301"/>
      <c r="CF74" s="285"/>
      <c r="CG74" s="298"/>
      <c r="CH74" s="257"/>
      <c r="CI74" s="304"/>
      <c r="CJ74" s="253"/>
      <c r="CK74" s="285"/>
      <c r="CL74" s="298"/>
      <c r="CM74" s="257"/>
      <c r="CN74" s="453"/>
      <c r="CO74" s="454"/>
      <c r="CP74" s="285"/>
      <c r="CQ74" s="298"/>
      <c r="CR74" s="257"/>
      <c r="CS74" s="287"/>
      <c r="CT74" s="301"/>
      <c r="CU74" s="285"/>
      <c r="CV74" s="298"/>
      <c r="CW74" s="257"/>
      <c r="CX74" s="304"/>
      <c r="CY74" s="253"/>
      <c r="CZ74" s="285"/>
      <c r="DA74" s="298"/>
      <c r="DB74" s="257">
        <v>15</v>
      </c>
      <c r="DC74" s="304">
        <v>0.39583333333333337</v>
      </c>
      <c r="DD74" s="253">
        <v>0.27083333333333337</v>
      </c>
      <c r="DE74" s="285">
        <f t="shared" si="20"/>
        <v>15</v>
      </c>
      <c r="DF74" s="298"/>
      <c r="DG74" s="257">
        <v>14</v>
      </c>
      <c r="DH74" s="304">
        <v>0.625</v>
      </c>
      <c r="DI74" s="253">
        <v>0.59722222222222221</v>
      </c>
      <c r="DJ74" s="285">
        <f t="shared" si="68"/>
        <v>14</v>
      </c>
      <c r="DK74" s="298"/>
      <c r="DL74" s="456" t="s">
        <v>2</v>
      </c>
      <c r="DM74" s="461">
        <v>0.125</v>
      </c>
      <c r="DN74" s="253">
        <v>0.125</v>
      </c>
      <c r="DO74" s="285">
        <f t="shared" si="69"/>
        <v>21</v>
      </c>
      <c r="DP74" s="298"/>
      <c r="DQ74" s="257">
        <v>15</v>
      </c>
      <c r="DR74" s="304">
        <v>0.5</v>
      </c>
      <c r="DS74" s="253">
        <v>0.43103448275862066</v>
      </c>
      <c r="DT74" s="285">
        <f t="shared" si="70"/>
        <v>15</v>
      </c>
      <c r="DU74" s="298"/>
      <c r="DV74" s="257"/>
      <c r="DW74" s="287"/>
      <c r="DX74" s="301"/>
      <c r="DY74" s="285">
        <f t="shared" si="71"/>
        <v>0</v>
      </c>
      <c r="DZ74" s="475"/>
      <c r="EA74" s="456">
        <v>29</v>
      </c>
      <c r="EB74" s="480">
        <v>0.18888888888888888</v>
      </c>
      <c r="EC74" s="463">
        <v>0.16666666666666663</v>
      </c>
      <c r="ED74" s="285">
        <f t="shared" si="72"/>
        <v>29</v>
      </c>
      <c r="EE74" s="475"/>
      <c r="EF74" s="456">
        <v>7</v>
      </c>
      <c r="EG74" s="480">
        <v>0.83333333333333337</v>
      </c>
      <c r="EH74" s="463">
        <v>0.70512820512820507</v>
      </c>
      <c r="EI74" s="285">
        <f t="shared" si="73"/>
        <v>7</v>
      </c>
      <c r="EJ74" s="467">
        <f t="shared" si="74"/>
        <v>6</v>
      </c>
      <c r="EK74" s="522">
        <f t="shared" si="75"/>
        <v>6</v>
      </c>
      <c r="EL74" s="267">
        <f t="shared" si="76"/>
        <v>5</v>
      </c>
      <c r="EM74" s="267">
        <f t="shared" si="77"/>
        <v>0</v>
      </c>
      <c r="EN74" s="516">
        <f t="shared" si="78"/>
        <v>0</v>
      </c>
      <c r="EO74" s="273">
        <f t="shared" si="79"/>
        <v>6</v>
      </c>
      <c r="EP74" s="15"/>
      <c r="EQ74" s="61">
        <f t="shared" si="80"/>
        <v>101</v>
      </c>
      <c r="ER74" s="187">
        <f>IF(OR($E74="B",$F74="B"),0,$I74)+IF(OR($J74="B",$K74="B"),0,$N74)+IF(OR($O74="B",$P74="B"),0,$S74)+IF(OR($T74="B",$U74="B"),0,$X74)+IF(OR($Y74="B",$Z74="B"),0,$AC74)+IF(OR($AD74="B",$AE74="B"),0,$AH74)+IF(OR($AI74="B",$AJ74="B"),0,$AM74)+IF(OR($HP51="B",$AO74="B"),0,$AR74)+IF(OR($AS74="B",$AT74="B"),0,$AW74)+IF(OR($AX74="B",$AY74="B"),0,$BB74)+IF(OR($BC74="B",$BD74="B"),0,$BG74)+IF(OR($BH74="B",$BI74="B"),0,$BL74)+IF(OR($BM74="B",$BN74="B"),0,$BQ74)+IF(OR($BR74="B",$BS74="B"),0,$BV74)+IF(OR($BW74="B",$BX74="B"),0,$CA74)+IF(OR($CB74="B",$CC74="B"),0,$CF74)+IF(OR($CG74="B",$CH74="B"),0,$CK74)+IF(OR($CL74="B",$CM74="B"),0,$CP74)+IF(OR($CQ74="B",$CR74="B"),0,$CU74)+IF(OR($CV74="B",$CW74="B"),0,$CZ74)+IF(OR($DA74="B",$DB74="B"),0,$DE74)+IF(OR($DF74="B",$DG74="B"),0,$DJ74)+IF(OR($DK74="B",$DL74="B"),0,$DO74)+IF(OR($DP74="B",$DQ74="B"),0,$DT74)+IF(OR($DU74="B",$DV74="B"),0,$DY74)+IF(OR($DZ74="B",$EA74="B"),0,$ED74)+IF(OR($EE74="B",$EF74="B"),0,$EI74)</f>
        <v>80</v>
      </c>
      <c r="ES74" s="28">
        <f t="shared" si="81"/>
        <v>16.833333333333332</v>
      </c>
      <c r="ET74" s="62">
        <f t="shared" si="82"/>
        <v>16</v>
      </c>
      <c r="EU74" s="63"/>
      <c r="EV74" s="247">
        <f t="shared" si="83"/>
        <v>122</v>
      </c>
      <c r="EW74" s="249">
        <f t="shared" si="84"/>
        <v>102</v>
      </c>
      <c r="EX74" s="23">
        <f t="shared" si="85"/>
        <v>20.333333333333332</v>
      </c>
      <c r="EY74" s="74">
        <f t="shared" si="86"/>
        <v>20.399999999999999</v>
      </c>
      <c r="EZ74" s="63"/>
      <c r="FA74" s="336">
        <f t="shared" si="87"/>
        <v>6</v>
      </c>
      <c r="FB74" s="337">
        <f t="shared" si="88"/>
        <v>0</v>
      </c>
      <c r="FC74" s="333">
        <f t="shared" si="89"/>
        <v>2.6680555555555556</v>
      </c>
      <c r="FD74" s="420">
        <f t="shared" si="90"/>
        <v>0.44467592592592592</v>
      </c>
      <c r="FE74" s="433">
        <f t="shared" si="91"/>
        <v>2.2958849101090477</v>
      </c>
      <c r="FF74" s="213">
        <f t="shared" si="92"/>
        <v>0.38264748501817464</v>
      </c>
      <c r="FG74" s="15"/>
      <c r="FH74" s="37">
        <f t="shared" si="46"/>
        <v>48</v>
      </c>
    </row>
    <row r="75" spans="2:164" ht="17" thickBot="1" x14ac:dyDescent="0.25">
      <c r="B75" s="459" t="s">
        <v>78</v>
      </c>
      <c r="C75" s="460" t="s">
        <v>146</v>
      </c>
      <c r="D75" s="299"/>
      <c r="E75" s="300"/>
      <c r="F75" s="285"/>
      <c r="G75" s="285"/>
      <c r="H75" s="285"/>
      <c r="I75" s="285"/>
      <c r="J75" s="301"/>
      <c r="K75" s="301"/>
      <c r="L75" s="301"/>
      <c r="M75" s="301"/>
      <c r="N75" s="285"/>
      <c r="O75" s="303"/>
      <c r="P75" s="302"/>
      <c r="Q75" s="301"/>
      <c r="R75" s="301"/>
      <c r="S75" s="285"/>
      <c r="T75" s="303"/>
      <c r="U75" s="302"/>
      <c r="V75" s="301"/>
      <c r="W75" s="301"/>
      <c r="X75" s="285"/>
      <c r="Y75" s="303"/>
      <c r="Z75" s="287"/>
      <c r="AA75" s="301"/>
      <c r="AB75" s="301"/>
      <c r="AC75" s="285"/>
      <c r="AD75" s="303"/>
      <c r="AE75" s="287"/>
      <c r="AF75" s="301"/>
      <c r="AG75" s="301"/>
      <c r="AH75" s="285"/>
      <c r="AI75" s="177"/>
      <c r="AJ75" s="44"/>
      <c r="AK75" s="212"/>
      <c r="AL75" s="212"/>
      <c r="AM75" s="285"/>
      <c r="AN75" s="177"/>
      <c r="AO75" s="44"/>
      <c r="AP75" s="212"/>
      <c r="AQ75" s="212"/>
      <c r="AR75" s="285"/>
      <c r="AS75" s="177"/>
      <c r="AT75" s="44"/>
      <c r="AU75" s="212"/>
      <c r="AV75" s="212"/>
      <c r="AW75" s="285"/>
      <c r="AX75" s="177"/>
      <c r="AY75" s="44"/>
      <c r="AZ75" s="212"/>
      <c r="BA75" s="212"/>
      <c r="BB75" s="285"/>
      <c r="BC75" s="177"/>
      <c r="BD75" s="44"/>
      <c r="BE75" s="189"/>
      <c r="BF75" s="212"/>
      <c r="BG75" s="285"/>
      <c r="BH75" s="183"/>
      <c r="BI75" s="44"/>
      <c r="BJ75" s="189"/>
      <c r="BK75" s="212"/>
      <c r="BL75" s="285"/>
      <c r="BM75" s="46"/>
      <c r="BN75" s="44"/>
      <c r="BO75" s="189"/>
      <c r="BP75" s="212"/>
      <c r="BQ75" s="285"/>
      <c r="BR75" s="183"/>
      <c r="BS75" s="44"/>
      <c r="BT75" s="189"/>
      <c r="BU75" s="212"/>
      <c r="BV75" s="285"/>
      <c r="BW75" s="183"/>
      <c r="BX75" s="44"/>
      <c r="BY75" s="189"/>
      <c r="BZ75" s="212"/>
      <c r="CA75" s="285"/>
      <c r="CB75" s="183"/>
      <c r="CC75" s="44"/>
      <c r="CD75" s="189"/>
      <c r="CE75" s="212"/>
      <c r="CF75" s="285"/>
      <c r="CG75" s="183"/>
      <c r="CH75" s="44"/>
      <c r="CI75" s="189"/>
      <c r="CJ75" s="212"/>
      <c r="CK75" s="285"/>
      <c r="CL75" s="183"/>
      <c r="CM75" s="44"/>
      <c r="CN75" s="189"/>
      <c r="CO75" s="212"/>
      <c r="CP75" s="285"/>
      <c r="CQ75" s="183"/>
      <c r="CR75" s="44"/>
      <c r="CS75" s="189"/>
      <c r="CT75" s="212"/>
      <c r="CU75" s="285"/>
      <c r="CV75" s="183"/>
      <c r="CW75" s="44"/>
      <c r="CX75" s="189"/>
      <c r="CY75" s="212"/>
      <c r="CZ75" s="285"/>
      <c r="DA75" s="183"/>
      <c r="DB75" s="44"/>
      <c r="DC75" s="189"/>
      <c r="DD75" s="212"/>
      <c r="DE75" s="285"/>
      <c r="DF75" s="183"/>
      <c r="DG75" s="44">
        <v>29</v>
      </c>
      <c r="DH75" s="464">
        <v>0.20833333333333337</v>
      </c>
      <c r="DI75" s="465">
        <v>0.26388888888888884</v>
      </c>
      <c r="DJ75" s="285">
        <f t="shared" si="68"/>
        <v>29</v>
      </c>
      <c r="DK75" s="183"/>
      <c r="DL75" s="44"/>
      <c r="DM75" s="189"/>
      <c r="DN75" s="212"/>
      <c r="DO75" s="285">
        <f t="shared" si="69"/>
        <v>0</v>
      </c>
      <c r="DP75" s="298">
        <v>1</v>
      </c>
      <c r="DQ75" s="257"/>
      <c r="DR75" s="304">
        <v>0.43103448275862066</v>
      </c>
      <c r="DS75" s="253">
        <v>0.60344827586206895</v>
      </c>
      <c r="DT75" s="285">
        <f t="shared" si="70"/>
        <v>1</v>
      </c>
      <c r="DU75" s="183">
        <v>2</v>
      </c>
      <c r="DV75" s="44"/>
      <c r="DW75" s="464">
        <v>4.5454545454545414E-2</v>
      </c>
      <c r="DX75" s="465">
        <v>0.62121212121212122</v>
      </c>
      <c r="DY75" s="285">
        <f t="shared" si="71"/>
        <v>2</v>
      </c>
      <c r="DZ75" s="475">
        <v>6</v>
      </c>
      <c r="EA75" s="456"/>
      <c r="EB75" s="461">
        <v>0.25555555555555554</v>
      </c>
      <c r="EC75" s="463">
        <v>0.27777777777777779</v>
      </c>
      <c r="ED75" s="285">
        <f t="shared" si="72"/>
        <v>6</v>
      </c>
      <c r="EE75" s="475">
        <v>5</v>
      </c>
      <c r="EF75" s="456"/>
      <c r="EG75" s="461">
        <v>0.39743589743589747</v>
      </c>
      <c r="EH75" s="463">
        <v>0.52564102564102566</v>
      </c>
      <c r="EI75" s="285">
        <f t="shared" si="73"/>
        <v>5</v>
      </c>
      <c r="EJ75" s="467">
        <f t="shared" si="74"/>
        <v>5</v>
      </c>
      <c r="EK75" s="522">
        <f t="shared" si="75"/>
        <v>5</v>
      </c>
      <c r="EL75" s="267">
        <f t="shared" si="76"/>
        <v>5</v>
      </c>
      <c r="EM75" s="267">
        <f t="shared" si="77"/>
        <v>0</v>
      </c>
      <c r="EN75" s="516">
        <f t="shared" si="78"/>
        <v>0</v>
      </c>
      <c r="EO75" s="273">
        <f t="shared" si="79"/>
        <v>5</v>
      </c>
      <c r="EP75" s="15"/>
      <c r="EQ75" s="61">
        <f t="shared" si="80"/>
        <v>43</v>
      </c>
      <c r="ER75" s="187">
        <f t="shared" ref="ER75:ER80" si="93">IF(OR($E75="B",$F75="B"),0,$I75)+IF(OR($J75="B",$K75="B"),0,$N75)+IF(OR($O75="B",$P75="B"),0,$S75)+IF(OR($T75="B",$U75="B"),0,$X75)+IF(OR($Y75="B",$Z75="B"),0,$AC75)+IF(OR($AD75="B",$AE75="B"),0,$AH75)+IF(OR($AI75="B",$AJ75="B"),0,$AM75)+IF(OR($HP54="B",$AO75="B"),0,$AR75)+IF(OR($AS75="B",$AT75="B"),0,$AW75)+IF(OR($AX75="B",$AY75="B"),0,$BB75)+IF(OR($BC75="B",$BD75="B"),0,$BG75)+IF(OR($BH75="B",$BI75="B"),0,$BL75)+IF(OR($BM75="B",$BN75="B"),0,$BQ75)+IF(OR($BR75="B",$BS75="B"),0,$BV75)+IF(OR($BW75="B",$BX75="B"),0,$CA75)+IF(OR($CB75="B",$CC75="B"),0,$CF75)+IF(OR($CG75="B",$CH75="B"),0,$CK75)+IF(OR($CL75="B",$CM75="B"),0,$CP75)+IF(OR($CQ75="B",$CR75="B"),0,$CU75)+IF(OR($CV75="B",$CW75="B"),0,$CZ75)+IF(OR($DA75="B",$DB75="B"),0,$DE75)+IF(OR($DF75="B",$DG75="B"),0,$DJ75)+IF(OR($DK75="B",$DL75="B"),0,$DO75)+IF(OR($DP75="B",$DQ75="B"),0,$DT75)+IF(OR($DU75="B",$DV75="B"),0,$DY75)+IF(OR($DZ75="B",$EA75="B"),0,$ED75)+IF(OR($EE75="B",$EF75="B"),0,$EI75)</f>
        <v>43</v>
      </c>
      <c r="ES75" s="28">
        <f t="shared" si="81"/>
        <v>8.6</v>
      </c>
      <c r="ET75" s="62">
        <f t="shared" si="82"/>
        <v>8.6</v>
      </c>
      <c r="EU75" s="63"/>
      <c r="EV75" s="247">
        <f t="shared" si="83"/>
        <v>65</v>
      </c>
      <c r="EW75" s="249">
        <f t="shared" si="84"/>
        <v>65</v>
      </c>
      <c r="EX75" s="23">
        <f t="shared" si="85"/>
        <v>13</v>
      </c>
      <c r="EY75" s="74">
        <f t="shared" si="86"/>
        <v>13</v>
      </c>
      <c r="EZ75" s="63"/>
      <c r="FA75" s="336">
        <f t="shared" si="87"/>
        <v>5</v>
      </c>
      <c r="FB75" s="337">
        <f t="shared" si="88"/>
        <v>0</v>
      </c>
      <c r="FC75" s="333">
        <f t="shared" si="89"/>
        <v>1.3378138145379523</v>
      </c>
      <c r="FD75" s="420">
        <f t="shared" si="90"/>
        <v>0.26756276290759046</v>
      </c>
      <c r="FE75" s="433">
        <f t="shared" si="91"/>
        <v>2.2919680893818821</v>
      </c>
      <c r="FF75" s="213">
        <f t="shared" si="92"/>
        <v>0.45839361787637645</v>
      </c>
      <c r="FG75" s="15"/>
      <c r="FH75" s="37">
        <f t="shared" si="46"/>
        <v>49</v>
      </c>
    </row>
    <row r="76" spans="2:164" ht="17" thickBot="1" x14ac:dyDescent="0.25">
      <c r="B76" s="258" t="s">
        <v>228</v>
      </c>
      <c r="C76" s="259" t="s">
        <v>229</v>
      </c>
      <c r="D76" s="299"/>
      <c r="E76" s="300"/>
      <c r="F76" s="285"/>
      <c r="G76" s="285"/>
      <c r="H76" s="285"/>
      <c r="I76" s="285"/>
      <c r="J76" s="301"/>
      <c r="K76" s="301"/>
      <c r="L76" s="301"/>
      <c r="M76" s="301"/>
      <c r="N76" s="285"/>
      <c r="O76" s="303"/>
      <c r="P76" s="302"/>
      <c r="Q76" s="301"/>
      <c r="R76" s="301"/>
      <c r="S76" s="285"/>
      <c r="T76" s="303"/>
      <c r="U76" s="302"/>
      <c r="V76" s="301"/>
      <c r="W76" s="301"/>
      <c r="X76" s="285"/>
      <c r="Y76" s="303"/>
      <c r="Z76" s="287"/>
      <c r="AA76" s="253"/>
      <c r="AB76" s="253"/>
      <c r="AC76" s="285"/>
      <c r="AD76" s="303"/>
      <c r="AE76" s="287"/>
      <c r="AF76" s="301"/>
      <c r="AG76" s="301"/>
      <c r="AH76" s="285"/>
      <c r="AI76" s="260"/>
      <c r="AJ76" s="257"/>
      <c r="AK76" s="301"/>
      <c r="AL76" s="301"/>
      <c r="AM76" s="285"/>
      <c r="AN76" s="260"/>
      <c r="AO76" s="257"/>
      <c r="AP76" s="301"/>
      <c r="AQ76" s="301"/>
      <c r="AR76" s="285"/>
      <c r="AS76" s="260"/>
      <c r="AT76" s="257"/>
      <c r="AU76" s="301"/>
      <c r="AV76" s="301"/>
      <c r="AW76" s="285"/>
      <c r="AX76" s="260"/>
      <c r="AY76" s="257"/>
      <c r="AZ76" s="301"/>
      <c r="BA76" s="301"/>
      <c r="BB76" s="285"/>
      <c r="BC76" s="260"/>
      <c r="BD76" s="257"/>
      <c r="BE76" s="304"/>
      <c r="BF76" s="253"/>
      <c r="BG76" s="285"/>
      <c r="BH76" s="298"/>
      <c r="BI76" s="257"/>
      <c r="BJ76" s="287"/>
      <c r="BK76" s="301"/>
      <c r="BL76" s="285"/>
      <c r="BM76" s="305"/>
      <c r="BN76" s="257"/>
      <c r="BO76" s="287"/>
      <c r="BP76" s="301"/>
      <c r="BQ76" s="285"/>
      <c r="BR76" s="298"/>
      <c r="BS76" s="257"/>
      <c r="BT76" s="287"/>
      <c r="BU76" s="301"/>
      <c r="BV76" s="285"/>
      <c r="BW76" s="298"/>
      <c r="BX76" s="257"/>
      <c r="BY76" s="304"/>
      <c r="BZ76" s="253"/>
      <c r="CA76" s="285"/>
      <c r="CB76" s="298"/>
      <c r="CC76" s="257">
        <v>16</v>
      </c>
      <c r="CD76" s="304">
        <v>0.44999999999999996</v>
      </c>
      <c r="CE76" s="253">
        <v>0.3833333333333333</v>
      </c>
      <c r="CF76" s="285">
        <f t="shared" ref="CF76:CF81" si="94">SUM(CB76:CC76)+IF(CB76="B",1,0)*CB$102+IF(CC76="B",1,0)*CC$102+IF(CB76="Løype",1)*$O$4+IF(CC76="Løype",1)*$O$4+IF(CB76="Arr",1)*$O$5+IF(CC76="Arr",1)*$O$5</f>
        <v>16</v>
      </c>
      <c r="CG76" s="298"/>
      <c r="CH76" s="257"/>
      <c r="CI76" s="287"/>
      <c r="CJ76" s="301"/>
      <c r="CK76" s="285">
        <f t="shared" ref="CK76:CK81" si="95">SUM(CG76:CH76)+IF(CG76="B",1,0)*CG$102+IF(CH76="B",1,0)*CH$102+IF(CG76="Løype",1)*$O$4+IF(CH76="Løype",1)*$O$4+IF(CG76="Arr",1)*$O$5+IF(CH76="Arr",1)*$O$5</f>
        <v>0</v>
      </c>
      <c r="CL76" s="298"/>
      <c r="CM76" s="257"/>
      <c r="CN76" s="287"/>
      <c r="CO76" s="301"/>
      <c r="CP76" s="285">
        <f t="shared" ref="CP76:CP81" si="96">SUM(CL76:CM76)+IF(CL76="B",1,0)*CL$102+IF(CM76="B",1,0)*CM$102+IF(CL76="Løype",1)*$O$4+IF(CM76="Løype",1)*$O$4+IF(CL76="Arr",1)*$O$5+IF(CM76="Arr",1)*$O$5</f>
        <v>0</v>
      </c>
      <c r="CQ76" s="298"/>
      <c r="CR76" s="257"/>
      <c r="CS76" s="287"/>
      <c r="CT76" s="301"/>
      <c r="CU76" s="285">
        <f t="shared" ref="CU76:CU81" si="97">SUM(CQ76:CR76)+IF(CQ76="B",1,0)*CQ$102+IF(CR76="B",1,0)*CR$102+IF(CQ76="Løype",1)*$O$4+IF(CR76="Løype",1)*$O$4+IF(CQ76="Arr",1)*$O$5+IF(CR76="Arr",1)*$O$5</f>
        <v>0</v>
      </c>
      <c r="CV76" s="298"/>
      <c r="CW76" s="257">
        <v>26</v>
      </c>
      <c r="CX76" s="304">
        <v>0.13636363636363635</v>
      </c>
      <c r="CY76" s="253">
        <v>1.51515151515151E-2</v>
      </c>
      <c r="CZ76" s="285">
        <f t="shared" ref="CZ76:CZ81" si="98">SUM(CV76:CW76)+IF(CV76="B",1,0)*CV$102+IF(CW76="B",1,0)*CW$102+IF(CV76="Løype",1)*$O$4+IF(CW76="Løype",1)*$O$4+IF(CV76="Arr",1)*$O$5+IF(CW76="Arr",1)*$O$5</f>
        <v>26</v>
      </c>
      <c r="DA76" s="298"/>
      <c r="DB76" s="257">
        <v>19</v>
      </c>
      <c r="DC76" s="304">
        <v>0.1875</v>
      </c>
      <c r="DD76" s="253">
        <v>0.14583333333333337</v>
      </c>
      <c r="DE76" s="285">
        <f t="shared" ref="DE76:DE83" si="99">SUM(DA76:DB76)+IF(DA76="B",1,0)*DA$102+IF(DB76="B",1,0)*DB$102+IF(DA76="Løype",1)*$O$4+IF(DB76="Løype",1)*$O$4+IF(DA76="Arr",1)*$O$5+IF(DB76="Arr",1)*$O$5</f>
        <v>19</v>
      </c>
      <c r="DF76" s="298"/>
      <c r="DG76" s="257">
        <v>25</v>
      </c>
      <c r="DH76" s="304">
        <v>0.31944444444444442</v>
      </c>
      <c r="DI76" s="253">
        <v>9.722222222222221E-2</v>
      </c>
      <c r="DJ76" s="285">
        <f t="shared" si="68"/>
        <v>25</v>
      </c>
      <c r="DK76" s="298"/>
      <c r="DL76" s="257"/>
      <c r="DM76" s="287"/>
      <c r="DN76" s="301"/>
      <c r="DO76" s="285">
        <f t="shared" si="69"/>
        <v>0</v>
      </c>
      <c r="DP76" s="298"/>
      <c r="DQ76" s="257"/>
      <c r="DR76" s="287"/>
      <c r="DS76" s="301"/>
      <c r="DT76" s="285">
        <f t="shared" si="70"/>
        <v>0</v>
      </c>
      <c r="DU76" s="298"/>
      <c r="DV76" s="257"/>
      <c r="DW76" s="287"/>
      <c r="DX76" s="301"/>
      <c r="DY76" s="285">
        <f t="shared" si="71"/>
        <v>0</v>
      </c>
      <c r="DZ76" s="475"/>
      <c r="EA76" s="456"/>
      <c r="EB76" s="43"/>
      <c r="EC76" s="191"/>
      <c r="ED76" s="285">
        <f t="shared" si="72"/>
        <v>0</v>
      </c>
      <c r="EE76" s="475"/>
      <c r="EF76" s="456"/>
      <c r="EG76" s="43"/>
      <c r="EH76" s="191"/>
      <c r="EI76" s="285">
        <f t="shared" si="73"/>
        <v>0</v>
      </c>
      <c r="EJ76" s="467">
        <f t="shared" si="74"/>
        <v>4</v>
      </c>
      <c r="EK76" s="522">
        <f t="shared" si="75"/>
        <v>4</v>
      </c>
      <c r="EL76" s="267">
        <f t="shared" si="76"/>
        <v>4</v>
      </c>
      <c r="EM76" s="267">
        <f t="shared" si="77"/>
        <v>0</v>
      </c>
      <c r="EN76" s="516">
        <f t="shared" si="78"/>
        <v>0</v>
      </c>
      <c r="EO76" s="273">
        <f t="shared" si="79"/>
        <v>4</v>
      </c>
      <c r="EP76" s="15"/>
      <c r="EQ76" s="61">
        <f t="shared" si="80"/>
        <v>86</v>
      </c>
      <c r="ER76" s="187">
        <f t="shared" si="93"/>
        <v>86</v>
      </c>
      <c r="ES76" s="28">
        <f t="shared" si="81"/>
        <v>21.5</v>
      </c>
      <c r="ET76" s="62">
        <f t="shared" si="82"/>
        <v>21.5</v>
      </c>
      <c r="EU76" s="63"/>
      <c r="EV76" s="247">
        <f t="shared" si="83"/>
        <v>109</v>
      </c>
      <c r="EW76" s="249">
        <f t="shared" si="84"/>
        <v>109</v>
      </c>
      <c r="EX76" s="23">
        <f t="shared" si="85"/>
        <v>27.25</v>
      </c>
      <c r="EY76" s="74">
        <f t="shared" si="86"/>
        <v>27.25</v>
      </c>
      <c r="EZ76" s="63"/>
      <c r="FA76" s="336">
        <f t="shared" si="87"/>
        <v>4</v>
      </c>
      <c r="FB76" s="337">
        <f t="shared" si="88"/>
        <v>0</v>
      </c>
      <c r="FC76" s="333">
        <f t="shared" si="89"/>
        <v>1.0933080808080806</v>
      </c>
      <c r="FD76" s="420">
        <f t="shared" si="90"/>
        <v>0.27332702020202015</v>
      </c>
      <c r="FE76" s="433">
        <f t="shared" si="91"/>
        <v>0.64154040404040391</v>
      </c>
      <c r="FF76" s="213">
        <f t="shared" si="92"/>
        <v>0.16038510101010098</v>
      </c>
      <c r="FG76" s="15"/>
      <c r="FH76" s="37">
        <f t="shared" si="46"/>
        <v>50</v>
      </c>
    </row>
    <row r="77" spans="2:164" ht="17" thickBot="1" x14ac:dyDescent="0.25">
      <c r="B77" s="258" t="s">
        <v>230</v>
      </c>
      <c r="C77" s="259" t="s">
        <v>231</v>
      </c>
      <c r="D77" s="299"/>
      <c r="E77" s="300"/>
      <c r="F77" s="285"/>
      <c r="G77" s="285"/>
      <c r="H77" s="285"/>
      <c r="I77" s="285"/>
      <c r="J77" s="301"/>
      <c r="K77" s="301"/>
      <c r="L77" s="301"/>
      <c r="M77" s="301"/>
      <c r="N77" s="285"/>
      <c r="O77" s="303"/>
      <c r="P77" s="302"/>
      <c r="Q77" s="301"/>
      <c r="R77" s="301"/>
      <c r="S77" s="285"/>
      <c r="T77" s="303"/>
      <c r="U77" s="302"/>
      <c r="V77" s="301"/>
      <c r="W77" s="301"/>
      <c r="X77" s="285"/>
      <c r="Y77" s="303"/>
      <c r="Z77" s="287"/>
      <c r="AA77" s="253"/>
      <c r="AB77" s="253"/>
      <c r="AC77" s="285"/>
      <c r="AD77" s="303"/>
      <c r="AE77" s="287"/>
      <c r="AF77" s="301"/>
      <c r="AG77" s="301"/>
      <c r="AH77" s="285"/>
      <c r="AI77" s="260"/>
      <c r="AJ77" s="257"/>
      <c r="AK77" s="301"/>
      <c r="AL77" s="301"/>
      <c r="AM77" s="285"/>
      <c r="AN77" s="260"/>
      <c r="AO77" s="257"/>
      <c r="AP77" s="301"/>
      <c r="AQ77" s="301"/>
      <c r="AR77" s="285"/>
      <c r="AS77" s="260"/>
      <c r="AT77" s="257"/>
      <c r="AU77" s="301"/>
      <c r="AV77" s="301"/>
      <c r="AW77" s="285"/>
      <c r="AX77" s="260"/>
      <c r="AY77" s="257"/>
      <c r="AZ77" s="301"/>
      <c r="BA77" s="301"/>
      <c r="BB77" s="285"/>
      <c r="BC77" s="260"/>
      <c r="BD77" s="257"/>
      <c r="BE77" s="304"/>
      <c r="BF77" s="253"/>
      <c r="BG77" s="285"/>
      <c r="BH77" s="298"/>
      <c r="BI77" s="257"/>
      <c r="BJ77" s="287"/>
      <c r="BK77" s="301"/>
      <c r="BL77" s="285"/>
      <c r="BM77" s="305"/>
      <c r="BN77" s="257"/>
      <c r="BO77" s="287"/>
      <c r="BP77" s="301"/>
      <c r="BQ77" s="285"/>
      <c r="BR77" s="298"/>
      <c r="BS77" s="257"/>
      <c r="BT77" s="287"/>
      <c r="BU77" s="301"/>
      <c r="BV77" s="285"/>
      <c r="BW77" s="298"/>
      <c r="BX77" s="257"/>
      <c r="BY77" s="304"/>
      <c r="BZ77" s="301"/>
      <c r="CA77" s="285"/>
      <c r="CB77" s="298"/>
      <c r="CC77" s="257">
        <v>17</v>
      </c>
      <c r="CD77" s="304">
        <v>0.41666666666666663</v>
      </c>
      <c r="CE77" s="253">
        <v>0.35</v>
      </c>
      <c r="CF77" s="285">
        <f t="shared" si="94"/>
        <v>17</v>
      </c>
      <c r="CG77" s="298"/>
      <c r="CH77" s="257">
        <v>24</v>
      </c>
      <c r="CI77" s="304">
        <v>0.21666666666666667</v>
      </c>
      <c r="CJ77" s="253">
        <v>0.18333333333333335</v>
      </c>
      <c r="CK77" s="285">
        <f t="shared" si="95"/>
        <v>24</v>
      </c>
      <c r="CL77" s="298"/>
      <c r="CM77" s="257">
        <v>12</v>
      </c>
      <c r="CN77" s="304">
        <v>0.640625</v>
      </c>
      <c r="CO77" s="454">
        <v>0.796875</v>
      </c>
      <c r="CP77" s="285">
        <f t="shared" si="96"/>
        <v>12</v>
      </c>
      <c r="CQ77" s="298"/>
      <c r="CR77" s="257"/>
      <c r="CS77" s="287"/>
      <c r="CT77" s="301"/>
      <c r="CU77" s="285">
        <f t="shared" si="97"/>
        <v>0</v>
      </c>
      <c r="CV77" s="298"/>
      <c r="CW77" s="257">
        <v>21</v>
      </c>
      <c r="CX77" s="304">
        <v>0.37878787878787878</v>
      </c>
      <c r="CY77" s="253">
        <v>0.28787878787878785</v>
      </c>
      <c r="CZ77" s="285">
        <f t="shared" si="98"/>
        <v>21</v>
      </c>
      <c r="DA77" s="298"/>
      <c r="DB77" s="257"/>
      <c r="DC77" s="287"/>
      <c r="DD77" s="301"/>
      <c r="DE77" s="285">
        <f t="shared" si="99"/>
        <v>0</v>
      </c>
      <c r="DF77" s="298"/>
      <c r="DG77" s="257"/>
      <c r="DH77" s="287"/>
      <c r="DI77" s="301"/>
      <c r="DJ77" s="285">
        <f t="shared" si="68"/>
        <v>0</v>
      </c>
      <c r="DK77" s="298"/>
      <c r="DL77" s="257"/>
      <c r="DM77" s="287"/>
      <c r="DN77" s="301"/>
      <c r="DO77" s="285">
        <f t="shared" si="69"/>
        <v>0</v>
      </c>
      <c r="DP77" s="298"/>
      <c r="DQ77" s="257"/>
      <c r="DR77" s="287"/>
      <c r="DS77" s="301"/>
      <c r="DT77" s="285">
        <f t="shared" si="70"/>
        <v>0</v>
      </c>
      <c r="DU77" s="298"/>
      <c r="DV77" s="257"/>
      <c r="DW77" s="287"/>
      <c r="DX77" s="301"/>
      <c r="DY77" s="285">
        <f t="shared" si="71"/>
        <v>0</v>
      </c>
      <c r="DZ77" s="475"/>
      <c r="EA77" s="456"/>
      <c r="EB77" s="43"/>
      <c r="EC77" s="191"/>
      <c r="ED77" s="285">
        <f t="shared" si="72"/>
        <v>0</v>
      </c>
      <c r="EE77" s="475"/>
      <c r="EF77" s="456"/>
      <c r="EG77" s="43"/>
      <c r="EH77" s="191"/>
      <c r="EI77" s="285">
        <f t="shared" si="73"/>
        <v>0</v>
      </c>
      <c r="EJ77" s="467">
        <f t="shared" si="74"/>
        <v>4</v>
      </c>
      <c r="EK77" s="522">
        <f t="shared" si="75"/>
        <v>4</v>
      </c>
      <c r="EL77" s="267">
        <f t="shared" si="76"/>
        <v>4</v>
      </c>
      <c r="EM77" s="267">
        <f t="shared" si="77"/>
        <v>0</v>
      </c>
      <c r="EN77" s="516">
        <f t="shared" si="78"/>
        <v>0</v>
      </c>
      <c r="EO77" s="273">
        <f t="shared" si="79"/>
        <v>4</v>
      </c>
      <c r="EP77" s="15"/>
      <c r="EQ77" s="61">
        <f t="shared" si="80"/>
        <v>74</v>
      </c>
      <c r="ER77" s="187">
        <f t="shared" si="93"/>
        <v>74</v>
      </c>
      <c r="ES77" s="28">
        <f t="shared" si="81"/>
        <v>18.5</v>
      </c>
      <c r="ET77" s="62">
        <f t="shared" si="82"/>
        <v>18.5</v>
      </c>
      <c r="EU77" s="63"/>
      <c r="EV77" s="247">
        <f t="shared" si="83"/>
        <v>97</v>
      </c>
      <c r="EW77" s="249">
        <f t="shared" si="84"/>
        <v>97</v>
      </c>
      <c r="EX77" s="23">
        <f t="shared" si="85"/>
        <v>24.25</v>
      </c>
      <c r="EY77" s="74">
        <f t="shared" si="86"/>
        <v>24.25</v>
      </c>
      <c r="EZ77" s="63"/>
      <c r="FA77" s="336">
        <f t="shared" si="87"/>
        <v>4</v>
      </c>
      <c r="FB77" s="337">
        <f t="shared" si="88"/>
        <v>0</v>
      </c>
      <c r="FC77" s="333">
        <f t="shared" si="89"/>
        <v>1.6527462121212122</v>
      </c>
      <c r="FD77" s="420">
        <f t="shared" si="90"/>
        <v>0.41318655303030305</v>
      </c>
      <c r="FE77" s="433">
        <f t="shared" si="91"/>
        <v>1.6180871212121211</v>
      </c>
      <c r="FF77" s="213">
        <f t="shared" si="92"/>
        <v>0.40452178030303027</v>
      </c>
      <c r="FG77" s="15"/>
      <c r="FH77" s="37">
        <f t="shared" si="46"/>
        <v>51</v>
      </c>
    </row>
    <row r="78" spans="2:164" ht="17" thickBot="1" x14ac:dyDescent="0.25">
      <c r="B78" s="258" t="s">
        <v>166</v>
      </c>
      <c r="C78" s="259" t="s">
        <v>167</v>
      </c>
      <c r="D78" s="299">
        <v>506812</v>
      </c>
      <c r="E78" s="300"/>
      <c r="F78" s="285"/>
      <c r="G78" s="285"/>
      <c r="H78" s="285"/>
      <c r="I78" s="285">
        <f>SUM(E78:F78)+IF(E78="B",1,0)*E$102+IF(F78="B",1,0)*F$102+IF(E78="Løype",1)*$O$4+IF(F78="Løype",1)*$O$4+IF(E78="Arr",1)*$O$5+IF(F78="Arr",1)*$O$5</f>
        <v>0</v>
      </c>
      <c r="J78" s="301"/>
      <c r="K78" s="301"/>
      <c r="L78" s="301"/>
      <c r="M78" s="301"/>
      <c r="N78" s="285">
        <f>SUM(J78:K78)+IF(J78="B",1,0)*J$102+IF(K78="B",1,0)*K$102+IF(J78="Løype",1)*$O$4+IF(K78="Løype",1)*$O$4+IF(J78="Arr",1)*$O$5+IF(K78="Arr",1)*$O$5</f>
        <v>0</v>
      </c>
      <c r="O78" s="303"/>
      <c r="P78" s="302"/>
      <c r="Q78" s="301"/>
      <c r="R78" s="301"/>
      <c r="S78" s="285">
        <f>SUM(O78:P78)+IF(O78="B",1,0)*O$102+IF(P78="B",1,0)*P$102+IF(O78="Løype",1)*$O$4+IF(P78="Løype",1)*$O$4+IF(O78="Arr",1)*$O$5+IF(P78="Arr",1)*$O$5</f>
        <v>0</v>
      </c>
      <c r="T78" s="303"/>
      <c r="U78" s="302"/>
      <c r="V78" s="301"/>
      <c r="W78" s="301"/>
      <c r="X78" s="285">
        <f>SUM(T78:U78)+IF(T78="B",1,0)*T$102+IF(U78="B",1,0)*U$102+IF(T78="Løype",1)*$O$4+IF(U78="Løype",1)*$O$4+IF(T78="Arr",1)*$O$5+IF(U78="Arr",1)*$O$5</f>
        <v>0</v>
      </c>
      <c r="Y78" s="303"/>
      <c r="Z78" s="287"/>
      <c r="AA78" s="301"/>
      <c r="AB78" s="301"/>
      <c r="AC78" s="285">
        <f>SUM(Y78:Z78)+IF(Y78="B",1,0)*Y$102+IF(Z78="B",1,0)*Z$102+IF(Y78="Løype",1)*$O$4+IF(Z78="Løype",1)*$O$4+IF(Y78="Arr",1)*$O$5+IF(Z78="Arr",1)*$O$5</f>
        <v>0</v>
      </c>
      <c r="AD78" s="303"/>
      <c r="AE78" s="287"/>
      <c r="AF78" s="301"/>
      <c r="AG78" s="301"/>
      <c r="AH78" s="285">
        <f>SUM(AD78:AE78)+IF(AD78="B",1,0)*AD$102+IF(AE78="B",1,0)*AE$102+IF(AD78="Løype",1)*$O$4+IF(AE78="Løype",1)*$O$4+IF(AD78="Arr",1)*$O$5+IF(AE78="Arr",1)*$O$5</f>
        <v>0</v>
      </c>
      <c r="AI78" s="260"/>
      <c r="AJ78" s="257"/>
      <c r="AK78" s="301"/>
      <c r="AL78" s="301"/>
      <c r="AM78" s="285">
        <f>SUM(AI78:AJ78)+IF(AI78="B",1,0)*AI$102+IF(AJ78="B",1,0)*AJ$102+IF(AI78="Løype",1)*$O$4+IF(AJ78="Løype",1)*$O$4+IF(AI78="Arr",1)*$O$5+IF(AJ78="Arr",1)*$O$5</f>
        <v>0</v>
      </c>
      <c r="AN78" s="260"/>
      <c r="AO78" s="257"/>
      <c r="AP78" s="301"/>
      <c r="AQ78" s="301"/>
      <c r="AR78" s="285">
        <f>SUM(AN78:AO78)+IF(AN78="B",1,0)*AN$102+IF(AO78="B",1,0)*AO$102+IF(AN78="Løype",1)*$O$4+IF(AO78="Løype",1)*$O$4+IF(AN78="Arr",1)*$O$5+IF(AO78="Arr",1)*$O$5</f>
        <v>0</v>
      </c>
      <c r="AS78" s="260"/>
      <c r="AT78" s="257"/>
      <c r="AU78" s="301"/>
      <c r="AV78" s="301"/>
      <c r="AW78" s="285">
        <f>SUM(AS78:AT78)+IF(AS78="B",1,0)*AS$102+IF(AT78="B",1,0)*AT$102+IF(AS78="Løype",1)*$O$4+IF(AT78="Løype",1)*$O$4+IF(AS78="Arr",1)*$O$5+IF(AT78="Arr",1)*$O$5</f>
        <v>0</v>
      </c>
      <c r="AX78" s="260"/>
      <c r="AY78" s="257"/>
      <c r="AZ78" s="301"/>
      <c r="BA78" s="301"/>
      <c r="BB78" s="285">
        <f>SUM(AX78:AY78)+IF(AX78="B",1,0)*AX$102+IF(AY78="B",1,0)*AY$102+IF(AX78="Løype",1)*$O$4+IF(AY78="Løype",1)*$O$4+IF(AX78="Arr",1)*$O$5+IF(AY78="Arr",1)*$O$5</f>
        <v>0</v>
      </c>
      <c r="BC78" s="260"/>
      <c r="BD78" s="257"/>
      <c r="BE78" s="287"/>
      <c r="BF78" s="301"/>
      <c r="BG78" s="285">
        <f>SUM(BC78:BD78)+IF(BC78="B",1,0)*BC$102+IF(BD78="B",1,0)*BD$102+IF(BC78="Løype",1)*$O$4+IF(BD78="Løype",1)*$O$4+IF(BC78="Arr",1)*$O$5+IF(BD78="Arr",1)*$O$5</f>
        <v>0</v>
      </c>
      <c r="BH78" s="298"/>
      <c r="BI78" s="257"/>
      <c r="BJ78" s="287"/>
      <c r="BK78" s="301"/>
      <c r="BL78" s="285">
        <f>SUM(BH78:BI78)+IF(BH78="B",1,0)*BH$102+IF(BI78="B",1,0)*BI$102+IF(BH78="Løype",1)*$O$4+IF(BI78="Løype",1)*$O$4+IF(BH78="Arr",1)*$O$5+IF(BI78="Arr",1)*$O$5</f>
        <v>0</v>
      </c>
      <c r="BM78" s="305"/>
      <c r="BN78" s="257"/>
      <c r="BO78" s="287"/>
      <c r="BP78" s="301"/>
      <c r="BQ78" s="285">
        <f>SUM(BM78:BN78)+IF(BM78="B",1,0)*BM$102+IF(BN78="B",1,0)*BN$102+IF(BM78="Løype",1)*$O$4+IF(BN78="Løype",1)*$O$4+IF(BM78="Arr",1)*$O$5+IF(BN78="Arr",1)*$O$5</f>
        <v>0</v>
      </c>
      <c r="BR78" s="298"/>
      <c r="BS78" s="257"/>
      <c r="BT78" s="287"/>
      <c r="BU78" s="301"/>
      <c r="BV78" s="285">
        <f t="shared" ref="BV78:BV83" si="100">SUM(BR78:BS78)+IF(BR78="B",1,0)*BR$102+IF(BS78="B",1,0)*BS$102+IF(BR78="Løype",1)*$O$4+IF(BS78="Løype",1)*$O$4+IF(BR78="Arr",1)*$O$5+IF(BS78="Arr",1)*$O$5</f>
        <v>0</v>
      </c>
      <c r="BW78" s="298"/>
      <c r="BX78" s="257"/>
      <c r="BY78" s="287"/>
      <c r="BZ78" s="301"/>
      <c r="CA78" s="285">
        <f>SUM(BW78:BX78)+IF(BW78="B",1,0)*BW$102+IF(BX78="B",1,0)*BX$102+IF(BW78="Løype",1)*$O$4+IF(BX78="Løype",1)*$O$4+IF(BW78="Arr",1)*$O$5+IF(BX78="Arr",1)*$O$5</f>
        <v>0</v>
      </c>
      <c r="CB78" s="298"/>
      <c r="CC78" s="257"/>
      <c r="CD78" s="287"/>
      <c r="CE78" s="301"/>
      <c r="CF78" s="285">
        <f t="shared" si="94"/>
        <v>0</v>
      </c>
      <c r="CG78" s="298"/>
      <c r="CH78" s="257"/>
      <c r="CI78" s="287"/>
      <c r="CJ78" s="301"/>
      <c r="CK78" s="285">
        <f t="shared" si="95"/>
        <v>0</v>
      </c>
      <c r="CL78" s="298"/>
      <c r="CM78" s="452"/>
      <c r="CN78" s="287"/>
      <c r="CO78" s="301"/>
      <c r="CP78" s="285">
        <f t="shared" si="96"/>
        <v>0</v>
      </c>
      <c r="CQ78" s="298"/>
      <c r="CR78" s="257"/>
      <c r="CS78" s="287"/>
      <c r="CT78" s="301"/>
      <c r="CU78" s="285">
        <f t="shared" si="97"/>
        <v>0</v>
      </c>
      <c r="CV78" s="298"/>
      <c r="CW78" s="257"/>
      <c r="CX78" s="287"/>
      <c r="CY78" s="301"/>
      <c r="CZ78" s="285">
        <f t="shared" si="98"/>
        <v>0</v>
      </c>
      <c r="DA78" s="298"/>
      <c r="DB78" s="257"/>
      <c r="DC78" s="287"/>
      <c r="DD78" s="301"/>
      <c r="DE78" s="285">
        <f t="shared" si="99"/>
        <v>0</v>
      </c>
      <c r="DF78" s="298"/>
      <c r="DG78" s="257">
        <v>12</v>
      </c>
      <c r="DH78" s="304">
        <v>0.68055555555555558</v>
      </c>
      <c r="DI78" s="253">
        <v>0.95833333333333337</v>
      </c>
      <c r="DJ78" s="285">
        <f t="shared" si="68"/>
        <v>12</v>
      </c>
      <c r="DK78" s="298"/>
      <c r="DL78" s="257"/>
      <c r="DM78" s="287"/>
      <c r="DN78" s="301"/>
      <c r="DO78" s="285">
        <f t="shared" si="69"/>
        <v>0</v>
      </c>
      <c r="DP78" s="298"/>
      <c r="DQ78" s="257"/>
      <c r="DR78" s="287"/>
      <c r="DS78" s="301"/>
      <c r="DT78" s="285">
        <f t="shared" si="70"/>
        <v>0</v>
      </c>
      <c r="DU78" s="298"/>
      <c r="DV78" s="257">
        <v>5</v>
      </c>
      <c r="DW78" s="461">
        <v>0.86363636363636365</v>
      </c>
      <c r="DX78" s="463">
        <v>0.98484848484848486</v>
      </c>
      <c r="DY78" s="285">
        <f t="shared" si="71"/>
        <v>5</v>
      </c>
      <c r="DZ78" s="475"/>
      <c r="EA78" s="456" t="s">
        <v>2</v>
      </c>
      <c r="EB78" s="461">
        <v>7.7777777777777724E-2</v>
      </c>
      <c r="EC78" s="463">
        <v>7.7777777777777724E-2</v>
      </c>
      <c r="ED78" s="285">
        <f t="shared" si="72"/>
        <v>31</v>
      </c>
      <c r="EE78" s="475"/>
      <c r="EF78" s="456">
        <v>10</v>
      </c>
      <c r="EG78" s="461">
        <v>0.75641025641025639</v>
      </c>
      <c r="EH78" s="463">
        <v>0.98717948717948723</v>
      </c>
      <c r="EI78" s="285">
        <f t="shared" si="73"/>
        <v>10</v>
      </c>
      <c r="EJ78" s="467">
        <f t="shared" si="74"/>
        <v>4</v>
      </c>
      <c r="EK78" s="522">
        <f t="shared" si="75"/>
        <v>4</v>
      </c>
      <c r="EL78" s="267">
        <f t="shared" si="76"/>
        <v>3</v>
      </c>
      <c r="EM78" s="267">
        <f t="shared" si="77"/>
        <v>0</v>
      </c>
      <c r="EN78" s="516">
        <f t="shared" si="78"/>
        <v>0</v>
      </c>
      <c r="EO78" s="273">
        <f t="shared" si="79"/>
        <v>4</v>
      </c>
      <c r="EP78" s="15"/>
      <c r="EQ78" s="61">
        <f t="shared" si="80"/>
        <v>58</v>
      </c>
      <c r="ER78" s="187">
        <f t="shared" si="93"/>
        <v>27</v>
      </c>
      <c r="ES78" s="28">
        <f t="shared" si="81"/>
        <v>14.5</v>
      </c>
      <c r="ET78" s="62">
        <f t="shared" si="82"/>
        <v>9</v>
      </c>
      <c r="EU78" s="63"/>
      <c r="EV78" s="247">
        <f t="shared" si="83"/>
        <v>81</v>
      </c>
      <c r="EW78" s="249">
        <f t="shared" si="84"/>
        <v>51</v>
      </c>
      <c r="EX78" s="23">
        <f t="shared" si="85"/>
        <v>20.25</v>
      </c>
      <c r="EY78" s="74">
        <f t="shared" si="86"/>
        <v>17</v>
      </c>
      <c r="EZ78" s="63"/>
      <c r="FA78" s="336">
        <f t="shared" si="87"/>
        <v>4</v>
      </c>
      <c r="FB78" s="337">
        <f t="shared" si="88"/>
        <v>0</v>
      </c>
      <c r="FC78" s="333">
        <f t="shared" si="89"/>
        <v>2.3783799533799534</v>
      </c>
      <c r="FD78" s="420">
        <f t="shared" si="90"/>
        <v>0.59459498834498836</v>
      </c>
      <c r="FE78" s="433">
        <f t="shared" si="91"/>
        <v>3.0081390831390831</v>
      </c>
      <c r="FF78" s="213">
        <f t="shared" si="92"/>
        <v>0.75203477078477077</v>
      </c>
      <c r="FG78" s="15"/>
      <c r="FH78" s="37">
        <f t="shared" si="46"/>
        <v>52</v>
      </c>
    </row>
    <row r="79" spans="2:164" ht="17" thickBot="1" x14ac:dyDescent="0.25">
      <c r="B79" s="258" t="s">
        <v>66</v>
      </c>
      <c r="C79" s="259" t="s">
        <v>67</v>
      </c>
      <c r="D79" s="299">
        <v>245284</v>
      </c>
      <c r="E79" s="300"/>
      <c r="F79" s="285"/>
      <c r="G79" s="285"/>
      <c r="H79" s="285"/>
      <c r="I79" s="285">
        <f>SUM(E79:F79)+IF(E79="B",1,0)*E$102+IF(F79="B",1,0)*F$102+IF(E79="Løype",1)*$O$4+IF(F79="Løype",1)*$O$4+IF(E79="Arr",1)*$O$5+IF(F79="Arr",1)*$O$5</f>
        <v>0</v>
      </c>
      <c r="J79" s="301"/>
      <c r="K79" s="301"/>
      <c r="L79" s="301"/>
      <c r="M79" s="301"/>
      <c r="N79" s="285">
        <f>SUM(J79:K79)+IF(J79="B",1,0)*J$102+IF(K79="B",1,0)*K$102+IF(J79="Løype",1)*$O$4+IF(K79="Løype",1)*$O$4+IF(J79="Arr",1)*$O$5+IF(K79="Arr",1)*$O$5</f>
        <v>0</v>
      </c>
      <c r="O79" s="303"/>
      <c r="P79" s="302"/>
      <c r="Q79" s="301"/>
      <c r="R79" s="301"/>
      <c r="S79" s="285">
        <f>SUM(O79:P79)+IF(O79="B",1,0)*O$102+IF(P79="B",1,0)*P$102+IF(O79="Løype",1)*$O$4+IF(P79="Løype",1)*$O$4+IF(O79="Arr",1)*$O$5+IF(P79="Arr",1)*$O$5</f>
        <v>0</v>
      </c>
      <c r="T79" s="303"/>
      <c r="U79" s="302"/>
      <c r="V79" s="301"/>
      <c r="W79" s="301"/>
      <c r="X79" s="285">
        <f>SUM(T79:U79)+IF(T79="B",1,0)*T$102+IF(U79="B",1,0)*U$102+IF(T79="Løype",1)*$O$4+IF(U79="Løype",1)*$O$4+IF(T79="Arr",1)*$O$5+IF(U79="Arr",1)*$O$5</f>
        <v>0</v>
      </c>
      <c r="Y79" s="163"/>
      <c r="Z79" s="287">
        <v>8</v>
      </c>
      <c r="AA79" s="253">
        <v>0.75806451612903225</v>
      </c>
      <c r="AB79" s="253">
        <v>0.69354838709677424</v>
      </c>
      <c r="AC79" s="285">
        <f>SUM(Y79:Z79)+IF(Y79="B",1,0)*Y$102+IF(Z79="B",1,0)*Z$102+IF(Y79="Løype",1)*$O$4+IF(Z79="Løype",1)*$O$4+IF(Y79="Arr",1)*$O$5+IF(Z79="Arr",1)*$O$5</f>
        <v>8</v>
      </c>
      <c r="AD79" s="303"/>
      <c r="AE79" s="287">
        <v>12</v>
      </c>
      <c r="AF79" s="253">
        <v>0.45238095238095233</v>
      </c>
      <c r="AG79" s="253">
        <v>0.3571428571428571</v>
      </c>
      <c r="AH79" s="285">
        <f>SUM(AD79:AE79)+IF(AD79="B",1,0)*AD$102+IF(AE79="B",1,0)*AE$102+IF(AD79="Løype",1)*$O$4+IF(AE79="Løype",1)*$O$4+IF(AD79="Arr",1)*$O$5+IF(AE79="Arr",1)*$O$5</f>
        <v>12</v>
      </c>
      <c r="AI79" s="260"/>
      <c r="AJ79" s="257"/>
      <c r="AK79" s="301"/>
      <c r="AL79" s="301"/>
      <c r="AM79" s="285">
        <f>SUM(AI79:AJ79)+IF(AI79="B",1,0)*AI$102+IF(AJ79="B",1,0)*AJ$102+IF(AI79="Løype",1)*$O$4+IF(AJ79="Løype",1)*$O$4+IF(AI79="Arr",1)*$O$5+IF(AJ79="Arr",1)*$O$5</f>
        <v>0</v>
      </c>
      <c r="AN79" s="260"/>
      <c r="AO79" s="257"/>
      <c r="AP79" s="253"/>
      <c r="AQ79" s="253"/>
      <c r="AR79" s="285">
        <f>SUM(AN79:AO79)+IF(AN79="B",1,0)*AN$102+IF(AO79="B",1,0)*AO$102+IF(AN79="Løype",1)*$O$4+IF(AO79="Løype",1)*$O$4+IF(AN79="Arr",1)*$O$5+IF(AO79="Arr",1)*$O$5</f>
        <v>0</v>
      </c>
      <c r="AS79" s="260"/>
      <c r="AT79" s="257"/>
      <c r="AU79" s="301"/>
      <c r="AV79" s="301"/>
      <c r="AW79" s="285">
        <f>SUM(AS79:AT79)+IF(AS79="B",1,0)*AS$102+IF(AT79="B",1,0)*AT$102+IF(AS79="Løype",1)*$O$4+IF(AT79="Løype",1)*$O$4+IF(AS79="Arr",1)*$O$5+IF(AT79="Arr",1)*$O$5</f>
        <v>0</v>
      </c>
      <c r="AX79" s="260"/>
      <c r="AY79" s="257"/>
      <c r="AZ79" s="253"/>
      <c r="BA79" s="253"/>
      <c r="BB79" s="285">
        <f>SUM(AX79:AY79)+IF(AX79="B",1,0)*AX$102+IF(AY79="B",1,0)*AY$102+IF(AX79="Løype",1)*$O$4+IF(AY79="Løype",1)*$O$4+IF(AX79="Arr",1)*$O$5+IF(AY79="Arr",1)*$O$5</f>
        <v>0</v>
      </c>
      <c r="BC79" s="260"/>
      <c r="BD79" s="257"/>
      <c r="BE79" s="287"/>
      <c r="BF79" s="301"/>
      <c r="BG79" s="285">
        <f>SUM(BC79:BD79)+IF(BC79="B",1,0)*BC$102+IF(BD79="B",1,0)*BD$102+IF(BC79="Løype",1)*$O$4+IF(BD79="Løype",1)*$O$4+IF(BC79="Arr",1)*$O$5+IF(BD79="Arr",1)*$O$5</f>
        <v>0</v>
      </c>
      <c r="BH79" s="298"/>
      <c r="BI79" s="257"/>
      <c r="BJ79" s="287"/>
      <c r="BK79" s="301"/>
      <c r="BL79" s="285">
        <f>SUM(BH79:BI79)+IF(BH79="B",1,0)*BH$102+IF(BI79="B",1,0)*BI$102+IF(BH79="Løype",1)*$O$4+IF(BI79="Løype",1)*$O$4+IF(BH79="Arr",1)*$O$5+IF(BI79="Arr",1)*$O$5</f>
        <v>0</v>
      </c>
      <c r="BM79" s="305"/>
      <c r="BN79" s="257"/>
      <c r="BO79" s="287"/>
      <c r="BP79" s="301"/>
      <c r="BQ79" s="285">
        <f>SUM(BM79:BN79)+IF(BM79="B",1,0)*BM$102+IF(BN79="B",1,0)*BN$102+IF(BM79="Løype",1)*$O$4+IF(BN79="Løype",1)*$O$4+IF(BM79="Arr",1)*$O$5+IF(BN79="Arr",1)*$O$5</f>
        <v>0</v>
      </c>
      <c r="BR79" s="298"/>
      <c r="BS79" s="257"/>
      <c r="BT79" s="287"/>
      <c r="BU79" s="301"/>
      <c r="BV79" s="285">
        <f t="shared" si="100"/>
        <v>0</v>
      </c>
      <c r="BW79" s="298"/>
      <c r="BX79" s="257"/>
      <c r="BY79" s="287"/>
      <c r="BZ79" s="301"/>
      <c r="CA79" s="285">
        <f>SUM(BW79:BX79)+IF(BW79="B",1,0)*BW$102+IF(BX79="B",1,0)*BX$102+IF(BW79="Løype",1)*$O$4+IF(BX79="Løype",1)*$O$4+IF(BW79="Arr",1)*$O$5+IF(BX79="Arr",1)*$O$5</f>
        <v>0</v>
      </c>
      <c r="CB79" s="298"/>
      <c r="CC79" s="257"/>
      <c r="CD79" s="287"/>
      <c r="CE79" s="301"/>
      <c r="CF79" s="285">
        <f t="shared" si="94"/>
        <v>0</v>
      </c>
      <c r="CG79" s="298"/>
      <c r="CH79" s="257"/>
      <c r="CI79" s="287"/>
      <c r="CJ79" s="301"/>
      <c r="CK79" s="285">
        <f t="shared" si="95"/>
        <v>0</v>
      </c>
      <c r="CL79" s="298"/>
      <c r="CM79" s="257"/>
      <c r="CN79" s="287"/>
      <c r="CO79" s="301"/>
      <c r="CP79" s="285">
        <f t="shared" si="96"/>
        <v>0</v>
      </c>
      <c r="CQ79" s="298"/>
      <c r="CR79" s="257"/>
      <c r="CS79" s="287"/>
      <c r="CT79" s="301"/>
      <c r="CU79" s="285">
        <f t="shared" si="97"/>
        <v>0</v>
      </c>
      <c r="CV79" s="298"/>
      <c r="CW79" s="257"/>
      <c r="CX79" s="304"/>
      <c r="CY79" s="301"/>
      <c r="CZ79" s="285">
        <f t="shared" si="98"/>
        <v>0</v>
      </c>
      <c r="DA79" s="298"/>
      <c r="DB79" s="257"/>
      <c r="DC79" s="304"/>
      <c r="DD79" s="4"/>
      <c r="DE79" s="285">
        <f t="shared" si="99"/>
        <v>0</v>
      </c>
      <c r="DF79" s="298"/>
      <c r="DG79" s="257"/>
      <c r="DH79" s="304"/>
      <c r="DI79" s="301"/>
      <c r="DJ79" s="285">
        <f t="shared" si="68"/>
        <v>0</v>
      </c>
      <c r="DK79" s="298"/>
      <c r="DL79" s="257"/>
      <c r="DM79" s="287"/>
      <c r="DN79" s="301"/>
      <c r="DO79" s="285">
        <f t="shared" si="69"/>
        <v>0</v>
      </c>
      <c r="DP79" s="298"/>
      <c r="DQ79" s="257"/>
      <c r="DR79" s="287"/>
      <c r="DS79" s="301"/>
      <c r="DT79" s="285">
        <f t="shared" si="70"/>
        <v>0</v>
      </c>
      <c r="DU79" s="298"/>
      <c r="DV79" s="257"/>
      <c r="DW79" s="287"/>
      <c r="DX79" s="301"/>
      <c r="DY79" s="285">
        <f t="shared" si="71"/>
        <v>0</v>
      </c>
      <c r="DZ79" s="475"/>
      <c r="EA79" s="456"/>
      <c r="EB79" s="43"/>
      <c r="EC79" s="191"/>
      <c r="ED79" s="285">
        <f t="shared" si="72"/>
        <v>0</v>
      </c>
      <c r="EE79" s="475"/>
      <c r="EF79" s="456">
        <v>17</v>
      </c>
      <c r="EG79" s="461">
        <v>0.57692307692307687</v>
      </c>
      <c r="EH79" s="463">
        <v>0.26923076923076927</v>
      </c>
      <c r="EI79" s="285">
        <f t="shared" si="73"/>
        <v>17</v>
      </c>
      <c r="EJ79" s="467">
        <f t="shared" si="74"/>
        <v>3</v>
      </c>
      <c r="EK79" s="522">
        <f t="shared" si="75"/>
        <v>1</v>
      </c>
      <c r="EL79" s="267">
        <f t="shared" si="76"/>
        <v>3</v>
      </c>
      <c r="EM79" s="267">
        <f t="shared" si="77"/>
        <v>0</v>
      </c>
      <c r="EN79" s="516">
        <f t="shared" si="78"/>
        <v>0</v>
      </c>
      <c r="EO79" s="273">
        <f t="shared" si="79"/>
        <v>1</v>
      </c>
      <c r="EP79" s="15"/>
      <c r="EQ79" s="61">
        <f t="shared" si="80"/>
        <v>37</v>
      </c>
      <c r="ER79" s="187">
        <f t="shared" si="93"/>
        <v>37</v>
      </c>
      <c r="ES79" s="28">
        <f t="shared" si="81"/>
        <v>12.333333333333334</v>
      </c>
      <c r="ET79" s="62">
        <f t="shared" si="82"/>
        <v>12.333333333333334</v>
      </c>
      <c r="EU79" s="63"/>
      <c r="EV79" s="247">
        <f t="shared" si="83"/>
        <v>61</v>
      </c>
      <c r="EW79" s="249">
        <f t="shared" si="84"/>
        <v>61</v>
      </c>
      <c r="EX79" s="23">
        <f t="shared" si="85"/>
        <v>20.333333333333332</v>
      </c>
      <c r="EY79" s="74">
        <f t="shared" si="86"/>
        <v>20.333333333333332</v>
      </c>
      <c r="EZ79" s="63"/>
      <c r="FA79" s="336">
        <f t="shared" si="87"/>
        <v>3</v>
      </c>
      <c r="FB79" s="337">
        <f t="shared" si="88"/>
        <v>0</v>
      </c>
      <c r="FC79" s="333">
        <f t="shared" si="89"/>
        <v>1.7873685454330615</v>
      </c>
      <c r="FD79" s="420">
        <f t="shared" si="90"/>
        <v>0.59578951514435385</v>
      </c>
      <c r="FE79" s="433">
        <f t="shared" si="91"/>
        <v>1.3199220134704004</v>
      </c>
      <c r="FF79" s="213">
        <f t="shared" si="92"/>
        <v>0.43997400449013346</v>
      </c>
      <c r="FG79" s="15"/>
      <c r="FH79" s="37">
        <f t="shared" si="46"/>
        <v>53</v>
      </c>
    </row>
    <row r="80" spans="2:164" ht="17" thickBot="1" x14ac:dyDescent="0.25">
      <c r="B80" s="258" t="s">
        <v>70</v>
      </c>
      <c r="C80" s="259" t="s">
        <v>71</v>
      </c>
      <c r="D80" s="299"/>
      <c r="E80" s="300"/>
      <c r="F80" s="285"/>
      <c r="G80" s="285"/>
      <c r="H80" s="285"/>
      <c r="I80" s="285">
        <f>SUM(E80:F80)+IF(E80="B",1,0)*E$102+IF(F80="B",1,0)*F$102+IF(E80="Løype",1)*$O$4+IF(F80="Løype",1)*$O$4+IF(E80="Arr",1)*$O$5+IF(F80="Arr",1)*$O$5</f>
        <v>0</v>
      </c>
      <c r="J80" s="301"/>
      <c r="K80" s="301"/>
      <c r="L80" s="253"/>
      <c r="M80" s="253"/>
      <c r="N80" s="285">
        <f>SUM(J80:K80)+IF(J80="B",1,0)*J$102+IF(K80="B",1,0)*K$102+IF(J80="Løype",1)*$O$4+IF(K80="Løype",1)*$O$4+IF(J80="Arr",1)*$O$5+IF(K80="Arr",1)*$O$5</f>
        <v>0</v>
      </c>
      <c r="O80" s="303"/>
      <c r="P80" s="302"/>
      <c r="Q80" s="253"/>
      <c r="R80" s="253"/>
      <c r="S80" s="285">
        <f>SUM(O80:P80)+IF(O80="B",1,0)*O$102+IF(P80="B",1,0)*P$102+IF(O80="Løype",1)*$O$4+IF(P80="Løype",1)*$O$4+IF(O80="Arr",1)*$O$5+IF(P80="Arr",1)*$O$5</f>
        <v>0</v>
      </c>
      <c r="T80" s="303"/>
      <c r="U80" s="302"/>
      <c r="V80" s="253"/>
      <c r="W80" s="253"/>
      <c r="X80" s="285">
        <f>SUM(T80:U80)+IF(T80="B",1,0)*T$102+IF(U80="B",1,0)*U$102+IF(T80="Løype",1)*$O$4+IF(U80="Løype",1)*$O$4+IF(T80="Arr",1)*$O$5+IF(U80="Arr",1)*$O$5</f>
        <v>0</v>
      </c>
      <c r="Y80" s="303"/>
      <c r="Z80" s="287"/>
      <c r="AA80" s="253"/>
      <c r="AB80" s="253"/>
      <c r="AC80" s="285">
        <f>SUM(Y80:Z80)+IF(Y80="B",1,0)*Y$102+IF(Z80="B",1,0)*Z$102+IF(Y80="Løype",1)*$O$4+IF(Z80="Løype",1)*$O$4+IF(Y80="Arr",1)*$O$5+IF(Z80="Arr",1)*$O$5</f>
        <v>0</v>
      </c>
      <c r="AD80" s="303"/>
      <c r="AE80" s="287"/>
      <c r="AF80" s="253"/>
      <c r="AG80" s="253"/>
      <c r="AH80" s="285">
        <f>SUM(AD80:AE80)+IF(AD80="B",1,0)*AD$102+IF(AE80="B",1,0)*AE$102+IF(AD80="Løype",1)*$O$4+IF(AE80="Løype",1)*$O$4+IF(AD80="Arr",1)*$O$5+IF(AE80="Arr",1)*$O$5</f>
        <v>0</v>
      </c>
      <c r="AI80" s="260"/>
      <c r="AJ80" s="257"/>
      <c r="AK80" s="253"/>
      <c r="AL80" s="253"/>
      <c r="AM80" s="285">
        <f>SUM(AI80:AJ80)+IF(AI80="B",1,0)*AI$102+IF(AJ80="B",1,0)*AJ$102+IF(AI80="Løype",1)*$O$4+IF(AJ80="Løype",1)*$O$4+IF(AI80="Arr",1)*$O$5+IF(AJ80="Arr",1)*$O$5</f>
        <v>0</v>
      </c>
      <c r="AN80" s="260"/>
      <c r="AO80" s="257">
        <v>11</v>
      </c>
      <c r="AP80" s="253">
        <v>0.5625</v>
      </c>
      <c r="AQ80" s="253">
        <v>0.52083333333333326</v>
      </c>
      <c r="AR80" s="285">
        <f>SUM(AN80:AO80)+IF(AN80="B",1,0)*AN$102+IF(AO80="B",1,0)*AO$102+IF(AN80="Løype",1)*$O$4+IF(AO80="Løype",1)*$O$4+IF(AN80="Arr",1)*$O$5+IF(AO80="Arr",1)*$O$5</f>
        <v>11</v>
      </c>
      <c r="AS80" s="260"/>
      <c r="AT80" s="257"/>
      <c r="AU80" s="301"/>
      <c r="AV80" s="301"/>
      <c r="AW80" s="285">
        <f>SUM(AS80:AT80)+IF(AS80="B",1,0)*AS$102+IF(AT80="B",1,0)*AT$102+IF(AS80="Løype",1)*$O$4+IF(AT80="Løype",1)*$O$4+IF(AS80="Arr",1)*$O$5+IF(AT80="Arr",1)*$O$5</f>
        <v>0</v>
      </c>
      <c r="AX80" s="260"/>
      <c r="AY80" s="257"/>
      <c r="AZ80" s="253"/>
      <c r="BA80" s="253"/>
      <c r="BB80" s="285">
        <f>SUM(AX80:AY80)+IF(AX80="B",1,0)*AX$102+IF(AY80="B",1,0)*AY$102+IF(AX80="Løype",1)*$O$4+IF(AY80="Løype",1)*$O$4+IF(AX80="Arr",1)*$O$5+IF(AY80="Arr",1)*$O$5</f>
        <v>0</v>
      </c>
      <c r="BC80" s="260"/>
      <c r="BD80" s="257"/>
      <c r="BE80" s="287"/>
      <c r="BF80" s="301"/>
      <c r="BG80" s="285">
        <f>SUM(BC80:BD80)+IF(BC80="B",1,0)*BC$102+IF(BD80="B",1,0)*BD$102+IF(BC80="Løype",1)*$O$4+IF(BD80="Løype",1)*$O$4+IF(BC80="Arr",1)*$O$5+IF(BD80="Arr",1)*$O$5</f>
        <v>0</v>
      </c>
      <c r="BH80" s="298"/>
      <c r="BI80" s="257"/>
      <c r="BJ80" s="287"/>
      <c r="BK80" s="301"/>
      <c r="BL80" s="285">
        <f>SUM(BH80:BI80)+IF(BH80="B",1,0)*BH$102+IF(BI80="B",1,0)*BI$102+IF(BH80="Løype",1)*$O$4+IF(BI80="Løype",1)*$O$4+IF(BH80="Arr",1)*$O$5+IF(BI80="Arr",1)*$O$5</f>
        <v>0</v>
      </c>
      <c r="BM80" s="305"/>
      <c r="BN80" s="257"/>
      <c r="BO80" s="287"/>
      <c r="BP80" s="301"/>
      <c r="BQ80" s="285">
        <f>SUM(BM80:BN80)+IF(BM80="B",1,0)*BM$102+IF(BN80="B",1,0)*BN$102+IF(BM80="Løype",1)*$O$4+IF(BN80="Løype",1)*$O$4+IF(BM80="Arr",1)*$O$5+IF(BN80="Arr",1)*$O$5</f>
        <v>0</v>
      </c>
      <c r="BR80" s="298"/>
      <c r="BS80" s="257"/>
      <c r="BT80" s="287"/>
      <c r="BU80" s="301"/>
      <c r="BV80" s="285">
        <f t="shared" si="100"/>
        <v>0</v>
      </c>
      <c r="BW80" s="298"/>
      <c r="BX80" s="257"/>
      <c r="BY80" s="287"/>
      <c r="BZ80" s="301"/>
      <c r="CA80" s="285">
        <f>SUM(BW80:BX80)+IF(BW80="B",1,0)*BW$102+IF(BX80="B",1,0)*BX$102+IF(BW80="Løype",1)*$O$4+IF(BX80="Løype",1)*$O$4+IF(BW80="Arr",1)*$O$5+IF(BX80="Arr",1)*$O$5</f>
        <v>0</v>
      </c>
      <c r="CB80" s="298"/>
      <c r="CC80" s="257"/>
      <c r="CD80" s="287"/>
      <c r="CE80" s="301"/>
      <c r="CF80" s="285">
        <f t="shared" si="94"/>
        <v>0</v>
      </c>
      <c r="CG80" s="298"/>
      <c r="CH80" s="257"/>
      <c r="CI80" s="287"/>
      <c r="CJ80" s="301"/>
      <c r="CK80" s="285">
        <f t="shared" si="95"/>
        <v>0</v>
      </c>
      <c r="CL80" s="298"/>
      <c r="CM80" s="257"/>
      <c r="CN80" s="287"/>
      <c r="CO80" s="301"/>
      <c r="CP80" s="285">
        <f t="shared" si="96"/>
        <v>0</v>
      </c>
      <c r="CQ80" s="298"/>
      <c r="CR80" s="257"/>
      <c r="CS80" s="287"/>
      <c r="CT80" s="301"/>
      <c r="CU80" s="285">
        <f t="shared" si="97"/>
        <v>0</v>
      </c>
      <c r="CV80" s="298"/>
      <c r="CW80" s="257"/>
      <c r="CX80" s="304"/>
      <c r="CY80" s="301"/>
      <c r="CZ80" s="285">
        <f t="shared" si="98"/>
        <v>0</v>
      </c>
      <c r="DA80" s="298"/>
      <c r="DB80" s="257"/>
      <c r="DC80" s="304"/>
      <c r="DD80" s="301"/>
      <c r="DE80" s="285">
        <f t="shared" si="99"/>
        <v>0</v>
      </c>
      <c r="DF80" s="298"/>
      <c r="DG80" s="257"/>
      <c r="DH80" s="304"/>
      <c r="DI80" s="301"/>
      <c r="DJ80" s="285">
        <f t="shared" si="68"/>
        <v>0</v>
      </c>
      <c r="DK80" s="298"/>
      <c r="DL80" s="257"/>
      <c r="DM80" s="287"/>
      <c r="DN80" s="301"/>
      <c r="DO80" s="285">
        <f t="shared" si="69"/>
        <v>0</v>
      </c>
      <c r="DP80" s="298"/>
      <c r="DQ80" s="257"/>
      <c r="DR80" s="287"/>
      <c r="DS80" s="301"/>
      <c r="DT80" s="285">
        <f t="shared" si="70"/>
        <v>0</v>
      </c>
      <c r="DU80" s="298"/>
      <c r="DV80" s="257"/>
      <c r="DW80" s="287"/>
      <c r="DX80" s="301"/>
      <c r="DY80" s="285">
        <f t="shared" si="71"/>
        <v>0</v>
      </c>
      <c r="DZ80" s="475"/>
      <c r="EA80" s="456">
        <v>6</v>
      </c>
      <c r="EB80" s="461">
        <v>0.87777777777777777</v>
      </c>
      <c r="EC80" s="463">
        <v>0.72222222222222221</v>
      </c>
      <c r="ED80" s="285">
        <f t="shared" si="72"/>
        <v>6</v>
      </c>
      <c r="EE80" s="475"/>
      <c r="EF80" s="456">
        <v>22</v>
      </c>
      <c r="EG80" s="461">
        <v>0.29487179487179482</v>
      </c>
      <c r="EH80" s="463">
        <v>0.11538461538461542</v>
      </c>
      <c r="EI80" s="285">
        <f t="shared" si="73"/>
        <v>22</v>
      </c>
      <c r="EJ80" s="467">
        <f t="shared" si="74"/>
        <v>3</v>
      </c>
      <c r="EK80" s="522">
        <f t="shared" si="75"/>
        <v>2</v>
      </c>
      <c r="EL80" s="267">
        <f t="shared" si="76"/>
        <v>3</v>
      </c>
      <c r="EM80" s="267">
        <f t="shared" si="77"/>
        <v>0</v>
      </c>
      <c r="EN80" s="516">
        <f t="shared" si="78"/>
        <v>0</v>
      </c>
      <c r="EO80" s="273">
        <f t="shared" si="79"/>
        <v>2</v>
      </c>
      <c r="EP80" s="15"/>
      <c r="EQ80" s="61">
        <f t="shared" si="80"/>
        <v>39</v>
      </c>
      <c r="ER80" s="187">
        <f t="shared" si="93"/>
        <v>39</v>
      </c>
      <c r="ES80" s="28">
        <f t="shared" si="81"/>
        <v>13</v>
      </c>
      <c r="ET80" s="62">
        <f t="shared" si="82"/>
        <v>13</v>
      </c>
      <c r="EU80" s="63"/>
      <c r="EV80" s="247">
        <f t="shared" si="83"/>
        <v>63</v>
      </c>
      <c r="EW80" s="249">
        <f t="shared" si="84"/>
        <v>63</v>
      </c>
      <c r="EX80" s="23">
        <f t="shared" si="85"/>
        <v>21</v>
      </c>
      <c r="EY80" s="74">
        <f t="shared" si="86"/>
        <v>21</v>
      </c>
      <c r="EZ80" s="63"/>
      <c r="FA80" s="336">
        <f t="shared" si="87"/>
        <v>3</v>
      </c>
      <c r="FB80" s="337">
        <f t="shared" si="88"/>
        <v>0</v>
      </c>
      <c r="FC80" s="333">
        <f t="shared" si="89"/>
        <v>1.7351495726495725</v>
      </c>
      <c r="FD80" s="420">
        <f t="shared" si="90"/>
        <v>0.57838319088319079</v>
      </c>
      <c r="FE80" s="433">
        <f t="shared" si="91"/>
        <v>1.3584401709401708</v>
      </c>
      <c r="FF80" s="213">
        <f t="shared" si="92"/>
        <v>0.45281339031339024</v>
      </c>
      <c r="FG80" s="15"/>
      <c r="FH80" s="37">
        <f t="shared" si="46"/>
        <v>54</v>
      </c>
    </row>
    <row r="81" spans="2:164" ht="17" thickBot="1" x14ac:dyDescent="0.25">
      <c r="B81" s="258" t="s">
        <v>84</v>
      </c>
      <c r="C81" s="259" t="s">
        <v>85</v>
      </c>
      <c r="D81" s="299">
        <v>191258</v>
      </c>
      <c r="E81" s="300"/>
      <c r="F81" s="285"/>
      <c r="G81" s="285"/>
      <c r="H81" s="285"/>
      <c r="I81" s="285">
        <f>SUM(E81:F81)+IF(E81="B",1,0)*E$102+IF(F81="B",1,0)*F$102+IF(E81="Løype",1)*$O$4+IF(F81="Løype",1)*$O$4+IF(E81="Arr",1)*$O$5+IF(F81="Arr",1)*$O$5</f>
        <v>0</v>
      </c>
      <c r="J81" s="301"/>
      <c r="K81" s="301"/>
      <c r="L81" s="301"/>
      <c r="M81" s="301"/>
      <c r="N81" s="285">
        <f>SUM(J81:K81)+IF(J81="B",1,0)*J$102+IF(K81="B",1,0)*K$102+IF(J81="Løype",1)*$O$4+IF(K81="Løype",1)*$O$4+IF(J81="Arr",1)*$O$5+IF(K81="Arr",1)*$O$5</f>
        <v>0</v>
      </c>
      <c r="O81" s="303"/>
      <c r="P81" s="302"/>
      <c r="Q81" s="301"/>
      <c r="R81" s="301"/>
      <c r="S81" s="285">
        <f>SUM(O81:P81)+IF(O81="B",1,0)*O$102+IF(P81="B",1,0)*P$102+IF(O81="Løype",1)*$O$4+IF(P81="Løype",1)*$O$4+IF(O81="Arr",1)*$O$5+IF(P81="Arr",1)*$O$5</f>
        <v>0</v>
      </c>
      <c r="T81" s="303"/>
      <c r="U81" s="302"/>
      <c r="V81" s="301"/>
      <c r="W81" s="301"/>
      <c r="X81" s="285">
        <f>SUM(T81:U81)+IF(T81="B",1,0)*T$102+IF(U81="B",1,0)*U$102+IF(T81="Løype",1)*$O$4+IF(U81="Løype",1)*$O$4+IF(T81="Arr",1)*$O$5+IF(U81="Arr",1)*$O$5</f>
        <v>0</v>
      </c>
      <c r="Y81" s="303"/>
      <c r="Z81" s="287"/>
      <c r="AA81" s="301"/>
      <c r="AB81" s="301"/>
      <c r="AC81" s="285">
        <f>SUM(Y81:Z81)+IF(Y81="B",1,0)*Y$102+IF(Z81="B",1,0)*Z$102+IF(Y81="Løype",1)*$O$4+IF(Z81="Løype",1)*$O$4+IF(Y81="Arr",1)*$O$5+IF(Z81="Arr",1)*$O$5</f>
        <v>0</v>
      </c>
      <c r="AD81" s="303"/>
      <c r="AE81" s="287"/>
      <c r="AF81" s="301"/>
      <c r="AG81" s="301"/>
      <c r="AH81" s="285">
        <f>SUM(AD81:AE81)+IF(AD81="B",1,0)*AD$102+IF(AE81="B",1,0)*AE$102+IF(AD81="Løype",1)*$O$4+IF(AE81="Løype",1)*$O$4+IF(AD81="Arr",1)*$O$5+IF(AE81="Arr",1)*$O$5</f>
        <v>0</v>
      </c>
      <c r="AI81" s="260"/>
      <c r="AJ81" s="257"/>
      <c r="AK81" s="301"/>
      <c r="AL81" s="301"/>
      <c r="AM81" s="285">
        <f>SUM(AI81:AJ81)+IF(AI81="B",1,0)*AI$102+IF(AJ81="B",1,0)*AJ$102+IF(AI81="Løype",1)*$O$4+IF(AJ81="Løype",1)*$O$4+IF(AI81="Arr",1)*$O$5+IF(AJ81="Arr",1)*$O$5</f>
        <v>0</v>
      </c>
      <c r="AN81" s="260"/>
      <c r="AO81" s="257"/>
      <c r="AP81" s="301"/>
      <c r="AQ81" s="301"/>
      <c r="AR81" s="285">
        <f>SUM(AN81:AO81)+IF(AN81="B",1,0)*AN$102+IF(AO81="B",1,0)*AO$102+IF(AN81="Løype",1)*$O$4+IF(AO81="Løype",1)*$O$4+IF(AN81="Arr",1)*$O$5+IF(AO81="Arr",1)*$O$5</f>
        <v>0</v>
      </c>
      <c r="AS81" s="260"/>
      <c r="AT81" s="257"/>
      <c r="AU81" s="301"/>
      <c r="AV81" s="301"/>
      <c r="AW81" s="285">
        <f>SUM(AS81:AT81)+IF(AS81="B",1,0)*AS$102+IF(AT81="B",1,0)*AT$102+IF(AS81="Løype",1)*$O$4+IF(AT81="Løype",1)*$O$4+IF(AS81="Arr",1)*$O$5+IF(AT81="Arr",1)*$O$5</f>
        <v>0</v>
      </c>
      <c r="AX81" s="260"/>
      <c r="AY81" s="257"/>
      <c r="AZ81" s="253"/>
      <c r="BA81" s="253"/>
      <c r="BB81" s="285">
        <f>SUM(AX81:AY81)+IF(AX81="B",1,0)*AX$102+IF(AY81="B",1,0)*AY$102+IF(AX81="Løype",1)*$O$4+IF(AY81="Løype",1)*$O$4+IF(AX81="Arr",1)*$O$5+IF(AY81="Arr",1)*$O$5</f>
        <v>0</v>
      </c>
      <c r="BC81" s="260"/>
      <c r="BD81" s="257"/>
      <c r="BE81" s="287"/>
      <c r="BF81" s="301"/>
      <c r="BG81" s="285">
        <f>SUM(BC81:BD81)+IF(BC81="B",1,0)*BC$102+IF(BD81="B",1,0)*BD$102+IF(BC81="Løype",1)*$O$4+IF(BD81="Løype",1)*$O$4+IF(BC81="Arr",1)*$O$5+IF(BD81="Arr",1)*$O$5</f>
        <v>0</v>
      </c>
      <c r="BH81" s="298"/>
      <c r="BI81" s="257"/>
      <c r="BJ81" s="287"/>
      <c r="BK81" s="301"/>
      <c r="BL81" s="285">
        <f>SUM(BH81:BI81)+IF(BH81="B",1,0)*BH$102+IF(BI81="B",1,0)*BI$102+IF(BH81="Løype",1)*$O$4+IF(BI81="Løype",1)*$O$4+IF(BH81="Arr",1)*$O$5+IF(BI81="Arr",1)*$O$5</f>
        <v>0</v>
      </c>
      <c r="BM81" s="305"/>
      <c r="BN81" s="257"/>
      <c r="BO81" s="287"/>
      <c r="BP81" s="301"/>
      <c r="BQ81" s="285">
        <f>SUM(BM81:BN81)+IF(BM81="B",1,0)*BM$102+IF(BN81="B",1,0)*BN$102+IF(BM81="Løype",1)*$O$4+IF(BN81="Løype",1)*$O$4+IF(BM81="Arr",1)*$O$5+IF(BN81="Arr",1)*$O$5</f>
        <v>0</v>
      </c>
      <c r="BR81" s="298"/>
      <c r="BS81" s="257"/>
      <c r="BT81" s="287"/>
      <c r="BU81" s="301"/>
      <c r="BV81" s="285">
        <f t="shared" si="100"/>
        <v>0</v>
      </c>
      <c r="BW81" s="298"/>
      <c r="BX81" s="257"/>
      <c r="BY81" s="287"/>
      <c r="BZ81" s="301"/>
      <c r="CA81" s="285">
        <f>SUM(BW81:BX81)+IF(BW81="B",1,0)*BW$102+IF(BX81="B",1,0)*BX$102+IF(BW81="Løype",1)*$O$4+IF(BX81="Løype",1)*$O$4+IF(BW81="Arr",1)*$O$5+IF(BX81="Arr",1)*$O$5</f>
        <v>0</v>
      </c>
      <c r="CB81" s="298"/>
      <c r="CC81" s="257"/>
      <c r="CD81" s="287"/>
      <c r="CE81" s="301"/>
      <c r="CF81" s="285">
        <f t="shared" si="94"/>
        <v>0</v>
      </c>
      <c r="CG81" s="298"/>
      <c r="CH81" s="257"/>
      <c r="CI81" s="287"/>
      <c r="CJ81" s="301"/>
      <c r="CK81" s="285">
        <f t="shared" si="95"/>
        <v>0</v>
      </c>
      <c r="CL81" s="298"/>
      <c r="CM81" s="257"/>
      <c r="CN81" s="287"/>
      <c r="CO81" s="301"/>
      <c r="CP81" s="285">
        <f t="shared" si="96"/>
        <v>0</v>
      </c>
      <c r="CQ81" s="298"/>
      <c r="CR81" s="257"/>
      <c r="CS81" s="287"/>
      <c r="CT81" s="301"/>
      <c r="CU81" s="285">
        <f t="shared" si="97"/>
        <v>0</v>
      </c>
      <c r="CV81" s="298"/>
      <c r="CW81" s="257"/>
      <c r="CX81" s="304"/>
      <c r="CY81" s="301"/>
      <c r="CZ81" s="285">
        <f t="shared" si="98"/>
        <v>0</v>
      </c>
      <c r="DA81" s="298"/>
      <c r="DB81" s="257"/>
      <c r="DC81" s="287"/>
      <c r="DD81" s="301"/>
      <c r="DE81" s="285">
        <f t="shared" si="99"/>
        <v>0</v>
      </c>
      <c r="DF81" s="298"/>
      <c r="DG81" s="257"/>
      <c r="DH81" s="287"/>
      <c r="DI81" s="301"/>
      <c r="DJ81" s="285">
        <f t="shared" si="68"/>
        <v>0</v>
      </c>
      <c r="DK81" s="298"/>
      <c r="DL81" s="257"/>
      <c r="DM81" s="287"/>
      <c r="DN81" s="301"/>
      <c r="DO81" s="285">
        <f t="shared" si="69"/>
        <v>0</v>
      </c>
      <c r="DP81" s="298"/>
      <c r="DQ81" s="257"/>
      <c r="DR81" s="287"/>
      <c r="DS81" s="301"/>
      <c r="DT81" s="285">
        <f t="shared" si="70"/>
        <v>0</v>
      </c>
      <c r="DU81" s="298">
        <v>6</v>
      </c>
      <c r="DV81" s="257"/>
      <c r="DW81" s="304">
        <v>0.10606060606060608</v>
      </c>
      <c r="DX81" s="253">
        <v>7.5757575757575801E-2</v>
      </c>
      <c r="DY81" s="285">
        <f t="shared" si="71"/>
        <v>6</v>
      </c>
      <c r="DZ81" s="475">
        <v>4</v>
      </c>
      <c r="EA81" s="456"/>
      <c r="EB81" s="461">
        <v>0.30000000000000004</v>
      </c>
      <c r="EC81" s="463">
        <v>0.92222222222222228</v>
      </c>
      <c r="ED81" s="285">
        <f t="shared" si="72"/>
        <v>4</v>
      </c>
      <c r="EE81" s="475">
        <v>8</v>
      </c>
      <c r="EF81" s="456"/>
      <c r="EG81" s="461">
        <v>0.24358974358974361</v>
      </c>
      <c r="EH81" s="463">
        <v>0.96153846153846156</v>
      </c>
      <c r="EI81" s="285">
        <f t="shared" si="73"/>
        <v>8</v>
      </c>
      <c r="EJ81" s="467">
        <f t="shared" si="74"/>
        <v>3</v>
      </c>
      <c r="EK81" s="522">
        <f t="shared" si="75"/>
        <v>3</v>
      </c>
      <c r="EL81" s="267">
        <f t="shared" si="76"/>
        <v>3</v>
      </c>
      <c r="EM81" s="267">
        <f t="shared" si="77"/>
        <v>0</v>
      </c>
      <c r="EN81" s="516">
        <f t="shared" si="78"/>
        <v>0</v>
      </c>
      <c r="EO81" s="273">
        <f t="shared" si="79"/>
        <v>3</v>
      </c>
      <c r="EP81" s="15"/>
      <c r="EQ81" s="61">
        <f t="shared" si="80"/>
        <v>18</v>
      </c>
      <c r="ER81" s="187">
        <f>IF(OR($E81="B",$F81="B"),0,$I81)+IF(OR($J81="B",$K81="B"),0,$N81)+IF(OR($O81="B",$P81="B"),0,$S81)+IF(OR($T81="B",$U81="B"),0,$X81)+IF(OR($Y81="B",$Z81="B"),0,$AC81)+IF(OR($AD81="B",$AE81="B"),0,$AH81)+IF(OR($AI81="B",$AJ81="B"),0,$AM81)+IF(OR($HP59="B",$AO81="B"),0,$AR81)+IF(OR($AS81="B",$AT81="B"),0,$AW81)+IF(OR($AX81="B",$AY81="B"),0,$BB81)+IF(OR($BC81="B",$BD81="B"),0,$BG81)+IF(OR($BH81="B",$BI81="B"),0,$BL81)+IF(OR($BM81="B",$BN81="B"),0,$BQ81)+IF(OR($BR81="B",$BS81="B"),0,$BV81)+IF(OR($BW81="B",$BX81="B"),0,$CA81)+IF(OR($CB81="B",$CC81="B"),0,$CF81)+IF(OR($CG81="B",$CH81="B"),0,$CK81)+IF(OR($CL81="B",$CM81="B"),0,$CP81)+IF(OR($CQ81="B",$CR81="B"),0,$CU81)+IF(OR($CV81="B",$CW81="B"),0,$CZ81)+IF(OR($DA81="B",$DB81="B"),0,$DE81)+IF(OR($DF81="B",$DG81="B"),0,$DJ81)+IF(OR($DK81="B",$DL81="B"),0,$DO81)+IF(OR($DP81="B",$DQ81="B"),0,$DT81)+IF(OR($DU81="B",$DV81="B"),0,$DY81)+IF(OR($DZ81="B",$EA81="B"),0,$ED81)+IF(OR($EE81="B",$EF81="B"),0,$EI81)</f>
        <v>18</v>
      </c>
      <c r="ES81" s="28">
        <f t="shared" si="81"/>
        <v>6</v>
      </c>
      <c r="ET81" s="62">
        <f t="shared" si="82"/>
        <v>6</v>
      </c>
      <c r="EU81" s="63"/>
      <c r="EV81" s="247">
        <f t="shared" si="83"/>
        <v>42</v>
      </c>
      <c r="EW81" s="249">
        <f t="shared" si="84"/>
        <v>42</v>
      </c>
      <c r="EX81" s="23">
        <f t="shared" si="85"/>
        <v>14</v>
      </c>
      <c r="EY81" s="74">
        <f t="shared" si="86"/>
        <v>14</v>
      </c>
      <c r="EZ81" s="63"/>
      <c r="FA81" s="336">
        <f t="shared" si="87"/>
        <v>3</v>
      </c>
      <c r="FB81" s="337">
        <f t="shared" si="88"/>
        <v>0</v>
      </c>
      <c r="FC81" s="333">
        <f t="shared" si="89"/>
        <v>0.64965034965034973</v>
      </c>
      <c r="FD81" s="420">
        <f t="shared" si="90"/>
        <v>0.21655011655011658</v>
      </c>
      <c r="FE81" s="433">
        <f t="shared" si="91"/>
        <v>1.9595182595182596</v>
      </c>
      <c r="FF81" s="213">
        <f t="shared" si="92"/>
        <v>0.65317275317275325</v>
      </c>
      <c r="FG81" s="15"/>
      <c r="FH81" s="37">
        <f t="shared" si="46"/>
        <v>55</v>
      </c>
    </row>
    <row r="82" spans="2:164" ht="17" thickBot="1" x14ac:dyDescent="0.25">
      <c r="B82" s="258" t="s">
        <v>207</v>
      </c>
      <c r="C82" s="259" t="s">
        <v>89</v>
      </c>
      <c r="D82" s="299"/>
      <c r="E82" s="300"/>
      <c r="F82" s="285"/>
      <c r="G82" s="285"/>
      <c r="H82" s="285"/>
      <c r="I82" s="285"/>
      <c r="J82" s="301"/>
      <c r="K82" s="301"/>
      <c r="L82" s="301"/>
      <c r="M82" s="301"/>
      <c r="N82" s="285"/>
      <c r="O82" s="303"/>
      <c r="P82" s="302"/>
      <c r="Q82" s="301"/>
      <c r="R82" s="301"/>
      <c r="S82" s="285"/>
      <c r="T82" s="303"/>
      <c r="U82" s="302"/>
      <c r="V82" s="301"/>
      <c r="W82" s="301"/>
      <c r="X82" s="285"/>
      <c r="Y82" s="303"/>
      <c r="Z82" s="287"/>
      <c r="AA82" s="253"/>
      <c r="AB82" s="253"/>
      <c r="AC82" s="285"/>
      <c r="AD82" s="303"/>
      <c r="AE82" s="287"/>
      <c r="AF82" s="301"/>
      <c r="AG82" s="301"/>
      <c r="AH82" s="285"/>
      <c r="AI82" s="260"/>
      <c r="AJ82" s="257"/>
      <c r="AK82" s="301"/>
      <c r="AL82" s="301"/>
      <c r="AM82" s="285"/>
      <c r="AN82" s="260"/>
      <c r="AO82" s="257"/>
      <c r="AP82" s="301"/>
      <c r="AQ82" s="301"/>
      <c r="AR82" s="285"/>
      <c r="AS82" s="260"/>
      <c r="AT82" s="257"/>
      <c r="AU82" s="301"/>
      <c r="AV82" s="301"/>
      <c r="AW82" s="285"/>
      <c r="AX82" s="260">
        <v>1</v>
      </c>
      <c r="AY82" s="257"/>
      <c r="AZ82" s="253">
        <v>0.27777777777777779</v>
      </c>
      <c r="BA82" s="253">
        <v>0.7592592592592593</v>
      </c>
      <c r="BB82" s="285">
        <v>1</v>
      </c>
      <c r="BC82" s="260"/>
      <c r="BD82" s="257"/>
      <c r="BE82" s="304"/>
      <c r="BF82" s="253"/>
      <c r="BG82" s="285"/>
      <c r="BH82" s="298"/>
      <c r="BI82" s="257"/>
      <c r="BJ82" s="287"/>
      <c r="BK82" s="301"/>
      <c r="BL82" s="285"/>
      <c r="BM82" s="305"/>
      <c r="BN82" s="257"/>
      <c r="BO82" s="287"/>
      <c r="BP82" s="301"/>
      <c r="BQ82" s="285"/>
      <c r="BR82" s="298">
        <v>3</v>
      </c>
      <c r="BS82" s="257"/>
      <c r="BT82" s="304">
        <v>6.0000000000000053E-2</v>
      </c>
      <c r="BU82" s="253">
        <v>0.65999999999999992</v>
      </c>
      <c r="BV82" s="285">
        <f t="shared" si="100"/>
        <v>3</v>
      </c>
      <c r="BW82" s="298"/>
      <c r="BX82" s="257"/>
      <c r="BY82" s="304"/>
      <c r="BZ82" s="253"/>
      <c r="CA82" s="285"/>
      <c r="CB82" s="298"/>
      <c r="CC82" s="257"/>
      <c r="CD82" s="287"/>
      <c r="CE82" s="301"/>
      <c r="CF82" s="285"/>
      <c r="CG82" s="298"/>
      <c r="CH82" s="257"/>
      <c r="CI82" s="287"/>
      <c r="CJ82" s="301"/>
      <c r="CK82" s="285"/>
      <c r="CL82" s="298"/>
      <c r="CM82" s="257"/>
      <c r="CN82" s="287"/>
      <c r="CO82" s="301"/>
      <c r="CP82" s="285"/>
      <c r="CQ82" s="298"/>
      <c r="CR82" s="257"/>
      <c r="CS82" s="287"/>
      <c r="CT82" s="301"/>
      <c r="CU82" s="285"/>
      <c r="CV82" s="298"/>
      <c r="CW82" s="257"/>
      <c r="CX82" s="304"/>
      <c r="CY82" s="301"/>
      <c r="CZ82" s="285"/>
      <c r="DA82" s="298"/>
      <c r="DB82" s="257"/>
      <c r="DC82" s="287"/>
      <c r="DD82" s="301"/>
      <c r="DE82" s="285">
        <f t="shared" si="99"/>
        <v>0</v>
      </c>
      <c r="DF82" s="298"/>
      <c r="DG82" s="257"/>
      <c r="DH82" s="304"/>
      <c r="DI82" s="253"/>
      <c r="DJ82" s="285">
        <f t="shared" si="68"/>
        <v>0</v>
      </c>
      <c r="DK82" s="298">
        <v>4</v>
      </c>
      <c r="DL82" s="257"/>
      <c r="DM82" s="461">
        <v>0.1607142857142857</v>
      </c>
      <c r="DN82" s="253">
        <v>0.2678571428571429</v>
      </c>
      <c r="DO82" s="285">
        <f t="shared" si="69"/>
        <v>4</v>
      </c>
      <c r="DP82" s="298"/>
      <c r="DQ82" s="257"/>
      <c r="DR82" s="287"/>
      <c r="DS82" s="301"/>
      <c r="DT82" s="285">
        <f t="shared" si="70"/>
        <v>0</v>
      </c>
      <c r="DU82" s="298"/>
      <c r="DV82" s="257"/>
      <c r="DW82" s="287"/>
      <c r="DX82" s="301"/>
      <c r="DY82" s="285">
        <f t="shared" si="71"/>
        <v>0</v>
      </c>
      <c r="DZ82" s="475"/>
      <c r="EA82" s="456"/>
      <c r="EB82" s="43"/>
      <c r="EC82" s="191"/>
      <c r="ED82" s="285">
        <f t="shared" si="72"/>
        <v>0</v>
      </c>
      <c r="EE82" s="475"/>
      <c r="EF82" s="456"/>
      <c r="EG82" s="43"/>
      <c r="EH82" s="191"/>
      <c r="EI82" s="285">
        <f t="shared" si="73"/>
        <v>0</v>
      </c>
      <c r="EJ82" s="467">
        <f t="shared" si="74"/>
        <v>3</v>
      </c>
      <c r="EK82" s="522">
        <f t="shared" si="75"/>
        <v>2</v>
      </c>
      <c r="EL82" s="267">
        <f t="shared" si="76"/>
        <v>3</v>
      </c>
      <c r="EM82" s="267">
        <f t="shared" si="77"/>
        <v>0</v>
      </c>
      <c r="EN82" s="516">
        <f t="shared" si="78"/>
        <v>0</v>
      </c>
      <c r="EO82" s="273">
        <f t="shared" si="79"/>
        <v>2</v>
      </c>
      <c r="EP82" s="15"/>
      <c r="EQ82" s="61">
        <f t="shared" si="80"/>
        <v>8</v>
      </c>
      <c r="ER82" s="187">
        <f>IF(OR($E82="B",$F82="B"),0,$I82)+IF(OR($J82="B",$K82="B"),0,$N82)+IF(OR($O82="B",$P82="B"),0,$S82)+IF(OR($T82="B",$U82="B"),0,$X82)+IF(OR($Y82="B",$Z82="B"),0,$AC82)+IF(OR($AD82="B",$AE82="B"),0,$AH82)+IF(OR($AI82="B",$AJ82="B"),0,$AM82)+IF(OR($HP60="B",$AO82="B"),0,$AR82)+IF(OR($AS82="B",$AT82="B"),0,$AW82)+IF(OR($AX82="B",$AY82="B"),0,$BB82)+IF(OR($BC82="B",$BD82="B"),0,$BG82)+IF(OR($BH82="B",$BI82="B"),0,$BL82)+IF(OR($BM82="B",$BN82="B"),0,$BQ82)+IF(OR($BR82="B",$BS82="B"),0,$BV82)+IF(OR($BW82="B",$BX82="B"),0,$CA82)+IF(OR($CB82="B",$CC82="B"),0,$CF82)+IF(OR($CG82="B",$CH82="B"),0,$CK82)+IF(OR($CL82="B",$CM82="B"),0,$CP82)+IF(OR($CQ82="B",$CR82="B"),0,$CU82)+IF(OR($CV82="B",$CW82="B"),0,$CZ82)+IF(OR($DA82="B",$DB82="B"),0,$DE82)+IF(OR($DF82="B",$DG82="B"),0,$DJ82)+IF(OR($DK82="B",$DL82="B"),0,$DO82)+IF(OR($DP82="B",$DQ82="B"),0,$DT82)+IF(OR($DU82="B",$DV82="B"),0,$DY82)+IF(OR($DZ82="B",$EA82="B"),0,$ED82)+IF(OR($EE82="B",$EF82="B"),0,$EI82)</f>
        <v>8</v>
      </c>
      <c r="ES82" s="28">
        <f t="shared" si="81"/>
        <v>2.6666666666666665</v>
      </c>
      <c r="ET82" s="62">
        <f t="shared" si="82"/>
        <v>2.6666666666666665</v>
      </c>
      <c r="EU82" s="63"/>
      <c r="EV82" s="247">
        <f t="shared" si="83"/>
        <v>32</v>
      </c>
      <c r="EW82" s="249">
        <f t="shared" si="84"/>
        <v>32</v>
      </c>
      <c r="EX82" s="23">
        <f t="shared" si="85"/>
        <v>10.666666666666666</v>
      </c>
      <c r="EY82" s="74">
        <f t="shared" si="86"/>
        <v>10.666666666666666</v>
      </c>
      <c r="EZ82" s="63"/>
      <c r="FA82" s="336">
        <f t="shared" si="87"/>
        <v>3</v>
      </c>
      <c r="FB82" s="337">
        <f t="shared" si="88"/>
        <v>0</v>
      </c>
      <c r="FC82" s="333">
        <f t="shared" si="89"/>
        <v>0.49849206349206354</v>
      </c>
      <c r="FD82" s="420">
        <f t="shared" si="90"/>
        <v>0.16616402116402118</v>
      </c>
      <c r="FE82" s="433">
        <f t="shared" si="91"/>
        <v>1.687116402116402</v>
      </c>
      <c r="FF82" s="213">
        <f t="shared" si="92"/>
        <v>0.56237213403880071</v>
      </c>
      <c r="FG82" s="15"/>
      <c r="FH82" s="37">
        <f t="shared" si="46"/>
        <v>56</v>
      </c>
    </row>
    <row r="83" spans="2:164" ht="17" thickBot="1" x14ac:dyDescent="0.25">
      <c r="B83" s="258" t="s">
        <v>112</v>
      </c>
      <c r="C83" s="259" t="s">
        <v>113</v>
      </c>
      <c r="D83" s="299">
        <v>501018</v>
      </c>
      <c r="E83" s="300"/>
      <c r="F83" s="285"/>
      <c r="G83" s="285"/>
      <c r="H83" s="285"/>
      <c r="I83" s="285">
        <f>SUM(E83:F83)+IF(E83="B",1,0)*E$102+IF(F83="B",1,0)*F$102+IF(E83="Løype",1)*$O$4+IF(F83="Løype",1)*$O$4+IF(E83="Arr",1)*$O$5+IF(F83="Arr",1)*$O$5</f>
        <v>0</v>
      </c>
      <c r="J83" s="301"/>
      <c r="K83" s="301"/>
      <c r="L83" s="301"/>
      <c r="M83" s="301"/>
      <c r="N83" s="285">
        <f>SUM(J83:K83)+IF(J83="B",1,0)*J$102+IF(K83="B",1,0)*K$102+IF(J83="Løype",1)*$O$4+IF(K83="Løype",1)*$O$4+IF(J83="Arr",1)*$O$5+IF(K83="Arr",1)*$O$5</f>
        <v>0</v>
      </c>
      <c r="O83" s="303"/>
      <c r="P83" s="302"/>
      <c r="Q83" s="301"/>
      <c r="R83" s="301"/>
      <c r="S83" s="285">
        <f>SUM(O83:P83)+IF(O83="B",1,0)*O$102+IF(P83="B",1,0)*P$102+IF(O83="Løype",1)*$O$4+IF(P83="Løype",1)*$O$4+IF(O83="Arr",1)*$O$5+IF(P83="Arr",1)*$O$5</f>
        <v>0</v>
      </c>
      <c r="T83" s="303"/>
      <c r="U83" s="302"/>
      <c r="V83" s="301"/>
      <c r="W83" s="301"/>
      <c r="X83" s="285">
        <f>SUM(T83:U83)+IF(T83="B",1,0)*T$102+IF(U83="B",1,0)*U$102+IF(T83="Løype",1)*$O$4+IF(U83="Løype",1)*$O$4+IF(T83="Arr",1)*$O$5+IF(U83="Arr",1)*$O$5</f>
        <v>0</v>
      </c>
      <c r="Y83" s="303"/>
      <c r="Z83" s="287"/>
      <c r="AA83" s="301"/>
      <c r="AB83" s="301"/>
      <c r="AC83" s="285">
        <f>SUM(Y83:Z83)+IF(Y83="B",1,0)*Y$102+IF(Z83="B",1,0)*Z$102+IF(Y83="Løype",1)*$O$4+IF(Z83="Løype",1)*$O$4+IF(Y83="Arr",1)*$O$5+IF(Z83="Arr",1)*$O$5</f>
        <v>0</v>
      </c>
      <c r="AD83" s="303"/>
      <c r="AE83" s="287"/>
      <c r="AF83" s="301"/>
      <c r="AG83" s="301"/>
      <c r="AH83" s="285">
        <f>SUM(AD83:AE83)+IF(AD83="B",1,0)*AD$102+IF(AE83="B",1,0)*AE$102+IF(AD83="Løype",1)*$O$4+IF(AE83="Løype",1)*$O$4+IF(AD83="Arr",1)*$O$5+IF(AE83="Arr",1)*$O$5</f>
        <v>0</v>
      </c>
      <c r="AI83" s="260"/>
      <c r="AJ83" s="257"/>
      <c r="AK83" s="301"/>
      <c r="AL83" s="301"/>
      <c r="AM83" s="285">
        <f>SUM(AI83:AJ83)+IF(AI83="B",1,0)*AI$102+IF(AJ83="B",1,0)*AJ$102+IF(AI83="Løype",1)*$O$4+IF(AJ83="Løype",1)*$O$4+IF(AI83="Arr",1)*$O$5+IF(AJ83="Arr",1)*$O$5</f>
        <v>0</v>
      </c>
      <c r="AN83" s="260"/>
      <c r="AO83" s="257"/>
      <c r="AP83" s="301"/>
      <c r="AQ83" s="301"/>
      <c r="AR83" s="285">
        <f>SUM(AN83:AO83)+IF(AN83="B",1,0)*AN$102+IF(AO83="B",1,0)*AO$102+IF(AN83="Løype",1)*$O$4+IF(AO83="Løype",1)*$O$4+IF(AN83="Arr",1)*$O$5+IF(AO83="Arr",1)*$O$5</f>
        <v>0</v>
      </c>
      <c r="AS83" s="260"/>
      <c r="AT83" s="257"/>
      <c r="AU83" s="301"/>
      <c r="AV83" s="301"/>
      <c r="AW83" s="285">
        <f>SUM(AS83:AT83)+IF(AS83="B",1,0)*AS$102+IF(AT83="B",1,0)*AT$102+IF(AS83="Løype",1)*$O$4+IF(AT83="Løype",1)*$O$4+IF(AS83="Arr",1)*$O$5+IF(AT83="Arr",1)*$O$5</f>
        <v>0</v>
      </c>
      <c r="AX83" s="260"/>
      <c r="AY83" s="257"/>
      <c r="AZ83" s="301"/>
      <c r="BA83" s="301"/>
      <c r="BB83" s="285">
        <f>SUM(AX83:AY83)+IF(AX83="B",1,0)*AX$102+IF(AY83="B",1,0)*AY$102+IF(AX83="Løype",1)*$O$4+IF(AY83="Løype",1)*$O$4+IF(AX83="Arr",1)*$O$5+IF(AY83="Arr",1)*$O$5</f>
        <v>0</v>
      </c>
      <c r="BC83" s="260"/>
      <c r="BD83" s="257"/>
      <c r="BE83" s="287"/>
      <c r="BF83" s="301"/>
      <c r="BG83" s="285">
        <f>SUM(BC83:BD83)+IF(BC83="B",1,0)*BC$102+IF(BD83="B",1,0)*BD$102+IF(BC83="Løype",1)*$O$4+IF(BD83="Løype",1)*$O$4+IF(BC83="Arr",1)*$O$5+IF(BD83="Arr",1)*$O$5</f>
        <v>0</v>
      </c>
      <c r="BH83" s="298"/>
      <c r="BI83" s="257"/>
      <c r="BJ83" s="287"/>
      <c r="BK83" s="301"/>
      <c r="BL83" s="285">
        <f>SUM(BH83:BI83)+IF(BH83="B",1,0)*BH$102+IF(BI83="B",1,0)*BI$102+IF(BH83="Løype",1)*$O$4+IF(BI83="Løype",1)*$O$4+IF(BH83="Arr",1)*$O$5+IF(BI83="Arr",1)*$O$5</f>
        <v>0</v>
      </c>
      <c r="BM83" s="305"/>
      <c r="BN83" s="257"/>
      <c r="BO83" s="287"/>
      <c r="BP83" s="301"/>
      <c r="BQ83" s="285">
        <f>SUM(BM83:BN83)+IF(BM83="B",1,0)*BM$102+IF(BN83="B",1,0)*BN$102+IF(BM83="Løype",1)*$O$4+IF(BN83="Løype",1)*$O$4+IF(BM83="Arr",1)*$O$5+IF(BN83="Arr",1)*$O$5</f>
        <v>0</v>
      </c>
      <c r="BR83" s="298"/>
      <c r="BS83" s="257"/>
      <c r="BT83" s="287"/>
      <c r="BU83" s="301"/>
      <c r="BV83" s="285">
        <f t="shared" si="100"/>
        <v>0</v>
      </c>
      <c r="BW83" s="298"/>
      <c r="BX83" s="257"/>
      <c r="BY83" s="287"/>
      <c r="BZ83" s="301"/>
      <c r="CA83" s="285">
        <f>SUM(BW83:BX83)+IF(BW83="B",1,0)*BW$102+IF(BX83="B",1,0)*BX$102+IF(BW83="Løype",1)*$O$4+IF(BX83="Løype",1)*$O$4+IF(BW83="Arr",1)*$O$5+IF(BX83="Arr",1)*$O$5</f>
        <v>0</v>
      </c>
      <c r="CB83" s="298"/>
      <c r="CC83" s="257"/>
      <c r="CD83" s="287"/>
      <c r="CE83" s="301"/>
      <c r="CF83" s="285">
        <f>SUM(CB83:CC83)+IF(CB83="B",1,0)*CB$102+IF(CC83="B",1,0)*CC$102+IF(CB83="Løype",1)*$O$4+IF(CC83="Løype",1)*$O$4+IF(CB83="Arr",1)*$O$5+IF(CC83="Arr",1)*$O$5</f>
        <v>0</v>
      </c>
      <c r="CG83" s="298"/>
      <c r="CH83" s="257"/>
      <c r="CI83" s="287"/>
      <c r="CJ83" s="301"/>
      <c r="CK83" s="285">
        <f>SUM(CG83:CH83)+IF(CG83="B",1,0)*CG$102+IF(CH83="B",1,0)*CH$102+IF(CG83="Løype",1)*$O$4+IF(CH83="Løype",1)*$O$4+IF(CG83="Arr",1)*$O$5+IF(CH83="Arr",1)*$O$5</f>
        <v>0</v>
      </c>
      <c r="CL83" s="298"/>
      <c r="CM83" s="257"/>
      <c r="CN83" s="287"/>
      <c r="CO83" s="301"/>
      <c r="CP83" s="285">
        <f>SUM(CL83:CM83)+IF(CL83="B",1,0)*CL$102+IF(CM83="B",1,0)*CM$102+IF(CL83="Løype",1)*$O$4+IF(CM83="Løype",1)*$O$4+IF(CL83="Arr",1)*$O$5+IF(CM83="Arr",1)*$O$5</f>
        <v>0</v>
      </c>
      <c r="CQ83" s="298"/>
      <c r="CR83" s="257"/>
      <c r="CS83" s="287"/>
      <c r="CT83" s="301"/>
      <c r="CU83" s="285">
        <f>SUM(CQ83:CR83)+IF(CQ83="B",1,0)*CQ$102+IF(CR83="B",1,0)*CR$102+IF(CQ83="Løype",1)*$O$4+IF(CR83="Løype",1)*$O$4+IF(CQ83="Arr",1)*$O$5+IF(CR83="Arr",1)*$O$5</f>
        <v>0</v>
      </c>
      <c r="CV83" s="298"/>
      <c r="CW83" s="257"/>
      <c r="CX83" s="304"/>
      <c r="CY83" s="301"/>
      <c r="CZ83" s="285">
        <f>SUM(CV83:CW83)+IF(CV83="B",1,0)*CV$102+IF(CW83="B",1,0)*CW$102+IF(CV83="Løype",1)*$O$4+IF(CW83="Løype",1)*$O$4+IF(CV83="Arr",1)*$O$5+IF(CW83="Arr",1)*$O$5</f>
        <v>0</v>
      </c>
      <c r="DA83" s="298"/>
      <c r="DB83" s="257"/>
      <c r="DC83" s="287"/>
      <c r="DD83" s="301"/>
      <c r="DE83" s="285">
        <f t="shared" si="99"/>
        <v>0</v>
      </c>
      <c r="DF83" s="298"/>
      <c r="DG83" s="257">
        <v>20</v>
      </c>
      <c r="DH83" s="304">
        <v>0.45833333333333337</v>
      </c>
      <c r="DI83" s="253">
        <v>0.98611111111111116</v>
      </c>
      <c r="DJ83" s="285">
        <f t="shared" si="68"/>
        <v>20</v>
      </c>
      <c r="DK83" s="298"/>
      <c r="DL83" s="257"/>
      <c r="DM83" s="287"/>
      <c r="DN83" s="301"/>
      <c r="DO83" s="285">
        <f t="shared" si="69"/>
        <v>0</v>
      </c>
      <c r="DP83" s="298"/>
      <c r="DQ83" s="257"/>
      <c r="DR83" s="287"/>
      <c r="DS83" s="301"/>
      <c r="DT83" s="285">
        <f t="shared" si="70"/>
        <v>0</v>
      </c>
      <c r="DU83" s="298"/>
      <c r="DV83" s="257">
        <v>20</v>
      </c>
      <c r="DW83" s="461">
        <v>0.40909090909090906</v>
      </c>
      <c r="DX83" s="463">
        <v>0.95454545454545459</v>
      </c>
      <c r="DY83" s="285">
        <f t="shared" si="71"/>
        <v>20</v>
      </c>
      <c r="DZ83" s="475"/>
      <c r="EA83" s="456">
        <v>28</v>
      </c>
      <c r="EB83" s="461">
        <v>0.32222222222222219</v>
      </c>
      <c r="EC83" s="463">
        <v>0.94444444444444442</v>
      </c>
      <c r="ED83" s="285">
        <f t="shared" si="72"/>
        <v>28</v>
      </c>
      <c r="EE83" s="475"/>
      <c r="EF83" s="456"/>
      <c r="EG83" s="461"/>
      <c r="EH83" s="463"/>
      <c r="EI83" s="285">
        <f t="shared" si="73"/>
        <v>0</v>
      </c>
      <c r="EJ83" s="467">
        <f t="shared" si="74"/>
        <v>3</v>
      </c>
      <c r="EK83" s="522">
        <f t="shared" si="75"/>
        <v>3</v>
      </c>
      <c r="EL83" s="267">
        <f t="shared" si="76"/>
        <v>3</v>
      </c>
      <c r="EM83" s="267">
        <f t="shared" si="77"/>
        <v>0</v>
      </c>
      <c r="EN83" s="516">
        <f t="shared" si="78"/>
        <v>0</v>
      </c>
      <c r="EO83" s="273">
        <f t="shared" si="79"/>
        <v>3</v>
      </c>
      <c r="EP83" s="15"/>
      <c r="EQ83" s="61">
        <f t="shared" si="80"/>
        <v>68</v>
      </c>
      <c r="ER83" s="187">
        <f>IF(OR($E83="B",$F83="B"),0,$I83)+IF(OR($J83="B",$K83="B"),0,$N83)+IF(OR($O83="B",$P83="B"),0,$S83)+IF(OR($T83="B",$U83="B"),0,$X83)+IF(OR($Y83="B",$Z83="B"),0,$AC83)+IF(OR($AD83="B",$AE83="B"),0,$AH83)+IF(OR($AI83="B",$AJ83="B"),0,$AM83)+IF(OR($HP60="B",$AO83="B"),0,$AR83)+IF(OR($AS83="B",$AT83="B"),0,$AW83)+IF(OR($AX83="B",$AY83="B"),0,$BB83)+IF(OR($BC83="B",$BD83="B"),0,$BG83)+IF(OR($BH83="B",$BI83="B"),0,$BL83)+IF(OR($BM83="B",$BN83="B"),0,$BQ83)+IF(OR($BR83="B",$BS83="B"),0,$BV83)+IF(OR($BW83="B",$BX83="B"),0,$CA83)+IF(OR($CB83="B",$CC83="B"),0,$CF83)+IF(OR($CG83="B",$CH83="B"),0,$CK83)+IF(OR($CL83="B",$CM83="B"),0,$CP83)+IF(OR($CQ83="B",$CR83="B"),0,$CU83)+IF(OR($CV83="B",$CW83="B"),0,$CZ83)+IF(OR($DA83="B",$DB83="B"),0,$DE83)+IF(OR($DF83="B",$DG83="B"),0,$DJ83)+IF(OR($DK83="B",$DL83="B"),0,$DO83)+IF(OR($DP83="B",$DQ83="B"),0,$DT83)+IF(OR($DU83="B",$DV83="B"),0,$DY83)+IF(OR($DZ83="B",$EA83="B"),0,$ED83)+IF(OR($EE83="B",$EF83="B"),0,$EI83)</f>
        <v>68</v>
      </c>
      <c r="ES83" s="28">
        <f t="shared" si="81"/>
        <v>22.666666666666668</v>
      </c>
      <c r="ET83" s="62">
        <f t="shared" si="82"/>
        <v>22.666666666666668</v>
      </c>
      <c r="EU83" s="63"/>
      <c r="EV83" s="247">
        <f t="shared" si="83"/>
        <v>92</v>
      </c>
      <c r="EW83" s="249">
        <f t="shared" si="84"/>
        <v>92</v>
      </c>
      <c r="EX83" s="23">
        <f t="shared" si="85"/>
        <v>30.666666666666668</v>
      </c>
      <c r="EY83" s="74">
        <f t="shared" si="86"/>
        <v>30.666666666666668</v>
      </c>
      <c r="EZ83" s="63"/>
      <c r="FA83" s="336">
        <f t="shared" si="87"/>
        <v>3</v>
      </c>
      <c r="FB83" s="337">
        <f t="shared" si="88"/>
        <v>0</v>
      </c>
      <c r="FC83" s="333">
        <f t="shared" si="89"/>
        <v>1.1896464646464646</v>
      </c>
      <c r="FD83" s="420">
        <f t="shared" si="90"/>
        <v>0.39654882154882154</v>
      </c>
      <c r="FE83" s="433">
        <f t="shared" si="91"/>
        <v>2.8851010101010104</v>
      </c>
      <c r="FF83" s="213">
        <f t="shared" si="92"/>
        <v>0.96170033670033683</v>
      </c>
      <c r="FG83" s="15"/>
      <c r="FH83" s="37">
        <f t="shared" si="46"/>
        <v>57</v>
      </c>
    </row>
    <row r="84" spans="2:164" ht="17" thickBot="1" x14ac:dyDescent="0.25">
      <c r="B84" s="459" t="s">
        <v>254</v>
      </c>
      <c r="C84" s="460" t="s">
        <v>255</v>
      </c>
      <c r="D84" s="299"/>
      <c r="E84" s="300"/>
      <c r="F84" s="285"/>
      <c r="G84" s="306"/>
      <c r="H84" s="306"/>
      <c r="I84" s="285"/>
      <c r="J84" s="301"/>
      <c r="K84" s="301"/>
      <c r="L84" s="253"/>
      <c r="M84" s="253"/>
      <c r="N84" s="285"/>
      <c r="O84" s="303"/>
      <c r="P84" s="302"/>
      <c r="Q84" s="253"/>
      <c r="R84" s="253"/>
      <c r="S84" s="285"/>
      <c r="T84" s="303"/>
      <c r="U84" s="302"/>
      <c r="V84" s="253"/>
      <c r="W84" s="253"/>
      <c r="X84" s="285"/>
      <c r="Y84" s="303"/>
      <c r="Z84" s="287"/>
      <c r="AA84" s="253"/>
      <c r="AB84" s="253"/>
      <c r="AC84" s="285"/>
      <c r="AD84" s="303"/>
      <c r="AE84" s="287"/>
      <c r="AF84" s="253"/>
      <c r="AG84" s="253"/>
      <c r="AH84" s="285"/>
      <c r="AI84" s="260"/>
      <c r="AJ84" s="257"/>
      <c r="AK84" s="253"/>
      <c r="AL84" s="253"/>
      <c r="AM84" s="285"/>
      <c r="AN84" s="260"/>
      <c r="AO84" s="257"/>
      <c r="AP84" s="253"/>
      <c r="AQ84" s="253"/>
      <c r="AR84" s="285"/>
      <c r="AS84" s="260"/>
      <c r="AT84" s="257"/>
      <c r="AU84" s="253"/>
      <c r="AV84" s="253"/>
      <c r="AW84" s="285"/>
      <c r="AX84" s="260"/>
      <c r="AY84" s="257"/>
      <c r="AZ84" s="253"/>
      <c r="BA84" s="253"/>
      <c r="BB84" s="285"/>
      <c r="BC84" s="260"/>
      <c r="BD84" s="257"/>
      <c r="BE84" s="287"/>
      <c r="BF84" s="301"/>
      <c r="BG84" s="285"/>
      <c r="BH84" s="298"/>
      <c r="BI84" s="257"/>
      <c r="BJ84" s="287"/>
      <c r="BK84" s="301"/>
      <c r="BL84" s="285"/>
      <c r="BM84" s="305"/>
      <c r="BN84" s="257"/>
      <c r="BO84" s="304"/>
      <c r="BP84" s="253"/>
      <c r="BQ84" s="285"/>
      <c r="BR84" s="298"/>
      <c r="BS84" s="257"/>
      <c r="BT84" s="304"/>
      <c r="BU84" s="253"/>
      <c r="BV84" s="285"/>
      <c r="BW84" s="298"/>
      <c r="BX84" s="257"/>
      <c r="BY84" s="324"/>
      <c r="BZ84" s="329"/>
      <c r="CA84" s="285"/>
      <c r="CB84" s="298"/>
      <c r="CC84" s="257"/>
      <c r="CD84" s="287"/>
      <c r="CE84" s="301"/>
      <c r="CF84" s="285"/>
      <c r="CG84" s="298"/>
      <c r="CH84" s="257"/>
      <c r="CI84" s="304"/>
      <c r="CJ84" s="253"/>
      <c r="CK84" s="285"/>
      <c r="CL84" s="298"/>
      <c r="CM84" s="257"/>
      <c r="CN84" s="304"/>
      <c r="CO84" s="253"/>
      <c r="CP84" s="285"/>
      <c r="CQ84" s="298"/>
      <c r="CR84" s="257"/>
      <c r="CS84" s="287"/>
      <c r="CT84" s="301"/>
      <c r="CU84" s="285"/>
      <c r="CV84" s="298"/>
      <c r="CW84" s="257"/>
      <c r="CX84" s="304"/>
      <c r="CY84" s="253"/>
      <c r="CZ84" s="285"/>
      <c r="DA84" s="298"/>
      <c r="DB84" s="257"/>
      <c r="DC84" s="304"/>
      <c r="DD84" s="253"/>
      <c r="DE84" s="285"/>
      <c r="DF84" s="298">
        <v>3</v>
      </c>
      <c r="DG84" s="257"/>
      <c r="DH84" s="304">
        <v>1.388888888888884E-2</v>
      </c>
      <c r="DI84" s="253">
        <v>4.166666666666663E-2</v>
      </c>
      <c r="DJ84" s="285">
        <f t="shared" si="68"/>
        <v>3</v>
      </c>
      <c r="DK84" s="298"/>
      <c r="DL84" s="257"/>
      <c r="DM84" s="287"/>
      <c r="DN84" s="301"/>
      <c r="DO84" s="285">
        <f t="shared" si="69"/>
        <v>0</v>
      </c>
      <c r="DP84" s="298">
        <v>6</v>
      </c>
      <c r="DQ84" s="257"/>
      <c r="DR84" s="304">
        <v>8.6206896551724088E-2</v>
      </c>
      <c r="DS84" s="253">
        <v>0.18965517241379315</v>
      </c>
      <c r="DT84" s="285">
        <f t="shared" si="70"/>
        <v>6</v>
      </c>
      <c r="DU84" s="298"/>
      <c r="DV84" s="257"/>
      <c r="DW84" s="287"/>
      <c r="DX84" s="301"/>
      <c r="DY84" s="285">
        <f t="shared" si="71"/>
        <v>0</v>
      </c>
      <c r="DZ84" s="475" t="s">
        <v>2</v>
      </c>
      <c r="EA84" s="456"/>
      <c r="EB84" s="461">
        <v>7.7777777777777724E-2</v>
      </c>
      <c r="EC84" s="463">
        <v>7.7777777777777724E-2</v>
      </c>
      <c r="ED84" s="285">
        <f t="shared" si="72"/>
        <v>12</v>
      </c>
      <c r="EE84" s="475"/>
      <c r="EF84" s="456"/>
      <c r="EG84" s="461"/>
      <c r="EH84" s="463"/>
      <c r="EI84" s="285">
        <f t="shared" si="73"/>
        <v>0</v>
      </c>
      <c r="EJ84" s="467">
        <f t="shared" si="74"/>
        <v>3</v>
      </c>
      <c r="EK84" s="522">
        <f t="shared" si="75"/>
        <v>3</v>
      </c>
      <c r="EL84" s="267">
        <f t="shared" si="76"/>
        <v>2</v>
      </c>
      <c r="EM84" s="267">
        <f t="shared" si="77"/>
        <v>0</v>
      </c>
      <c r="EN84" s="516">
        <f t="shared" si="78"/>
        <v>0</v>
      </c>
      <c r="EO84" s="273">
        <f t="shared" si="79"/>
        <v>3</v>
      </c>
      <c r="EP84" s="15"/>
      <c r="EQ84" s="61">
        <f t="shared" si="80"/>
        <v>21</v>
      </c>
      <c r="ER84" s="187">
        <f>IF(OR($E84="B",$F84="B"),0,$I84)+IF(OR($J84="B",$K84="B"),0,$N84)+IF(OR($O84="B",$P84="B"),0,$S84)+IF(OR($T84="B",$U84="B"),0,$X84)+IF(OR($Y84="B",$Z84="B"),0,$AC84)+IF(OR($AD84="B",$AE84="B"),0,$AH84)+IF(OR($AI84="B",$AJ84="B"),0,$AM84)+IF(OR($HP61="B",$AO84="B"),0,$AR84)+IF(OR($AS84="B",$AT84="B"),0,$AW84)+IF(OR($AX84="B",$AY84="B"),0,$BB84)+IF(OR($BC84="B",$BD84="B"),0,$BG84)+IF(OR($BH84="B",$BI84="B"),0,$BL84)+IF(OR($BM84="B",$BN84="B"),0,$BQ84)+IF(OR($BR84="B",$BS84="B"),0,$BV84)+IF(OR($BW84="B",$BX84="B"),0,$CA84)+IF(OR($CB84="B",$CC84="B"),0,$CF84)+IF(OR($CG84="B",$CH84="B"),0,$CK84)+IF(OR($CL84="B",$CM84="B"),0,$CP84)+IF(OR($CQ84="B",$CR84="B"),0,$CU84)+IF(OR($CV84="B",$CW84="B"),0,$CZ84)+IF(OR($DA84="B",$DB84="B"),0,$DE84)+IF(OR($DF84="B",$DG84="B"),0,$DJ84)+IF(OR($DK84="B",$DL84="B"),0,$DO84)+IF(OR($DP84="B",$DQ84="B"),0,$DT84)+IF(OR($DU84="B",$DV84="B"),0,$DY84)+IF(OR($DZ84="B",$EA84="B"),0,$ED84)+IF(OR($EE84="B",$EF84="B"),0,$EI84)</f>
        <v>9</v>
      </c>
      <c r="ES84" s="28">
        <f t="shared" si="81"/>
        <v>7</v>
      </c>
      <c r="ET84" s="62">
        <f t="shared" si="82"/>
        <v>4.5</v>
      </c>
      <c r="EU84" s="63"/>
      <c r="EV84" s="247">
        <f t="shared" si="83"/>
        <v>45</v>
      </c>
      <c r="EW84" s="249">
        <f t="shared" si="84"/>
        <v>34</v>
      </c>
      <c r="EX84" s="23">
        <f t="shared" si="85"/>
        <v>15</v>
      </c>
      <c r="EY84" s="74">
        <f t="shared" si="86"/>
        <v>17</v>
      </c>
      <c r="EZ84" s="63"/>
      <c r="FA84" s="336">
        <f t="shared" si="87"/>
        <v>3</v>
      </c>
      <c r="FB84" s="337">
        <f t="shared" si="88"/>
        <v>0</v>
      </c>
      <c r="FC84" s="333">
        <f t="shared" si="89"/>
        <v>0.17787356321839065</v>
      </c>
      <c r="FD84" s="420">
        <f t="shared" si="90"/>
        <v>5.9291187739463548E-2</v>
      </c>
      <c r="FE84" s="433">
        <f t="shared" si="91"/>
        <v>0.3090996168582375</v>
      </c>
      <c r="FF84" s="213">
        <f t="shared" si="92"/>
        <v>0.1030332056194125</v>
      </c>
      <c r="FG84" s="15"/>
      <c r="FH84" s="37">
        <f t="shared" si="46"/>
        <v>58</v>
      </c>
    </row>
    <row r="85" spans="2:164" ht="17" thickBot="1" x14ac:dyDescent="0.25">
      <c r="B85" s="258" t="s">
        <v>147</v>
      </c>
      <c r="C85" s="259" t="s">
        <v>148</v>
      </c>
      <c r="D85" s="299"/>
      <c r="E85" s="300"/>
      <c r="F85" s="285"/>
      <c r="G85" s="285"/>
      <c r="H85" s="285"/>
      <c r="I85" s="285">
        <f>SUM(E85:F85)+IF(E85="B",1,0)*E$102+IF(F85="B",1,0)*F$102+IF(E85="Løype",1)*$O$4+IF(F85="Løype",1)*$O$4+IF(E85="Arr",1)*$O$5+IF(F85="Arr",1)*$O$5</f>
        <v>0</v>
      </c>
      <c r="J85" s="301"/>
      <c r="K85" s="301"/>
      <c r="L85" s="301"/>
      <c r="M85" s="301"/>
      <c r="N85" s="285">
        <f>SUM(J85:K85)+IF(J85="B",1,0)*J$102+IF(K85="B",1,0)*K$102+IF(J85="Løype",1)*$O$4+IF(K85="Løype",1)*$O$4+IF(J85="Arr",1)*$O$5+IF(K85="Arr",1)*$O$5</f>
        <v>0</v>
      </c>
      <c r="O85" s="303"/>
      <c r="P85" s="302"/>
      <c r="Q85" s="301"/>
      <c r="R85" s="301"/>
      <c r="S85" s="285">
        <f>SUM(O85:P85)+IF(O85="B",1,0)*O$102+IF(P85="B",1,0)*P$102+IF(O85="Løype",1)*$O$4+IF(P85="Løype",1)*$O$4+IF(O85="Arr",1)*$O$5+IF(P85="Arr",1)*$O$5</f>
        <v>0</v>
      </c>
      <c r="T85" s="303"/>
      <c r="U85" s="302"/>
      <c r="V85" s="301"/>
      <c r="W85" s="301"/>
      <c r="X85" s="285">
        <f>SUM(T85:U85)+IF(T85="B",1,0)*T$102+IF(U85="B",1,0)*U$102+IF(T85="Løype",1)*$O$4+IF(U85="Løype",1)*$O$4+IF(T85="Arr",1)*$O$5+IF(U85="Arr",1)*$O$5</f>
        <v>0</v>
      </c>
      <c r="Y85" s="303"/>
      <c r="Z85" s="287"/>
      <c r="AA85" s="301"/>
      <c r="AB85" s="301"/>
      <c r="AC85" s="285">
        <f>SUM(Y85:Z85)+IF(Y85="B",1,0)*Y$102+IF(Z85="B",1,0)*Z$102+IF(Y85="Løype",1)*$O$4+IF(Z85="Løype",1)*$O$4+IF(Y85="Arr",1)*$O$5+IF(Z85="Arr",1)*$O$5</f>
        <v>0</v>
      </c>
      <c r="AD85" s="303"/>
      <c r="AE85" s="287"/>
      <c r="AF85" s="301"/>
      <c r="AG85" s="301"/>
      <c r="AH85" s="285">
        <f>SUM(AD85:AE85)+IF(AD85="B",1,0)*AD$102+IF(AE85="B",1,0)*AE$102+IF(AD85="Løype",1)*$O$4+IF(AE85="Løype",1)*$O$4+IF(AD85="Arr",1)*$O$5+IF(AE85="Arr",1)*$O$5</f>
        <v>0</v>
      </c>
      <c r="AI85" s="260"/>
      <c r="AJ85" s="257"/>
      <c r="AK85" s="301"/>
      <c r="AL85" s="301"/>
      <c r="AM85" s="285">
        <f>SUM(AI85:AJ85)+IF(AI85="B",1,0)*AI$102+IF(AJ85="B",1,0)*AJ$102+IF(AI85="Løype",1)*$O$4+IF(AJ85="Løype",1)*$O$4+IF(AI85="Arr",1)*$O$5+IF(AJ85="Arr",1)*$O$5</f>
        <v>0</v>
      </c>
      <c r="AN85" s="260"/>
      <c r="AO85" s="257"/>
      <c r="AP85" s="301"/>
      <c r="AQ85" s="301"/>
      <c r="AR85" s="285">
        <f>SUM(AN85:AO85)+IF(AN85="B",1,0)*AN$102+IF(AO85="B",1,0)*AO$102+IF(AN85="Løype",1)*$O$4+IF(AO85="Løype",1)*$O$4+IF(AN85="Arr",1)*$O$5+IF(AO85="Arr",1)*$O$5</f>
        <v>0</v>
      </c>
      <c r="AS85" s="260"/>
      <c r="AT85" s="257"/>
      <c r="AU85" s="301"/>
      <c r="AV85" s="301"/>
      <c r="AW85" s="285">
        <f>SUM(AS85:AT85)+IF(AS85="B",1,0)*AS$102+IF(AT85="B",1,0)*AT$102+IF(AS85="Løype",1)*$O$4+IF(AT85="Løype",1)*$O$4+IF(AS85="Arr",1)*$O$5+IF(AT85="Arr",1)*$O$5</f>
        <v>0</v>
      </c>
      <c r="AX85" s="260"/>
      <c r="AY85" s="257"/>
      <c r="AZ85" s="301"/>
      <c r="BA85" s="301"/>
      <c r="BB85" s="285">
        <f>SUM(AX85:AY85)+IF(AX85="B",1,0)*AX$102+IF(AY85="B",1,0)*AY$102+IF(AX85="Løype",1)*$O$4+IF(AY85="Løype",1)*$O$4+IF(AX85="Arr",1)*$O$5+IF(AY85="Arr",1)*$O$5</f>
        <v>0</v>
      </c>
      <c r="BC85" s="260"/>
      <c r="BD85" s="257"/>
      <c r="BE85" s="287"/>
      <c r="BF85" s="301"/>
      <c r="BG85" s="285">
        <f>SUM(BC85:BD85)+IF(BC85="B",1,0)*BC$102+IF(BD85="B",1,0)*BD$102+IF(BC85="Løype",1)*$O$4+IF(BD85="Løype",1)*$O$4+IF(BC85="Arr",1)*$O$5+IF(BD85="Arr",1)*$O$5</f>
        <v>0</v>
      </c>
      <c r="BH85" s="298"/>
      <c r="BI85" s="257"/>
      <c r="BJ85" s="287"/>
      <c r="BK85" s="301"/>
      <c r="BL85" s="285">
        <f>SUM(BH85:BI85)+IF(BH85="B",1,0)*BH$102+IF(BI85="B",1,0)*BI$102+IF(BH85="Løype",1)*$O$4+IF(BI85="Løype",1)*$O$4+IF(BH85="Arr",1)*$O$5+IF(BI85="Arr",1)*$O$5</f>
        <v>0</v>
      </c>
      <c r="BM85" s="305"/>
      <c r="BN85" s="257"/>
      <c r="BO85" s="287"/>
      <c r="BP85" s="301"/>
      <c r="BQ85" s="285">
        <f>SUM(BM85:BN85)+IF(BM85="B",1,0)*BM$102+IF(BN85="B",1,0)*BN$102+IF(BM85="Løype",1)*$O$4+IF(BN85="Løype",1)*$O$4+IF(BM85="Arr",1)*$O$5+IF(BN85="Arr",1)*$O$5</f>
        <v>0</v>
      </c>
      <c r="BR85" s="298"/>
      <c r="BS85" s="257"/>
      <c r="BT85" s="287"/>
      <c r="BU85" s="301"/>
      <c r="BV85" s="285">
        <f>SUM(BR85:BS85)+IF(BR85="B",1,0)*BR$102+IF(BS85="B",1,0)*BS$102+IF(BR85="Løype",1)*$O$4+IF(BS85="Løype",1)*$O$4+IF(BR85="Arr",1)*$O$5+IF(BS85="Arr",1)*$O$5</f>
        <v>0</v>
      </c>
      <c r="BW85" s="298"/>
      <c r="BX85" s="257"/>
      <c r="BY85" s="287"/>
      <c r="BZ85" s="301"/>
      <c r="CA85" s="285">
        <f>SUM(BW85:BX85)+IF(BW85="B",1,0)*BW$102+IF(BX85="B",1,0)*BX$102+IF(BW85="Løype",1)*$O$4+IF(BX85="Løype",1)*$O$4+IF(BW85="Arr",1)*$O$5+IF(BX85="Arr",1)*$O$5</f>
        <v>0</v>
      </c>
      <c r="CB85" s="298"/>
      <c r="CC85" s="257"/>
      <c r="CD85" s="287"/>
      <c r="CE85" s="301"/>
      <c r="CF85" s="285">
        <f>SUM(CB85:CC85)+IF(CB85="B",1,0)*CB$102+IF(CC85="B",1,0)*CC$102+IF(CB85="Løype",1)*$O$4+IF(CC85="Løype",1)*$O$4+IF(CB85="Arr",1)*$O$5+IF(CC85="Arr",1)*$O$5</f>
        <v>0</v>
      </c>
      <c r="CG85" s="298"/>
      <c r="CH85" s="257"/>
      <c r="CI85" s="287"/>
      <c r="CJ85" s="301"/>
      <c r="CK85" s="285">
        <f>SUM(CG85:CH85)+IF(CG85="B",1,0)*CG$102+IF(CH85="B",1,0)*CH$102+IF(CG85="Løype",1)*$O$4+IF(CH85="Løype",1)*$O$4+IF(CG85="Arr",1)*$O$5+IF(CH85="Arr",1)*$O$5</f>
        <v>0</v>
      </c>
      <c r="CL85" s="298"/>
      <c r="CM85" s="257"/>
      <c r="CN85" s="287"/>
      <c r="CO85" s="301"/>
      <c r="CP85" s="285">
        <f>SUM(CL85:CM85)+IF(CL85="B",1,0)*CL$102+IF(CM85="B",1,0)*CM$102+IF(CL85="Løype",1)*$O$4+IF(CM85="Løype",1)*$O$4+IF(CL85="Arr",1)*$O$5+IF(CM85="Arr",1)*$O$5</f>
        <v>0</v>
      </c>
      <c r="CQ85" s="298"/>
      <c r="CR85" s="257"/>
      <c r="CS85" s="287"/>
      <c r="CT85" s="301"/>
      <c r="CU85" s="285">
        <f>SUM(CQ85:CR85)+IF(CQ85="B",1,0)*CQ$102+IF(CR85="B",1,0)*CR$102+IF(CQ85="Løype",1)*$O$4+IF(CR85="Løype",1)*$O$4+IF(CQ85="Arr",1)*$O$5+IF(CR85="Arr",1)*$O$5</f>
        <v>0</v>
      </c>
      <c r="CV85" s="298"/>
      <c r="CW85" s="257"/>
      <c r="CX85" s="287"/>
      <c r="CY85" s="301"/>
      <c r="CZ85" s="285">
        <f>SUM(CV85:CW85)+IF(CV85="B",1,0)*CV$102+IF(CW85="B",1,0)*CW$102+IF(CV85="Løype",1)*$O$4+IF(CW85="Løype",1)*$O$4+IF(CV85="Arr",1)*$O$5+IF(CW85="Arr",1)*$O$5</f>
        <v>0</v>
      </c>
      <c r="DA85" s="298"/>
      <c r="DB85" s="257"/>
      <c r="DC85" s="287"/>
      <c r="DD85" s="301"/>
      <c r="DE85" s="285">
        <f>SUM(DA85:DB85)+IF(DA85="B",1,0)*DA$102+IF(DB85="B",1,0)*DB$102+IF(DA85="Løype",1)*$O$4+IF(DB85="Løype",1)*$O$4+IF(DA85="Arr",1)*$O$5+IF(DB85="Arr",1)*$O$5</f>
        <v>0</v>
      </c>
      <c r="DF85" s="298"/>
      <c r="DG85" s="257"/>
      <c r="DH85" s="287"/>
      <c r="DI85" s="301"/>
      <c r="DJ85" s="285">
        <f t="shared" si="68"/>
        <v>0</v>
      </c>
      <c r="DK85" s="298"/>
      <c r="DL85" s="257"/>
      <c r="DM85" s="287"/>
      <c r="DN85" s="301"/>
      <c r="DO85" s="285">
        <f t="shared" si="69"/>
        <v>0</v>
      </c>
      <c r="DP85" s="298"/>
      <c r="DQ85" s="257"/>
      <c r="DR85" s="287"/>
      <c r="DS85" s="301"/>
      <c r="DT85" s="285">
        <f t="shared" si="70"/>
        <v>0</v>
      </c>
      <c r="DU85" s="298"/>
      <c r="DV85" s="257">
        <v>15</v>
      </c>
      <c r="DW85" s="461">
        <v>0.56060606060606055</v>
      </c>
      <c r="DX85" s="463">
        <v>0.16666666666666663</v>
      </c>
      <c r="DY85" s="285">
        <f t="shared" si="71"/>
        <v>15</v>
      </c>
      <c r="DZ85" s="475"/>
      <c r="EA85" s="456">
        <v>8</v>
      </c>
      <c r="EB85" s="461">
        <v>0.83333333333333337</v>
      </c>
      <c r="EC85" s="463">
        <v>0.6333333333333333</v>
      </c>
      <c r="ED85" s="285">
        <f t="shared" si="72"/>
        <v>8</v>
      </c>
      <c r="EE85" s="475"/>
      <c r="EF85" s="456">
        <v>16</v>
      </c>
      <c r="EG85" s="461">
        <v>0.60256410256410264</v>
      </c>
      <c r="EH85" s="463">
        <v>0.34615384615384615</v>
      </c>
      <c r="EI85" s="285">
        <f t="shared" si="73"/>
        <v>16</v>
      </c>
      <c r="EJ85" s="467">
        <f t="shared" si="74"/>
        <v>3</v>
      </c>
      <c r="EK85" s="522">
        <f t="shared" si="75"/>
        <v>3</v>
      </c>
      <c r="EL85" s="267">
        <f t="shared" si="76"/>
        <v>3</v>
      </c>
      <c r="EM85" s="267">
        <f t="shared" si="77"/>
        <v>0</v>
      </c>
      <c r="EN85" s="516">
        <f t="shared" si="78"/>
        <v>0</v>
      </c>
      <c r="EO85" s="273">
        <f t="shared" si="79"/>
        <v>3</v>
      </c>
      <c r="EP85" s="15"/>
      <c r="EQ85" s="61">
        <f t="shared" si="80"/>
        <v>39</v>
      </c>
      <c r="ER85" s="187">
        <f>IF(OR($E85="B",$F85="B"),0,$I85)+IF(OR($J85="B",$K85="B"),0,$N85)+IF(OR($O85="B",$P85="B"),0,$S85)+IF(OR($T85="B",$U85="B"),0,$X85)+IF(OR($Y85="B",$Z85="B"),0,$AC85)+IF(OR($AD85="B",$AE85="B"),0,$AH85)+IF(OR($AI85="B",$AJ85="B"),0,$AM85)+IF(OR($HP64="B",$AO85="B"),0,$AR85)+IF(OR($AS85="B",$AT85="B"),0,$AW85)+IF(OR($AX85="B",$AY85="B"),0,$BB85)+IF(OR($BC85="B",$BD85="B"),0,$BG85)+IF(OR($BH85="B",$BI85="B"),0,$BL85)+IF(OR($BM85="B",$BN85="B"),0,$BQ85)+IF(OR($BR85="B",$BS85="B"),0,$BV85)+IF(OR($BW85="B",$BX85="B"),0,$CA85)+IF(OR($CB85="B",$CC85="B"),0,$CF85)+IF(OR($CG85="B",$CH85="B"),0,$CK85)+IF(OR($CL85="B",$CM85="B"),0,$CP85)+IF(OR($CQ85="B",$CR85="B"),0,$CU85)+IF(OR($CV85="B",$CW85="B"),0,$CZ85)+IF(OR($DA85="B",$DB85="B"),0,$DE85)+IF(OR($DF85="B",$DG85="B"),0,$DJ85)+IF(OR($DK85="B",$DL85="B"),0,$DO85)+IF(OR($DP85="B",$DQ85="B"),0,$DT85)+IF(OR($DU85="B",$DV85="B"),0,$DY85)+IF(OR($DZ85="B",$EA85="B"),0,$ED85)+IF(OR($EE85="B",$EF85="B"),0,$EI85)</f>
        <v>39</v>
      </c>
      <c r="ES85" s="28">
        <f t="shared" si="81"/>
        <v>13</v>
      </c>
      <c r="ET85" s="62">
        <f t="shared" si="82"/>
        <v>13</v>
      </c>
      <c r="EU85" s="63"/>
      <c r="EV85" s="247">
        <f t="shared" si="83"/>
        <v>63</v>
      </c>
      <c r="EW85" s="249">
        <f t="shared" si="84"/>
        <v>63</v>
      </c>
      <c r="EX85" s="23">
        <f t="shared" si="85"/>
        <v>21</v>
      </c>
      <c r="EY85" s="74">
        <f t="shared" si="86"/>
        <v>21</v>
      </c>
      <c r="EZ85" s="63"/>
      <c r="FA85" s="336">
        <f t="shared" si="87"/>
        <v>3</v>
      </c>
      <c r="FB85" s="337">
        <f t="shared" si="88"/>
        <v>0</v>
      </c>
      <c r="FC85" s="333">
        <f t="shared" si="89"/>
        <v>1.9965034965034967</v>
      </c>
      <c r="FD85" s="420">
        <f t="shared" si="90"/>
        <v>0.66550116550116556</v>
      </c>
      <c r="FE85" s="433">
        <f t="shared" si="91"/>
        <v>1.1461538461538461</v>
      </c>
      <c r="FF85" s="213">
        <f t="shared" si="92"/>
        <v>0.38205128205128203</v>
      </c>
      <c r="FG85" s="15"/>
      <c r="FH85" s="37">
        <f t="shared" si="46"/>
        <v>59</v>
      </c>
    </row>
    <row r="86" spans="2:164" ht="17" thickBot="1" x14ac:dyDescent="0.25">
      <c r="B86" s="459" t="s">
        <v>64</v>
      </c>
      <c r="C86" s="460" t="s">
        <v>267</v>
      </c>
      <c r="D86" s="299"/>
      <c r="E86" s="300"/>
      <c r="F86" s="285"/>
      <c r="G86" s="285"/>
      <c r="H86" s="285"/>
      <c r="I86" s="285"/>
      <c r="J86" s="301"/>
      <c r="K86" s="301"/>
      <c r="L86" s="301"/>
      <c r="M86" s="301"/>
      <c r="N86" s="285"/>
      <c r="O86" s="303"/>
      <c r="P86" s="302"/>
      <c r="Q86" s="301"/>
      <c r="R86" s="301"/>
      <c r="S86" s="285"/>
      <c r="T86" s="303"/>
      <c r="U86" s="302"/>
      <c r="V86" s="301"/>
      <c r="W86" s="301"/>
      <c r="X86" s="285"/>
      <c r="Y86" s="163"/>
      <c r="Z86" s="287"/>
      <c r="AA86" s="253"/>
      <c r="AB86" s="253"/>
      <c r="AC86" s="285"/>
      <c r="AD86" s="303"/>
      <c r="AE86" s="287"/>
      <c r="AF86" s="253"/>
      <c r="AG86" s="253"/>
      <c r="AH86" s="285"/>
      <c r="AI86" s="260"/>
      <c r="AJ86" s="257"/>
      <c r="AK86" s="301"/>
      <c r="AL86" s="301"/>
      <c r="AM86" s="285"/>
      <c r="AN86" s="260"/>
      <c r="AO86" s="257"/>
      <c r="AP86" s="253"/>
      <c r="AQ86" s="253"/>
      <c r="AR86" s="285"/>
      <c r="AS86" s="260"/>
      <c r="AT86" s="257"/>
      <c r="AU86" s="301"/>
      <c r="AV86" s="301"/>
      <c r="AW86" s="285"/>
      <c r="AX86" s="260"/>
      <c r="AY86" s="257"/>
      <c r="AZ86" s="253"/>
      <c r="BA86" s="253"/>
      <c r="BB86" s="285"/>
      <c r="BC86" s="260"/>
      <c r="BD86" s="257"/>
      <c r="BE86" s="287"/>
      <c r="BF86" s="301"/>
      <c r="BG86" s="285"/>
      <c r="BH86" s="298"/>
      <c r="BI86" s="257"/>
      <c r="BJ86" s="287"/>
      <c r="BK86" s="301"/>
      <c r="BL86" s="285"/>
      <c r="BM86" s="305"/>
      <c r="BN86" s="257"/>
      <c r="BO86" s="287"/>
      <c r="BP86" s="301"/>
      <c r="BQ86" s="285"/>
      <c r="BR86" s="298"/>
      <c r="BS86" s="257"/>
      <c r="BT86" s="287"/>
      <c r="BU86" s="301"/>
      <c r="BV86" s="285"/>
      <c r="BW86" s="298"/>
      <c r="BX86" s="257"/>
      <c r="BY86" s="287"/>
      <c r="BZ86" s="301"/>
      <c r="CA86" s="285"/>
      <c r="CB86" s="298"/>
      <c r="CC86" s="257"/>
      <c r="CD86" s="287"/>
      <c r="CE86" s="301"/>
      <c r="CF86" s="285"/>
      <c r="CG86" s="298"/>
      <c r="CH86" s="257"/>
      <c r="CI86" s="287"/>
      <c r="CJ86" s="301"/>
      <c r="CK86" s="285"/>
      <c r="CL86" s="298"/>
      <c r="CM86" s="257"/>
      <c r="CN86" s="287"/>
      <c r="CO86" s="301"/>
      <c r="CP86" s="285"/>
      <c r="CQ86" s="298"/>
      <c r="CR86" s="257"/>
      <c r="CS86" s="287"/>
      <c r="CT86" s="301"/>
      <c r="CU86" s="285"/>
      <c r="CV86" s="298"/>
      <c r="CW86" s="257"/>
      <c r="CX86" s="304"/>
      <c r="CY86" s="301"/>
      <c r="CZ86" s="285"/>
      <c r="DA86" s="298"/>
      <c r="DB86" s="257"/>
      <c r="DC86" s="304"/>
      <c r="DD86" s="4"/>
      <c r="DE86" s="285"/>
      <c r="DF86" s="298"/>
      <c r="DG86" s="257"/>
      <c r="DH86" s="304"/>
      <c r="DI86" s="301"/>
      <c r="DJ86" s="285"/>
      <c r="DK86" s="298"/>
      <c r="DL86" s="257"/>
      <c r="DM86" s="287"/>
      <c r="DN86" s="301"/>
      <c r="DO86" s="285"/>
      <c r="DP86" s="298"/>
      <c r="DQ86" s="257"/>
      <c r="DR86" s="287"/>
      <c r="DS86" s="301"/>
      <c r="DT86" s="285"/>
      <c r="DU86" s="298"/>
      <c r="DV86" s="257"/>
      <c r="DW86" s="287"/>
      <c r="DX86" s="301"/>
      <c r="DY86" s="285"/>
      <c r="DZ86" s="475"/>
      <c r="EA86" s="456" t="s">
        <v>2</v>
      </c>
      <c r="EB86" s="461">
        <v>7.7777777777777724E-2</v>
      </c>
      <c r="EC86" s="463">
        <v>7.7777777777777724E-2</v>
      </c>
      <c r="ED86" s="285">
        <v>31</v>
      </c>
      <c r="EE86" s="475"/>
      <c r="EF86" s="456"/>
      <c r="EG86" s="461"/>
      <c r="EH86" s="463"/>
      <c r="EI86" s="285">
        <f t="shared" si="73"/>
        <v>0</v>
      </c>
      <c r="EJ86" s="467">
        <f t="shared" si="74"/>
        <v>1</v>
      </c>
      <c r="EK86" s="522">
        <f t="shared" si="75"/>
        <v>1</v>
      </c>
      <c r="EL86" s="267">
        <f t="shared" si="76"/>
        <v>0</v>
      </c>
      <c r="EM86" s="267">
        <f t="shared" si="77"/>
        <v>0</v>
      </c>
      <c r="EN86" s="516">
        <f t="shared" si="78"/>
        <v>0</v>
      </c>
      <c r="EO86" s="273">
        <f t="shared" si="79"/>
        <v>1</v>
      </c>
      <c r="EP86" s="15"/>
      <c r="EQ86" s="61">
        <f t="shared" si="80"/>
        <v>31</v>
      </c>
      <c r="ER86" s="187">
        <f>IF(OR($E86="B",$F86="B"),0,$I86)+IF(OR($J86="B",$K86="B"),0,$N86)+IF(OR($O86="B",$P86="B"),0,$S86)+IF(OR($T86="B",$U86="B"),0,$X86)+IF(OR($Y86="B",$Z86="B"),0,$AC86)+IF(OR($AD86="B",$AE86="B"),0,$AH86)+IF(OR($AI86="B",$AJ86="B"),0,$AM86)+IF(OR($HP65="B",$AO86="B"),0,$AR86)+IF(OR($AS86="B",$AT86="B"),0,$AW86)+IF(OR($AX86="B",$AY86="B"),0,$BB86)+IF(OR($BC86="B",$BD86="B"),0,$BG86)+IF(OR($BH86="B",$BI86="B"),0,$BL86)+IF(OR($BM86="B",$BN86="B"),0,$BQ86)+IF(OR($BR86="B",$BS86="B"),0,$BV86)+IF(OR($BW86="B",$BX86="B"),0,$CA86)+IF(OR($CB86="B",$CC86="B"),0,$CF86)+IF(OR($CG86="B",$CH86="B"),0,$CK86)+IF(OR($CL86="B",$CM86="B"),0,$CP86)+IF(OR($CQ86="B",$CR86="B"),0,$CU86)+IF(OR($CV86="B",$CW86="B"),0,$CZ86)+IF(OR($DA86="B",$DB86="B"),0,$DE86)+IF(OR($DF86="B",$DG86="B"),0,$DJ86)+IF(OR($DK86="B",$DL86="B"),0,$DO86)+IF(OR($DP86="B",$DQ86="B"),0,$DT86)+IF(OR($DU86="B",$DV86="B"),0,$DY86)+IF(OR($DZ86="B",$EA86="B"),0,$ED86)+IF(OR($EE86="B",$EF86="B"),0,$EI86)</f>
        <v>0</v>
      </c>
      <c r="ES86" s="28">
        <f t="shared" si="81"/>
        <v>31</v>
      </c>
      <c r="ET86" s="62" t="str">
        <f t="shared" si="82"/>
        <v xml:space="preserve"> </v>
      </c>
      <c r="EU86" s="63"/>
      <c r="EV86" s="247">
        <f t="shared" si="83"/>
        <v>57</v>
      </c>
      <c r="EW86" s="249">
        <f t="shared" si="84"/>
        <v>27</v>
      </c>
      <c r="EX86" s="23">
        <f t="shared" si="85"/>
        <v>57</v>
      </c>
      <c r="EY86" s="74" t="str">
        <f t="shared" si="86"/>
        <v xml:space="preserve"> </v>
      </c>
      <c r="EZ86" s="63"/>
      <c r="FA86" s="336">
        <f t="shared" si="87"/>
        <v>1</v>
      </c>
      <c r="FB86" s="337">
        <f t="shared" si="88"/>
        <v>0</v>
      </c>
      <c r="FC86" s="333">
        <f t="shared" si="89"/>
        <v>7.7777777777777724E-2</v>
      </c>
      <c r="FD86" s="420">
        <f t="shared" si="90"/>
        <v>7.7777777777777724E-2</v>
      </c>
      <c r="FE86" s="433">
        <f t="shared" si="91"/>
        <v>7.7777777777777724E-2</v>
      </c>
      <c r="FF86" s="213">
        <f t="shared" si="92"/>
        <v>7.7777777777777724E-2</v>
      </c>
      <c r="FG86" s="15"/>
      <c r="FH86" s="37">
        <f t="shared" si="46"/>
        <v>60</v>
      </c>
    </row>
    <row r="87" spans="2:164" ht="15" customHeight="1" thickBot="1" x14ac:dyDescent="0.25">
      <c r="B87" s="258" t="s">
        <v>74</v>
      </c>
      <c r="C87" s="259" t="s">
        <v>75</v>
      </c>
      <c r="D87" s="299">
        <v>269212</v>
      </c>
      <c r="E87" s="300"/>
      <c r="F87" s="285"/>
      <c r="G87" s="285"/>
      <c r="H87" s="285"/>
      <c r="I87" s="285">
        <f>SUM(E87:F87)+IF(E87="B",1,0)*E$102+IF(F87="B",1,0)*F$102+IF(E87="Løype",1)*$O$4+IF(F87="Løype",1)*$O$4+IF(E87="Arr",1)*$O$5+IF(F87="Arr",1)*$O$5</f>
        <v>0</v>
      </c>
      <c r="J87" s="301"/>
      <c r="K87" s="301">
        <v>15</v>
      </c>
      <c r="L87" s="253">
        <v>0.05</v>
      </c>
      <c r="M87" s="253">
        <v>0.10416666666666663</v>
      </c>
      <c r="N87" s="285">
        <f>SUM(J87:K87)+IF(J87="B",1,0)*J$102+IF(K87="B",1,0)*K$102+IF(J87="Løype",1)*$O$4+IF(K87="Løype",1)*$O$4+IF(J87="Arr",1)*$O$5+IF(K87="Arr",1)*$O$5</f>
        <v>15</v>
      </c>
      <c r="O87" s="303"/>
      <c r="P87" s="302"/>
      <c r="Q87" s="301"/>
      <c r="R87" s="301"/>
      <c r="S87" s="285">
        <f>SUM(O87:P87)+IF(O87="B",1,0)*O$102+IF(P87="B",1,0)*P$102+IF(O87="Løype",1)*$O$4+IF(P87="Løype",1)*$O$4+IF(O87="Arr",1)*$O$5+IF(P87="Arr",1)*$O$5</f>
        <v>0</v>
      </c>
      <c r="T87" s="303"/>
      <c r="U87" s="302"/>
      <c r="V87" s="301"/>
      <c r="W87" s="301"/>
      <c r="X87" s="285">
        <f>SUM(T87:U87)+IF(T87="B",1,0)*T$102+IF(U87="B",1,0)*U$102+IF(T87="Løype",1)*$O$4+IF(U87="Løype",1)*$O$4+IF(T87="Arr",1)*$O$5+IF(U87="Arr",1)*$O$5</f>
        <v>0</v>
      </c>
      <c r="Y87" s="303"/>
      <c r="Z87" s="287"/>
      <c r="AA87" s="301"/>
      <c r="AB87" s="301"/>
      <c r="AC87" s="285">
        <f>SUM(Y87:Z87)+IF(Y87="B",1,0)*Y$102+IF(Z87="B",1,0)*Z$102+IF(Y87="Løype",1)*$O$4+IF(Z87="Løype",1)*$O$4+IF(Y87="Arr",1)*$O$5+IF(Z87="Arr",1)*$O$5</f>
        <v>0</v>
      </c>
      <c r="AD87" s="303"/>
      <c r="AE87" s="287"/>
      <c r="AF87" s="253"/>
      <c r="AG87" s="253"/>
      <c r="AH87" s="285">
        <f>SUM(AD87:AE87)+IF(AD87="B",1,0)*AD$102+IF(AE87="B",1,0)*AE$102+IF(AD87="Løype",1)*$O$4+IF(AE87="Løype",1)*$O$4+IF(AD87="Arr",1)*$O$5+IF(AE87="Arr",1)*$O$5</f>
        <v>0</v>
      </c>
      <c r="AI87" s="260"/>
      <c r="AJ87" s="257"/>
      <c r="AK87" s="301"/>
      <c r="AL87" s="301"/>
      <c r="AM87" s="285">
        <f>SUM(AI87:AJ87)+IF(AI87="B",1,0)*AI$102+IF(AJ87="B",1,0)*AJ$102+IF(AI87="Løype",1)*$O$4+IF(AJ87="Løype",1)*$O$4+IF(AI87="Arr",1)*$O$5+IF(AJ87="Arr",1)*$O$5</f>
        <v>0</v>
      </c>
      <c r="AN87" s="260"/>
      <c r="AO87" s="257"/>
      <c r="AP87" s="253"/>
      <c r="AQ87" s="253"/>
      <c r="AR87" s="285">
        <f>SUM(AN87:AO87)+IF(AN87="B",1,0)*AN$102+IF(AO87="B",1,0)*AO$102+IF(AN87="Løype",1)*$O$4+IF(AO87="Løype",1)*$O$4+IF(AN87="Arr",1)*$O$5+IF(AO87="Arr",1)*$O$5</f>
        <v>0</v>
      </c>
      <c r="AS87" s="260"/>
      <c r="AT87" s="257"/>
      <c r="AU87" s="301"/>
      <c r="AV87" s="301"/>
      <c r="AW87" s="285">
        <f>SUM(AS87:AT87)+IF(AS87="B",1,0)*AS$102+IF(AT87="B",1,0)*AT$102+IF(AS87="Løype",1)*$O$4+IF(AT87="Løype",1)*$O$4+IF(AS87="Arr",1)*$O$5+IF(AT87="Arr",1)*$O$5</f>
        <v>0</v>
      </c>
      <c r="AX87" s="260"/>
      <c r="AY87" s="257"/>
      <c r="AZ87" s="253"/>
      <c r="BA87" s="253"/>
      <c r="BB87" s="285">
        <f>SUM(AX87:AY87)+IF(AX87="B",1,0)*AX$102+IF(AY87="B",1,0)*AY$102+IF(AX87="Løype",1)*$O$4+IF(AY87="Løype",1)*$O$4+IF(AX87="Arr",1)*$O$5+IF(AY87="Arr",1)*$O$5</f>
        <v>0</v>
      </c>
      <c r="BC87" s="260"/>
      <c r="BD87" s="257"/>
      <c r="BE87" s="287"/>
      <c r="BF87" s="301"/>
      <c r="BG87" s="285">
        <f>SUM(BC87:BD87)+IF(BC87="B",1,0)*BC$102+IF(BD87="B",1,0)*BD$102+IF(BC87="Løype",1)*$O$4+IF(BD87="Løype",1)*$O$4+IF(BC87="Arr",1)*$O$5+IF(BD87="Arr",1)*$O$5</f>
        <v>0</v>
      </c>
      <c r="BH87" s="298"/>
      <c r="BI87" s="257"/>
      <c r="BJ87" s="287"/>
      <c r="BK87" s="301"/>
      <c r="BL87" s="285">
        <f>SUM(BH87:BI87)+IF(BH87="B",1,0)*BH$102+IF(BI87="B",1,0)*BI$102+IF(BH87="Løype",1)*$O$4+IF(BI87="Løype",1)*$O$4+IF(BH87="Arr",1)*$O$5+IF(BI87="Arr",1)*$O$5</f>
        <v>0</v>
      </c>
      <c r="BM87" s="305"/>
      <c r="BN87" s="257"/>
      <c r="BO87" s="287"/>
      <c r="BP87" s="301"/>
      <c r="BQ87" s="285">
        <f>SUM(BM87:BN87)+IF(BM87="B",1,0)*BM$102+IF(BN87="B",1,0)*BN$102+IF(BM87="Løype",1)*$O$4+IF(BN87="Løype",1)*$O$4+IF(BM87="Arr",1)*$O$5+IF(BN87="Arr",1)*$O$5</f>
        <v>0</v>
      </c>
      <c r="BR87" s="298"/>
      <c r="BS87" s="257"/>
      <c r="BT87" s="287"/>
      <c r="BU87" s="301"/>
      <c r="BV87" s="285">
        <f>SUM(BR87:BS87)+IF(BR87="B",1,0)*BR$102+IF(BS87="B",1,0)*BS$102+IF(BR87="Løype",1)*$O$4+IF(BS87="Løype",1)*$O$4+IF(BR87="Arr",1)*$O$5+IF(BS87="Arr",1)*$O$5</f>
        <v>0</v>
      </c>
      <c r="BW87" s="298"/>
      <c r="BX87" s="257"/>
      <c r="BY87" s="287"/>
      <c r="BZ87" s="301"/>
      <c r="CA87" s="285">
        <f>SUM(BW87:BX87)+IF(BW87="B",1,0)*BW$102+IF(BX87="B",1,0)*BX$102+IF(BW87="Løype",1)*$O$4+IF(BX87="Løype",1)*$O$4+IF(BW87="Arr",1)*$O$5+IF(BX87="Arr",1)*$O$5</f>
        <v>0</v>
      </c>
      <c r="CB87" s="298"/>
      <c r="CC87" s="257"/>
      <c r="CD87" s="287"/>
      <c r="CE87" s="301"/>
      <c r="CF87" s="285">
        <f>SUM(CB87:CC87)+IF(CB87="B",1,0)*CB$102+IF(CC87="B",1,0)*CC$102+IF(CB87="Løype",1)*$O$4+IF(CC87="Løype",1)*$O$4+IF(CB87="Arr",1)*$O$5+IF(CC87="Arr",1)*$O$5</f>
        <v>0</v>
      </c>
      <c r="CG87" s="298"/>
      <c r="CH87" s="257"/>
      <c r="CI87" s="287"/>
      <c r="CJ87" s="301"/>
      <c r="CK87" s="285">
        <f>SUM(CG87:CH87)+IF(CG87="B",1,0)*CG$102+IF(CH87="B",1,0)*CH$102+IF(CG87="Løype",1)*$O$4+IF(CH87="Løype",1)*$O$4+IF(CG87="Arr",1)*$O$5+IF(CH87="Arr",1)*$O$5</f>
        <v>0</v>
      </c>
      <c r="CL87" s="298"/>
      <c r="CM87" s="257"/>
      <c r="CN87" s="287"/>
      <c r="CO87" s="301"/>
      <c r="CP87" s="285">
        <f>SUM(CL87:CM87)+IF(CL87="B",1,0)*CL$102+IF(CM87="B",1,0)*CM$102+IF(CL87="Løype",1)*$O$4+IF(CM87="Løype",1)*$O$4+IF(CL87="Arr",1)*$O$5+IF(CM87="Arr",1)*$O$5</f>
        <v>0</v>
      </c>
      <c r="CQ87" s="298"/>
      <c r="CR87" s="257"/>
      <c r="CS87" s="287"/>
      <c r="CT87" s="301"/>
      <c r="CU87" s="285">
        <f>SUM(CQ87:CR87)+IF(CQ87="B",1,0)*CQ$102+IF(CR87="B",1,0)*CR$102+IF(CQ87="Løype",1)*$O$4+IF(CR87="Løype",1)*$O$4+IF(CQ87="Arr",1)*$O$5+IF(CR87="Arr",1)*$O$5</f>
        <v>0</v>
      </c>
      <c r="CV87" s="298"/>
      <c r="CW87" s="257"/>
      <c r="CX87" s="304"/>
      <c r="CY87" s="301"/>
      <c r="CZ87" s="285">
        <f>SUM(CV87:CW87)+IF(CV87="B",1,0)*CV$102+IF(CW87="B",1,0)*CW$102+IF(CV87="Løype",1)*$O$4+IF(CW87="Løype",1)*$O$4+IF(CV87="Arr",1)*$O$5+IF(CW87="Arr",1)*$O$5</f>
        <v>0</v>
      </c>
      <c r="DA87" s="298"/>
      <c r="DB87" s="257"/>
      <c r="DC87" s="304"/>
      <c r="DD87" s="301"/>
      <c r="DE87" s="285">
        <f>SUM(DA87:DB87)+IF(DA87="B",1,0)*DA$102+IF(DB87="B",1,0)*DB$102+IF(DA87="Løype",1)*$O$4+IF(DB87="Løype",1)*$O$4+IF(DA87="Arr",1)*$O$5+IF(DB87="Arr",1)*$O$5</f>
        <v>0</v>
      </c>
      <c r="DF87" s="298"/>
      <c r="DG87" s="257"/>
      <c r="DH87" s="287"/>
      <c r="DI87" s="301"/>
      <c r="DJ87" s="285">
        <f>SUM(DF87:DG87)+IF(DF87="B",1,0)*DF$102+IF(DG87="B",1,0)*DG$102+IF(DF87="Løype",1)*$O$4+IF(DG87="Løype",1)*$O$4+IF(DF87="Arr",1)*$O$5+IF(DG87="Arr",1)*$O$5</f>
        <v>0</v>
      </c>
      <c r="DK87" s="298"/>
      <c r="DL87" s="257"/>
      <c r="DM87" s="287"/>
      <c r="DN87" s="301"/>
      <c r="DO87" s="285">
        <f>SUM(DK87:DL87)+IF(DK87="B",1,0)*DK$102+IF(DL87="B",1,0)*DL$102+IF(DK87="Løype",1)*$O$4+IF(DL87="Løype",1)*$O$4+IF(DK87="Arr",1)*$O$5+IF(DL87="Arr",1)*$O$5</f>
        <v>0</v>
      </c>
      <c r="DP87" s="298"/>
      <c r="DQ87" s="257"/>
      <c r="DR87" s="287"/>
      <c r="DS87" s="301"/>
      <c r="DT87" s="285">
        <f>SUM(DP87:DQ87)+IF(DP87="B",1,0)*DP$102+IF(DQ87="B",1,0)*DQ$102+IF(DP87="Løype",1)*$O$4+IF(DQ87="Løype",1)*$O$4+IF(DP87="Arr",1)*$O$5+IF(DQ87="Arr",1)*$O$5</f>
        <v>0</v>
      </c>
      <c r="DU87" s="298"/>
      <c r="DV87" s="257"/>
      <c r="DW87" s="287"/>
      <c r="DX87" s="301"/>
      <c r="DY87" s="285">
        <f>SUM(DU87:DV87)+IF(DU87="B",1,0)*DU$102+IF(DV87="B",1,0)*DV$102+IF(DU87="Løype",1)*$O$4+IF(DV87="Løype",1)*$O$4+IF(DU87="Arr",1)*$O$5+IF(DV87="Arr",1)*$O$5</f>
        <v>0</v>
      </c>
      <c r="DZ87" s="475"/>
      <c r="EA87" s="456"/>
      <c r="EB87" s="43"/>
      <c r="EC87" s="191"/>
      <c r="ED87" s="285">
        <f>SUM(DZ87:EA87)+IF(DZ87="B",1,0)*DZ$102+IF(EA87="B",1,0)*EA$102+IF(DZ87="Løype",1)*$O$4+IF(EA87="Løype",1)*$O$4+IF(DZ87="Arr",1)*$O$5+IF(EA87="Arr",1)*$O$5</f>
        <v>0</v>
      </c>
      <c r="EE87" s="475"/>
      <c r="EF87" s="456"/>
      <c r="EG87" s="43"/>
      <c r="EH87" s="191"/>
      <c r="EI87" s="285">
        <f t="shared" si="73"/>
        <v>0</v>
      </c>
      <c r="EJ87" s="467">
        <f t="shared" si="74"/>
        <v>1</v>
      </c>
      <c r="EK87" s="522">
        <f t="shared" si="75"/>
        <v>0</v>
      </c>
      <c r="EL87" s="267">
        <f t="shared" si="76"/>
        <v>1</v>
      </c>
      <c r="EM87" s="267">
        <f t="shared" si="77"/>
        <v>0</v>
      </c>
      <c r="EN87" s="516">
        <f t="shared" si="78"/>
        <v>0</v>
      </c>
      <c r="EO87" s="273">
        <f t="shared" si="79"/>
        <v>0</v>
      </c>
      <c r="EP87" s="15"/>
      <c r="EQ87" s="61">
        <f t="shared" si="80"/>
        <v>15</v>
      </c>
      <c r="ER87" s="187">
        <f>IF(OR($E87="B",$F87="B"),0,$I87)+IF(OR($J87="B",$K87="B"),0,$N87)+IF(OR($O87="B",$P87="B"),0,$S87)+IF(OR($T87="B",$U87="B"),0,$X87)+IF(OR($Y87="B",$Z87="B"),0,$AC87)+IF(OR($AD87="B",$AE87="B"),0,$AH87)+IF(OR($AI87="B",$AJ87="B"),0,$AM87)+IF(OR($HP66="B",$AO87="B"),0,$AR87)+IF(OR($AS87="B",$AT87="B"),0,$AW87)+IF(OR($AX87="B",$AY87="B"),0,$BB87)+IF(OR($BC87="B",$BD87="B"),0,$BG87)+IF(OR($BH87="B",$BI87="B"),0,$BL87)+IF(OR($BM87="B",$BN87="B"),0,$BQ87)+IF(OR($BR87="B",$BS87="B"),0,$BV87)+IF(OR($BW87="B",$BX87="B"),0,$CA87)+IF(OR($CB87="B",$CC87="B"),0,$CF87)+IF(OR($CG87="B",$CH87="B"),0,$CK87)+IF(OR($CL87="B",$CM87="B"),0,$CP87)+IF(OR($CQ87="B",$CR87="B"),0,$CU87)+IF(OR($CV87="B",$CW87="B"),0,$CZ87)+IF(OR($DA87="B",$DB87="B"),0,$DE87)+IF(OR($DF87="B",$DG87="B"),0,$DJ87)+IF(OR($DK87="B",$DL87="B"),0,$DO87)+IF(OR($DP87="B",$DQ87="B"),0,$DT87)+IF(OR($DU87="B",$DV87="B"),0,$DY87)+IF(OR($DZ87="B",$EA87="B"),0,$ED87)+IF(OR($EE87="B",$EF87="B"),0,$EI87)</f>
        <v>15</v>
      </c>
      <c r="ES87" s="28">
        <f t="shared" si="81"/>
        <v>15</v>
      </c>
      <c r="ET87" s="62">
        <f t="shared" si="82"/>
        <v>15</v>
      </c>
      <c r="EU87" s="63"/>
      <c r="EV87" s="247">
        <f t="shared" si="83"/>
        <v>41</v>
      </c>
      <c r="EW87" s="249">
        <f t="shared" si="84"/>
        <v>41</v>
      </c>
      <c r="EX87" s="23">
        <f t="shared" si="85"/>
        <v>41</v>
      </c>
      <c r="EY87" s="74">
        <f t="shared" si="86"/>
        <v>41</v>
      </c>
      <c r="EZ87" s="63"/>
      <c r="FA87" s="336">
        <f t="shared" si="87"/>
        <v>1</v>
      </c>
      <c r="FB87" s="337">
        <f t="shared" si="88"/>
        <v>0</v>
      </c>
      <c r="FC87" s="333">
        <f t="shared" si="89"/>
        <v>0.05</v>
      </c>
      <c r="FD87" s="420">
        <f t="shared" si="90"/>
        <v>0.05</v>
      </c>
      <c r="FE87" s="433">
        <f t="shared" si="91"/>
        <v>0.10416666666666663</v>
      </c>
      <c r="FF87" s="213">
        <f t="shared" si="92"/>
        <v>0.10416666666666663</v>
      </c>
      <c r="FG87" s="15"/>
      <c r="FH87" s="37">
        <f t="shared" si="46"/>
        <v>61</v>
      </c>
    </row>
    <row r="88" spans="2:164" ht="15" customHeight="1" thickBot="1" x14ac:dyDescent="0.25">
      <c r="B88" s="307" t="s">
        <v>217</v>
      </c>
      <c r="C88" s="308" t="s">
        <v>77</v>
      </c>
      <c r="D88" s="309">
        <v>527371</v>
      </c>
      <c r="E88" s="298"/>
      <c r="F88" s="310"/>
      <c r="G88" s="285"/>
      <c r="H88" s="285"/>
      <c r="I88" s="285">
        <f>SUM(E88:F88)+IF(E88="B",1,0)*E$102+IF(F88="B",1,0)*F$102+IF(E88="Løype",1)*$O$4+IF(F88="Løype",1)*$O$4+IF(E88="Arr",1)*$O$5+IF(F88="Arr",1)*$O$5</f>
        <v>0</v>
      </c>
      <c r="J88" s="311"/>
      <c r="K88" s="311"/>
      <c r="L88" s="301"/>
      <c r="M88" s="301"/>
      <c r="N88" s="285">
        <f>SUM(J88:K88)+IF(J88="B",1,0)*J$102+IF(K88="B",1,0)*K$102+IF(J88="Løype",1)*$O$4+IF(K88="Løype",1)*$O$4+IF(J88="Arr",1)*$O$5+IF(K88="Arr",1)*$O$5</f>
        <v>0</v>
      </c>
      <c r="O88" s="260"/>
      <c r="P88" s="312"/>
      <c r="Q88" s="301"/>
      <c r="R88" s="301"/>
      <c r="S88" s="285">
        <f>SUM(O88:P88)+IF(O88="B",1,0)*O$102+IF(P88="B",1,0)*P$102+IF(O88="Løype",1)*$O$4+IF(P88="Løype",1)*$O$4+IF(O88="Arr",1)*$O$5+IF(P88="Arr",1)*$O$5</f>
        <v>0</v>
      </c>
      <c r="T88" s="260"/>
      <c r="U88" s="312"/>
      <c r="V88" s="301"/>
      <c r="W88" s="301"/>
      <c r="X88" s="285">
        <f>SUM(T88:U88)+IF(T88="B",1,0)*T$102+IF(U88="B",1,0)*U$102+IF(T88="Løype",1)*$O$4+IF(U88="Løype",1)*$O$4+IF(T88="Arr",1)*$O$5+IF(U88="Arr",1)*$O$5</f>
        <v>0</v>
      </c>
      <c r="Y88" s="260"/>
      <c r="Z88" s="257"/>
      <c r="AA88" s="301"/>
      <c r="AB88" s="301"/>
      <c r="AC88" s="285">
        <f>SUM(Y88:Z88)+IF(Y88="B",1,0)*Y$102+IF(Z88="B",1,0)*Z$102+IF(Y88="Løype",1)*$O$4+IF(Z88="Løype",1)*$O$4+IF(Y88="Arr",1)*$O$5+IF(Z88="Arr",1)*$O$5</f>
        <v>0</v>
      </c>
      <c r="AD88" s="260"/>
      <c r="AE88" s="257"/>
      <c r="AF88" s="301"/>
      <c r="AG88" s="301"/>
      <c r="AH88" s="285">
        <f>SUM(AD88:AE88)+IF(AD88="B",1,0)*AD$102+IF(AE88="B",1,0)*AE$102+IF(AD88="Løype",1)*$O$4+IF(AE88="Løype",1)*$O$4+IF(AD88="Arr",1)*$O$5+IF(AE88="Arr",1)*$O$5</f>
        <v>0</v>
      </c>
      <c r="AI88" s="260"/>
      <c r="AJ88" s="257"/>
      <c r="AK88" s="301"/>
      <c r="AL88" s="301"/>
      <c r="AM88" s="285">
        <f>SUM(AI88:AJ88)+IF(AI88="B",1,0)*AI$102+IF(AJ88="B",1,0)*AJ$102+IF(AI88="Løype",1)*$O$4+IF(AJ88="Løype",1)*$O$4+IF(AI88="Arr",1)*$O$5+IF(AJ88="Arr",1)*$O$5</f>
        <v>0</v>
      </c>
      <c r="AN88" s="260"/>
      <c r="AO88" s="257"/>
      <c r="AP88" s="301"/>
      <c r="AQ88" s="301"/>
      <c r="AR88" s="285">
        <f>SUM(AN88:AO88)+IF(AN88="B",1,0)*AN$102+IF(AO88="B",1,0)*AO$102+IF(AN88="Løype",1)*$O$4+IF(AO88="Løype",1)*$O$4+IF(AN88="Arr",1)*$O$5+IF(AO88="Arr",1)*$O$5</f>
        <v>0</v>
      </c>
      <c r="AS88" s="260"/>
      <c r="AT88" s="257"/>
      <c r="AU88" s="301"/>
      <c r="AV88" s="301"/>
      <c r="AW88" s="285">
        <f>SUM(AS88:AT88)+IF(AS88="B",1,0)*AS$102+IF(AT88="B",1,0)*AT$102+IF(AS88="Løype",1)*$O$4+IF(AT88="Løype",1)*$O$4+IF(AS88="Arr",1)*$O$5+IF(AT88="Arr",1)*$O$5</f>
        <v>0</v>
      </c>
      <c r="AX88" s="260"/>
      <c r="AY88" s="257"/>
      <c r="AZ88" s="301"/>
      <c r="BA88" s="301"/>
      <c r="BB88" s="285">
        <f>SUM(AX88:AY88)+IF(AX88="B",1,0)*AX$102+IF(AY88="B",1,0)*AY$102+IF(AX88="Løype",1)*$O$4+IF(AY88="Løype",1)*$O$4+IF(AX88="Arr",1)*$O$5+IF(AY88="Arr",1)*$O$5</f>
        <v>0</v>
      </c>
      <c r="BC88" s="260"/>
      <c r="BD88" s="257"/>
      <c r="BE88" s="287"/>
      <c r="BF88" s="301"/>
      <c r="BG88" s="285">
        <f>SUM(BC88:BD88)+IF(BC88="B",1,0)*BC$102+IF(BD88="B",1,0)*BD$102+IF(BC88="Løype",1)*$O$4+IF(BD88="Løype",1)*$O$4+IF(BC88="Arr",1)*$O$5+IF(BD88="Arr",1)*$O$5</f>
        <v>0</v>
      </c>
      <c r="BH88" s="298"/>
      <c r="BI88" s="257">
        <v>6</v>
      </c>
      <c r="BJ88" s="304">
        <v>0.57692307692307687</v>
      </c>
      <c r="BK88" s="253">
        <v>0.88461538461538458</v>
      </c>
      <c r="BL88" s="285">
        <f>SUM(BH88:BI88)+IF(BH88="B",1,0)*BH$102+IF(BI88="B",1,0)*BI$102+IF(BH88="Løype",1)*$O$4+IF(BI88="Løype",1)*$O$4+IF(BH88="Arr",1)*$O$5+IF(BI88="Arr",1)*$O$5</f>
        <v>6</v>
      </c>
      <c r="BM88" s="313"/>
      <c r="BN88" s="257"/>
      <c r="BO88" s="287"/>
      <c r="BP88" s="301"/>
      <c r="BQ88" s="285">
        <f>SUM(BM88:BN88)+IF(BM88="B",1,0)*BM$102+IF(BN88="B",1,0)*BN$102+IF(BM88="Løype",1)*$O$4+IF(BN88="Løype",1)*$O$4+IF(BM88="Arr",1)*$O$5+IF(BN88="Arr",1)*$O$5</f>
        <v>0</v>
      </c>
      <c r="BR88" s="298"/>
      <c r="BS88" s="257"/>
      <c r="BT88" s="287"/>
      <c r="BU88" s="301"/>
      <c r="BV88" s="285">
        <f>SUM(BR88:BS88)+IF(BR88="B",1,0)*BR$102+IF(BS88="B",1,0)*BS$102+IF(BR88="Løype",1)*$O$4+IF(BS88="Løype",1)*$O$4+IF(BR88="Arr",1)*$O$5+IF(BS88="Arr",1)*$O$5</f>
        <v>0</v>
      </c>
      <c r="BW88" s="298"/>
      <c r="BX88" s="257"/>
      <c r="BY88" s="287"/>
      <c r="BZ88" s="301"/>
      <c r="CA88" s="285">
        <f>SUM(BW88:BX88)+IF(BW88="B",1,0)*BW$102+IF(BX88="B",1,0)*BX$102+IF(BW88="Løype",1)*$O$4+IF(BX88="Løype",1)*$O$4+IF(BW88="Arr",1)*$O$5+IF(BX88="Arr",1)*$O$5</f>
        <v>0</v>
      </c>
      <c r="CB88" s="298"/>
      <c r="CC88" s="257"/>
      <c r="CD88" s="287"/>
      <c r="CE88" s="301"/>
      <c r="CF88" s="285">
        <f>SUM(CB88:CC88)+IF(CB88="B",1,0)*CB$102+IF(CC88="B",1,0)*CC$102+IF(CB88="Løype",1)*$O$4+IF(CC88="Løype",1)*$O$4+IF(CB88="Arr",1)*$O$5+IF(CC88="Arr",1)*$O$5</f>
        <v>0</v>
      </c>
      <c r="CG88" s="298"/>
      <c r="CH88" s="257"/>
      <c r="CI88" s="287"/>
      <c r="CJ88" s="301"/>
      <c r="CK88" s="285">
        <f>SUM(CG88:CH88)+IF(CG88="B",1,0)*CG$102+IF(CH88="B",1,0)*CH$102+IF(CG88="Løype",1)*$O$4+IF(CH88="Løype",1)*$O$4+IF(CG88="Arr",1)*$O$5+IF(CH88="Arr",1)*$O$5</f>
        <v>0</v>
      </c>
      <c r="CL88" s="298"/>
      <c r="CM88" s="257"/>
      <c r="CN88" s="287"/>
      <c r="CO88" s="301"/>
      <c r="CP88" s="285">
        <f>SUM(CL88:CM88)+IF(CL88="B",1,0)*CL$102+IF(CM88="B",1,0)*CM$102+IF(CL88="Løype",1)*$O$4+IF(CM88="Løype",1)*$O$4+IF(CL88="Arr",1)*$O$5+IF(CM88="Arr",1)*$O$5</f>
        <v>0</v>
      </c>
      <c r="CQ88" s="298"/>
      <c r="CR88" s="257"/>
      <c r="CS88" s="287"/>
      <c r="CT88" s="301"/>
      <c r="CU88" s="285">
        <f>SUM(CQ88:CR88)+IF(CQ88="B",1,0)*CQ$102+IF(CR88="B",1,0)*CR$102+IF(CQ88="Løype",1)*$O$4+IF(CR88="Løype",1)*$O$4+IF(CQ88="Arr",1)*$O$5+IF(CR88="Arr",1)*$O$5</f>
        <v>0</v>
      </c>
      <c r="CV88" s="298"/>
      <c r="CW88" s="257"/>
      <c r="CX88" s="304"/>
      <c r="CY88" s="301"/>
      <c r="CZ88" s="285">
        <f>SUM(CV88:CW88)+IF(CV88="B",1,0)*CV$102+IF(CW88="B",1,0)*CW$102+IF(CV88="Løype",1)*$O$4+IF(CW88="Løype",1)*$O$4+IF(CV88="Arr",1)*$O$5+IF(CW88="Arr",1)*$O$5</f>
        <v>0</v>
      </c>
      <c r="DA88" s="298"/>
      <c r="DB88" s="257"/>
      <c r="DC88" s="304"/>
      <c r="DD88" s="253"/>
      <c r="DE88" s="285">
        <f>SUM(DA88:DB88)+IF(DA88="B",1,0)*DA$102+IF(DB88="B",1,0)*DB$102+IF(DA88="Løype",1)*$O$4+IF(DB88="Løype",1)*$O$4+IF(DA88="Arr",1)*$O$5+IF(DB88="Arr",1)*$O$5</f>
        <v>0</v>
      </c>
      <c r="DF88" s="298"/>
      <c r="DG88" s="257"/>
      <c r="DH88" s="287"/>
      <c r="DI88" s="301"/>
      <c r="DJ88" s="285">
        <f>SUM(DF88:DG88)+IF(DF88="B",1,0)*DF$102+IF(DG88="B",1,0)*DG$102+IF(DF88="Løype",1)*$O$4+IF(DG88="Løype",1)*$O$4+IF(DF88="Arr",1)*$O$5+IF(DG88="Arr",1)*$O$5</f>
        <v>0</v>
      </c>
      <c r="DK88" s="298"/>
      <c r="DL88" s="257"/>
      <c r="DM88" s="287"/>
      <c r="DN88" s="301"/>
      <c r="DO88" s="285">
        <f>SUM(DK88:DL88)+IF(DK88="B",1,0)*DK$102+IF(DL88="B",1,0)*DL$102+IF(DK88="Løype",1)*$O$4+IF(DL88="Løype",1)*$O$4+IF(DK88="Arr",1)*$O$5+IF(DL88="Arr",1)*$O$5</f>
        <v>0</v>
      </c>
      <c r="DP88" s="298"/>
      <c r="DQ88" s="257"/>
      <c r="DR88" s="287"/>
      <c r="DS88" s="301"/>
      <c r="DT88" s="285">
        <f>SUM(DP88:DQ88)+IF(DP88="B",1,0)*DP$102+IF(DQ88="B",1,0)*DQ$102+IF(DP88="Løype",1)*$O$4+IF(DQ88="Løype",1)*$O$4+IF(DP88="Arr",1)*$O$5+IF(DQ88="Arr",1)*$O$5</f>
        <v>0</v>
      </c>
      <c r="DU88" s="298"/>
      <c r="DV88" s="257"/>
      <c r="DW88" s="287"/>
      <c r="DX88" s="301"/>
      <c r="DY88" s="285">
        <f>SUM(DU88:DV88)+IF(DU88="B",1,0)*DU$102+IF(DV88="B",1,0)*DV$102+IF(DU88="Løype",1)*$O$4+IF(DV88="Løype",1)*$O$4+IF(DU88="Arr",1)*$O$5+IF(DV88="Arr",1)*$O$5</f>
        <v>0</v>
      </c>
      <c r="DZ88" s="475"/>
      <c r="EA88" s="456"/>
      <c r="EB88" s="461"/>
      <c r="EC88" s="463"/>
      <c r="ED88" s="285">
        <f>SUM(DZ88:EA88)+IF(DZ88="B",1,0)*DZ$102+IF(EA88="B",1,0)*EA$102+IF(DZ88="Løype",1)*$O$4+IF(EA88="Løype",1)*$O$4+IF(DZ88="Arr",1)*$O$5+IF(EA88="Arr",1)*$O$5</f>
        <v>0</v>
      </c>
      <c r="EE88" s="475"/>
      <c r="EF88" s="456"/>
      <c r="EG88" s="461"/>
      <c r="EH88" s="463"/>
      <c r="EI88" s="285">
        <f t="shared" si="73"/>
        <v>0</v>
      </c>
      <c r="EJ88" s="467">
        <f t="shared" si="74"/>
        <v>1</v>
      </c>
      <c r="EK88" s="522">
        <f t="shared" si="75"/>
        <v>1</v>
      </c>
      <c r="EL88" s="267">
        <f t="shared" si="76"/>
        <v>1</v>
      </c>
      <c r="EM88" s="267">
        <f t="shared" si="77"/>
        <v>0</v>
      </c>
      <c r="EN88" s="516">
        <f t="shared" si="78"/>
        <v>0</v>
      </c>
      <c r="EO88" s="273">
        <f t="shared" si="79"/>
        <v>1</v>
      </c>
      <c r="EP88" s="15"/>
      <c r="EQ88" s="61">
        <f t="shared" si="80"/>
        <v>6</v>
      </c>
      <c r="ER88" s="187">
        <f>IF(OR($E88="B",$F88="B"),0,$I88)+IF(OR($J88="B",$K88="B"),0,$N88)+IF(OR($O88="B",$P88="B"),0,$S88)+IF(OR($T88="B",$U88="B"),0,$X88)+IF(OR($Y88="B",$Z88="B"),0,$AC88)+IF(OR($AD88="B",$AE88="B"),0,$AH88)+IF(OR($AI88="B",$AJ88="B"),0,$AM88)+IF(OR($HP67="B",$AO88="B"),0,$AR88)+IF(OR($AS88="B",$AT88="B"),0,$AW88)+IF(OR($AX88="B",$AY88="B"),0,$BB88)+IF(OR($BC88="B",$BD88="B"),0,$BG88)+IF(OR($BH88="B",$BI88="B"),0,$BL88)+IF(OR($BM88="B",$BN88="B"),0,$BQ88)+IF(OR($BR88="B",$BS88="B"),0,$BV88)+IF(OR($BW88="B",$BX88="B"),0,$CA88)+IF(OR($CB88="B",$CC88="B"),0,$CF88)+IF(OR($CG88="B",$CH88="B"),0,$CK88)+IF(OR($CL88="B",$CM88="B"),0,$CP88)+IF(OR($CQ88="B",$CR88="B"),0,$CU88)+IF(OR($CV88="B",$CW88="B"),0,$CZ88)+IF(OR($DA88="B",$DB88="B"),0,$DE88)+IF(OR($DF88="B",$DG88="B"),0,$DJ88)+IF(OR($DK88="B",$DL88="B"),0,$DO88)+IF(OR($DP88="B",$DQ88="B"),0,$DT88)+IF(OR($DU88="B",$DV88="B"),0,$DY88)+IF(OR($DZ88="B",$EA88="B"),0,$ED88)+IF(OR($EE88="B",$EF88="B"),0,$EI88)</f>
        <v>6</v>
      </c>
      <c r="ES88" s="28">
        <f t="shared" si="81"/>
        <v>6</v>
      </c>
      <c r="ET88" s="62">
        <f t="shared" si="82"/>
        <v>6</v>
      </c>
      <c r="EU88" s="63"/>
      <c r="EV88" s="247">
        <f t="shared" si="83"/>
        <v>32</v>
      </c>
      <c r="EW88" s="249">
        <f t="shared" si="84"/>
        <v>32</v>
      </c>
      <c r="EX88" s="23">
        <f t="shared" si="85"/>
        <v>32</v>
      </c>
      <c r="EY88" s="74">
        <f t="shared" si="86"/>
        <v>32</v>
      </c>
      <c r="EZ88" s="63"/>
      <c r="FA88" s="336">
        <f t="shared" si="87"/>
        <v>1</v>
      </c>
      <c r="FB88" s="337">
        <f t="shared" si="88"/>
        <v>0</v>
      </c>
      <c r="FC88" s="333">
        <f t="shared" si="89"/>
        <v>0.57692307692307687</v>
      </c>
      <c r="FD88" s="420">
        <f t="shared" si="90"/>
        <v>0.57692307692307687</v>
      </c>
      <c r="FE88" s="433">
        <f t="shared" si="91"/>
        <v>0.88461538461538458</v>
      </c>
      <c r="FF88" s="213">
        <f t="shared" si="92"/>
        <v>0.88461538461538458</v>
      </c>
      <c r="FG88" s="15"/>
      <c r="FH88" s="37">
        <f t="shared" si="46"/>
        <v>62</v>
      </c>
    </row>
    <row r="89" spans="2:164" ht="17" thickBot="1" x14ac:dyDescent="0.25">
      <c r="B89" s="459" t="s">
        <v>271</v>
      </c>
      <c r="C89" s="460" t="s">
        <v>272</v>
      </c>
      <c r="D89" s="299"/>
      <c r="E89" s="300"/>
      <c r="F89" s="285"/>
      <c r="G89" s="306"/>
      <c r="H89" s="306"/>
      <c r="I89" s="285"/>
      <c r="J89" s="301"/>
      <c r="K89" s="301"/>
      <c r="L89" s="253"/>
      <c r="M89" s="253"/>
      <c r="N89" s="285"/>
      <c r="O89" s="303"/>
      <c r="P89" s="145"/>
      <c r="Q89" s="253"/>
      <c r="R89" s="253"/>
      <c r="S89" s="285"/>
      <c r="T89" s="303"/>
      <c r="U89" s="302"/>
      <c r="V89" s="253"/>
      <c r="W89" s="253"/>
      <c r="X89" s="285"/>
      <c r="Y89" s="303"/>
      <c r="Z89" s="287"/>
      <c r="AA89" s="301"/>
      <c r="AB89" s="301"/>
      <c r="AC89" s="285"/>
      <c r="AD89" s="303"/>
      <c r="AE89" s="287"/>
      <c r="AF89" s="253"/>
      <c r="AG89" s="253"/>
      <c r="AH89" s="285"/>
      <c r="AI89" s="260"/>
      <c r="AJ89" s="257"/>
      <c r="AK89" s="253"/>
      <c r="AL89" s="253"/>
      <c r="AM89" s="285"/>
      <c r="AN89" s="260"/>
      <c r="AO89" s="257"/>
      <c r="AP89" s="253"/>
      <c r="AQ89" s="253"/>
      <c r="AR89" s="285"/>
      <c r="AS89" s="260"/>
      <c r="AT89" s="257"/>
      <c r="AU89" s="301"/>
      <c r="AV89" s="301"/>
      <c r="AW89" s="285"/>
      <c r="AX89" s="260"/>
      <c r="AY89" s="257"/>
      <c r="AZ89" s="253"/>
      <c r="BA89" s="253"/>
      <c r="BB89" s="285"/>
      <c r="BC89" s="260"/>
      <c r="BD89" s="257"/>
      <c r="BE89" s="287"/>
      <c r="BF89" s="301"/>
      <c r="BG89" s="285"/>
      <c r="BH89" s="298"/>
      <c r="BI89" s="257"/>
      <c r="BJ89" s="304"/>
      <c r="BK89" s="253"/>
      <c r="BL89" s="285"/>
      <c r="BM89" s="305"/>
      <c r="BN89" s="257"/>
      <c r="BO89" s="304"/>
      <c r="BP89" s="253"/>
      <c r="BQ89" s="285"/>
      <c r="BR89" s="182"/>
      <c r="BS89" s="257"/>
      <c r="BT89" s="304"/>
      <c r="BU89" s="253"/>
      <c r="BV89" s="285"/>
      <c r="BW89" s="298"/>
      <c r="BX89" s="257"/>
      <c r="BY89" s="304"/>
      <c r="BZ89" s="253"/>
      <c r="CA89" s="285"/>
      <c r="CB89" s="182"/>
      <c r="CC89" s="81"/>
      <c r="CD89" s="304"/>
      <c r="CE89" s="253"/>
      <c r="CF89" s="285"/>
      <c r="CG89" s="298"/>
      <c r="CH89" s="257"/>
      <c r="CI89" s="304"/>
      <c r="CJ89" s="253"/>
      <c r="CK89" s="285"/>
      <c r="CL89" s="298"/>
      <c r="CM89" s="257"/>
      <c r="CN89" s="304"/>
      <c r="CO89" s="253"/>
      <c r="CP89" s="285"/>
      <c r="CQ89" s="298"/>
      <c r="CR89" s="257"/>
      <c r="CS89" s="287"/>
      <c r="CT89" s="301"/>
      <c r="CU89" s="285"/>
      <c r="CV89" s="298"/>
      <c r="CW89" s="257"/>
      <c r="CX89" s="304"/>
      <c r="CY89" s="253"/>
      <c r="CZ89" s="285"/>
      <c r="DA89" s="298"/>
      <c r="DB89" s="257"/>
      <c r="DC89" s="304"/>
      <c r="DD89" s="253"/>
      <c r="DE89" s="285"/>
      <c r="DF89" s="298"/>
      <c r="DG89" s="257"/>
      <c r="DH89" s="304"/>
      <c r="DI89" s="253"/>
      <c r="DJ89" s="285"/>
      <c r="DK89" s="182"/>
      <c r="DL89" s="81"/>
      <c r="DM89" s="43"/>
      <c r="DN89" s="191"/>
      <c r="DO89" s="285"/>
      <c r="DP89" s="298"/>
      <c r="DQ89" s="257"/>
      <c r="DR89" s="287"/>
      <c r="DS89" s="301"/>
      <c r="DT89" s="285"/>
      <c r="DU89" s="298"/>
      <c r="DV89" s="257"/>
      <c r="DW89" s="461"/>
      <c r="DX89" s="463"/>
      <c r="DY89" s="285"/>
      <c r="DZ89" s="475"/>
      <c r="EA89" s="456"/>
      <c r="EB89" s="461"/>
      <c r="EC89" s="463"/>
      <c r="ED89" s="285"/>
      <c r="EE89" s="475">
        <v>11</v>
      </c>
      <c r="EF89" s="456"/>
      <c r="EG89" s="461">
        <v>1.2820512820512775E-2</v>
      </c>
      <c r="EH89" s="463">
        <v>0.29487179487179482</v>
      </c>
      <c r="EI89" s="285">
        <f t="shared" si="73"/>
        <v>11</v>
      </c>
      <c r="EJ89" s="467">
        <f t="shared" si="74"/>
        <v>1</v>
      </c>
      <c r="EK89" s="522">
        <f t="shared" si="75"/>
        <v>1</v>
      </c>
      <c r="EL89" s="267">
        <f t="shared" si="76"/>
        <v>1</v>
      </c>
      <c r="EM89" s="267">
        <f t="shared" si="77"/>
        <v>0</v>
      </c>
      <c r="EN89" s="516">
        <f t="shared" si="78"/>
        <v>0</v>
      </c>
      <c r="EO89" s="273">
        <f t="shared" si="79"/>
        <v>1</v>
      </c>
      <c r="EP89" s="15"/>
      <c r="EQ89" s="61">
        <f t="shared" si="80"/>
        <v>11</v>
      </c>
      <c r="ER89" s="187">
        <f>IF(OR($E89="B",$F89="B"),0,$I89)+IF(OR($J89="B",$K89="B"),0,$N89)+IF(OR($O89="B",$P89="B"),0,$S89)+IF(OR($T89="B",$U89="B"),0,$X89)+IF(OR($Y89="B",$Z89="B"),0,$AC89)+IF(OR($AD89="B",$AE89="B"),0,$AH89)+IF(OR($AI89="B",$AJ89="B"),0,$AM89)+IF(OR($HP67="B",$AO89="B"),0,$AR89)+IF(OR($AS89="B",$AT89="B"),0,$AW89)+IF(OR($AX89="B",$AY89="B"),0,$BB89)+IF(OR($BC89="B",$BD89="B"),0,$BG89)+IF(OR($BH89="B",$BI89="B"),0,$BL89)+IF(OR($BM89="B",$BN89="B"),0,$BQ89)+IF(OR($BR89="B",$BS89="B"),0,$BV89)+IF(OR($BW89="B",$BX89="B"),0,$CA89)+IF(OR($CB89="B",$CC89="B"),0,$CF89)+IF(OR($CG89="B",$CH89="B"),0,$CK89)+IF(OR($CL89="B",$CM89="B"),0,$CP89)+IF(OR($CQ89="B",$CR89="B"),0,$CU89)+IF(OR($CV89="B",$CW89="B"),0,$CZ89)+IF(OR($DA89="B",$DB89="B"),0,$DE89)+IF(OR($DF89="B",$DG89="B"),0,$DJ89)+IF(OR($DK89="B",$DL89="B"),0,$DO89)+IF(OR($DP89="B",$DQ89="B"),0,$DT89)+IF(OR($DU89="B",$DV89="B"),0,$DY89)+IF(OR($DZ89="B",$EA89="B"),0,$ED89)+IF(OR($EE89="B",$EF89="B"),0,$EI89)</f>
        <v>11</v>
      </c>
      <c r="ES89" s="28">
        <f t="shared" si="81"/>
        <v>11</v>
      </c>
      <c r="ET89" s="62">
        <f t="shared" si="82"/>
        <v>11</v>
      </c>
      <c r="EU89" s="63"/>
      <c r="EV89" s="247">
        <f t="shared" si="83"/>
        <v>37</v>
      </c>
      <c r="EW89" s="249">
        <f t="shared" si="84"/>
        <v>37</v>
      </c>
      <c r="EX89" s="23">
        <f t="shared" si="85"/>
        <v>37</v>
      </c>
      <c r="EY89" s="74">
        <f t="shared" si="86"/>
        <v>37</v>
      </c>
      <c r="EZ89" s="63"/>
      <c r="FA89" s="336">
        <f t="shared" si="87"/>
        <v>1</v>
      </c>
      <c r="FB89" s="337">
        <f t="shared" si="88"/>
        <v>0</v>
      </c>
      <c r="FC89" s="333">
        <f t="shared" si="89"/>
        <v>1.2820512820512775E-2</v>
      </c>
      <c r="FD89" s="420">
        <f t="shared" si="90"/>
        <v>1.2820512820512775E-2</v>
      </c>
      <c r="FE89" s="433">
        <f t="shared" si="91"/>
        <v>0.29487179487179482</v>
      </c>
      <c r="FF89" s="213">
        <f t="shared" si="92"/>
        <v>0.29487179487179482</v>
      </c>
      <c r="FG89" s="15"/>
      <c r="FH89" s="37">
        <f t="shared" si="46"/>
        <v>63</v>
      </c>
    </row>
    <row r="90" spans="2:164" ht="17" thickBot="1" x14ac:dyDescent="0.25">
      <c r="B90" s="459" t="s">
        <v>269</v>
      </c>
      <c r="C90" s="460" t="s">
        <v>270</v>
      </c>
      <c r="D90" s="299"/>
      <c r="E90" s="300"/>
      <c r="F90" s="285"/>
      <c r="G90" s="285"/>
      <c r="H90" s="285"/>
      <c r="I90" s="285"/>
      <c r="J90" s="301"/>
      <c r="K90" s="476"/>
      <c r="L90" s="329"/>
      <c r="M90" s="253"/>
      <c r="N90" s="285"/>
      <c r="O90" s="303"/>
      <c r="P90" s="302"/>
      <c r="Q90" s="253"/>
      <c r="R90" s="253"/>
      <c r="S90" s="285"/>
      <c r="T90" s="303"/>
      <c r="U90" s="302"/>
      <c r="V90" s="253"/>
      <c r="W90" s="253"/>
      <c r="X90" s="285"/>
      <c r="Y90" s="303"/>
      <c r="Z90" s="287"/>
      <c r="AA90" s="253"/>
      <c r="AB90" s="253"/>
      <c r="AC90" s="285"/>
      <c r="AD90" s="303"/>
      <c r="AE90" s="287"/>
      <c r="AF90" s="253"/>
      <c r="AG90" s="253"/>
      <c r="AH90" s="285"/>
      <c r="AI90" s="260"/>
      <c r="AJ90" s="257"/>
      <c r="AK90" s="301"/>
      <c r="AL90" s="301"/>
      <c r="AM90" s="285"/>
      <c r="AN90" s="260"/>
      <c r="AO90" s="257"/>
      <c r="AP90" s="253"/>
      <c r="AQ90" s="253"/>
      <c r="AR90" s="285"/>
      <c r="AS90" s="260"/>
      <c r="AT90" s="257"/>
      <c r="AU90" s="301"/>
      <c r="AV90" s="301"/>
      <c r="AW90" s="285"/>
      <c r="AX90" s="260"/>
      <c r="AY90" s="257"/>
      <c r="AZ90" s="253"/>
      <c r="BA90" s="253"/>
      <c r="BB90" s="285"/>
      <c r="BC90" s="260"/>
      <c r="BD90" s="257"/>
      <c r="BE90" s="304"/>
      <c r="BF90" s="253"/>
      <c r="BG90" s="285"/>
      <c r="BH90" s="298"/>
      <c r="BI90" s="257"/>
      <c r="BJ90" s="287"/>
      <c r="BK90" s="301"/>
      <c r="BL90" s="285"/>
      <c r="BM90" s="305"/>
      <c r="BN90" s="257"/>
      <c r="BO90" s="304"/>
      <c r="BP90" s="253"/>
      <c r="BQ90" s="285"/>
      <c r="BR90" s="298"/>
      <c r="BS90" s="257"/>
      <c r="BT90" s="304"/>
      <c r="BU90" s="253"/>
      <c r="BV90" s="285"/>
      <c r="BW90" s="298"/>
      <c r="BX90" s="257"/>
      <c r="BY90" s="304"/>
      <c r="BZ90" s="253"/>
      <c r="CA90" s="285"/>
      <c r="CB90" s="298"/>
      <c r="CC90" s="257"/>
      <c r="CD90" s="324"/>
      <c r="CE90" s="329"/>
      <c r="CF90" s="285"/>
      <c r="CG90" s="298"/>
      <c r="CH90" s="257"/>
      <c r="CI90" s="304"/>
      <c r="CJ90" s="253"/>
      <c r="CK90" s="285"/>
      <c r="CL90" s="298"/>
      <c r="CM90" s="257"/>
      <c r="CN90" s="304"/>
      <c r="CO90" s="454"/>
      <c r="CP90" s="285"/>
      <c r="CQ90" s="298"/>
      <c r="CR90" s="257"/>
      <c r="CS90" s="287"/>
      <c r="CT90" s="301"/>
      <c r="CU90" s="285"/>
      <c r="CV90" s="298"/>
      <c r="CW90" s="479"/>
      <c r="CX90" s="304"/>
      <c r="CY90" s="253"/>
      <c r="CZ90" s="285"/>
      <c r="DA90" s="298"/>
      <c r="DB90" s="257"/>
      <c r="DC90" s="304"/>
      <c r="DD90" s="253"/>
      <c r="DE90" s="285"/>
      <c r="DF90" s="298"/>
      <c r="DG90" s="257"/>
      <c r="DH90" s="304"/>
      <c r="DI90" s="253"/>
      <c r="DJ90" s="285"/>
      <c r="DK90" s="298"/>
      <c r="DL90" s="257"/>
      <c r="DM90" s="304"/>
      <c r="DN90" s="253"/>
      <c r="DO90" s="285"/>
      <c r="DP90" s="298"/>
      <c r="DQ90" s="456"/>
      <c r="DR90" s="304"/>
      <c r="DS90" s="253"/>
      <c r="DT90" s="285"/>
      <c r="DU90" s="298"/>
      <c r="DV90" s="257"/>
      <c r="DW90" s="304"/>
      <c r="DX90" s="253"/>
      <c r="DY90" s="285"/>
      <c r="DZ90" s="475"/>
      <c r="EA90" s="456"/>
      <c r="EB90" s="461"/>
      <c r="EC90" s="463"/>
      <c r="ED90" s="285"/>
      <c r="EE90" s="475"/>
      <c r="EF90" s="456">
        <v>18</v>
      </c>
      <c r="EG90" s="461">
        <v>0.55128205128205132</v>
      </c>
      <c r="EH90" s="463">
        <v>8.9743589743589758E-2</v>
      </c>
      <c r="EI90" s="285">
        <f t="shared" si="73"/>
        <v>18</v>
      </c>
      <c r="EJ90" s="467">
        <f t="shared" si="74"/>
        <v>1</v>
      </c>
      <c r="EK90" s="522">
        <f t="shared" si="75"/>
        <v>1</v>
      </c>
      <c r="EL90" s="267">
        <f t="shared" si="76"/>
        <v>1</v>
      </c>
      <c r="EM90" s="267">
        <f t="shared" si="77"/>
        <v>0</v>
      </c>
      <c r="EN90" s="516">
        <f t="shared" si="78"/>
        <v>0</v>
      </c>
      <c r="EO90" s="273">
        <f t="shared" si="79"/>
        <v>1</v>
      </c>
      <c r="EP90" s="15"/>
      <c r="EQ90" s="61">
        <f t="shared" si="80"/>
        <v>18</v>
      </c>
      <c r="ER90" s="187">
        <f t="shared" ref="ER90:ER95" si="101">IF(OR($E90="B",$F90="B"),0,$I90)+IF(OR($J90="B",$K90="B"),0,$N90)+IF(OR($O90="B",$P90="B"),0,$S90)+IF(OR($T90="B",$U90="B"),0,$X90)+IF(OR($Y90="B",$Z90="B"),0,$AC90)+IF(OR($AD90="B",$AE90="B"),0,$AH90)+IF(OR($AI90="B",$AJ90="B"),0,$AM90)+IF(OR($HP69="B",$AO90="B"),0,$AR90)+IF(OR($AS90="B",$AT90="B"),0,$AW90)+IF(OR($AX90="B",$AY90="B"),0,$BB90)+IF(OR($BC90="B",$BD90="B"),0,$BG90)+IF(OR($BH90="B",$BI90="B"),0,$BL90)+IF(OR($BM90="B",$BN90="B"),0,$BQ90)+IF(OR($BR90="B",$BS90="B"),0,$BV90)+IF(OR($BW90="B",$BX90="B"),0,$CA90)+IF(OR($CB90="B",$CC90="B"),0,$CF90)+IF(OR($CG90="B",$CH90="B"),0,$CK90)+IF(OR($CL90="B",$CM90="B"),0,$CP90)+IF(OR($CQ90="B",$CR90="B"),0,$CU90)+IF(OR($CV90="B",$CW90="B"),0,$CZ90)+IF(OR($DA90="B",$DB90="B"),0,$DE90)+IF(OR($DF90="B",$DG90="B"),0,$DJ90)+IF(OR($DK90="B",$DL90="B"),0,$DO90)+IF(OR($DP90="B",$DQ90="B"),0,$DT90)+IF(OR($DU90="B",$DV90="B"),0,$DY90)+IF(OR($DZ90="B",$EA90="B"),0,$ED90)+IF(OR($EE90="B",$EF90="B"),0,$EI90)</f>
        <v>18</v>
      </c>
      <c r="ES90" s="28">
        <f t="shared" si="81"/>
        <v>18</v>
      </c>
      <c r="ET90" s="62">
        <f t="shared" si="82"/>
        <v>18</v>
      </c>
      <c r="EU90" s="63"/>
      <c r="EV90" s="247">
        <f t="shared" si="83"/>
        <v>44</v>
      </c>
      <c r="EW90" s="249">
        <f t="shared" si="84"/>
        <v>44</v>
      </c>
      <c r="EX90" s="23">
        <f t="shared" si="85"/>
        <v>44</v>
      </c>
      <c r="EY90" s="74">
        <f t="shared" si="86"/>
        <v>44</v>
      </c>
      <c r="EZ90" s="63"/>
      <c r="FA90" s="336">
        <f t="shared" si="87"/>
        <v>1</v>
      </c>
      <c r="FB90" s="337">
        <f t="shared" si="88"/>
        <v>0</v>
      </c>
      <c r="FC90" s="333">
        <f t="shared" si="89"/>
        <v>0.55128205128205132</v>
      </c>
      <c r="FD90" s="420">
        <f t="shared" si="90"/>
        <v>0.55128205128205132</v>
      </c>
      <c r="FE90" s="433">
        <f t="shared" si="91"/>
        <v>8.9743589743589758E-2</v>
      </c>
      <c r="FF90" s="213">
        <f t="shared" si="92"/>
        <v>8.9743589743589758E-2</v>
      </c>
      <c r="FG90" s="15"/>
      <c r="FH90" s="37">
        <f t="shared" si="46"/>
        <v>64</v>
      </c>
    </row>
    <row r="91" spans="2:164" ht="17" customHeight="1" thickBot="1" x14ac:dyDescent="0.25">
      <c r="B91" s="500" t="s">
        <v>140</v>
      </c>
      <c r="C91" s="502" t="s">
        <v>141</v>
      </c>
      <c r="D91" s="350">
        <v>513582</v>
      </c>
      <c r="E91" s="286"/>
      <c r="F91" s="351"/>
      <c r="G91" s="352"/>
      <c r="H91" s="352"/>
      <c r="I91" s="352">
        <f>SUM(E91:F91)+IF(E91="B",1,0)*E$102+IF(F91="B",1,0)*F$102+IF(E91="Løype",1)*$O$4+IF(F91="Løype",1)*$O$4+IF(E91="Arr",1)*$O$5+IF(F91="Arr",1)*$O$5</f>
        <v>0</v>
      </c>
      <c r="J91" s="286"/>
      <c r="K91" s="353"/>
      <c r="L91" s="353"/>
      <c r="M91" s="353"/>
      <c r="N91" s="351">
        <f>SUM(J91:K91)+IF(J91="B",1,0)*J$102+IF(K91="B",1,0)*K$102+IF(J91="Løype",1)*$O$4+IF(K91="Løype",1)*$O$4+IF(J91="Arr",1)*$O$5+IF(K91="Arr",1)*$O$5</f>
        <v>0</v>
      </c>
      <c r="O91" s="354"/>
      <c r="P91" s="355"/>
      <c r="Q91" s="353"/>
      <c r="R91" s="353"/>
      <c r="S91" s="351">
        <f>SUM(O91:P91)+IF(O91="B",1,0)*O$102+IF(P91="B",1,0)*P$102+IF(O91="Løype",1)*$O$4+IF(P91="Løype",1)*$O$4+IF(O91="Arr",1)*$O$5+IF(P91="Arr",1)*$O$5</f>
        <v>0</v>
      </c>
      <c r="T91" s="354"/>
      <c r="U91" s="355"/>
      <c r="V91" s="353"/>
      <c r="W91" s="353"/>
      <c r="X91" s="351">
        <f>SUM(T91:U91)+IF(T91="B",1,0)*T$102+IF(U91="B",1,0)*U$102+IF(T91="Løype",1)*$O$4+IF(U91="Løype",1)*$O$4+IF(T91="Arr",1)*$O$5+IF(U91="Arr",1)*$O$5</f>
        <v>0</v>
      </c>
      <c r="Y91" s="354"/>
      <c r="Z91" s="356">
        <v>7</v>
      </c>
      <c r="AA91" s="444">
        <v>0.79032258064516125</v>
      </c>
      <c r="AB91" s="444">
        <v>0.88709677419354838</v>
      </c>
      <c r="AC91" s="351">
        <f>SUM(Y91:Z91)+IF(Y91="B",1,0)*Y$102+IF(Z91="B",1,0)*Z$102+IF(Y91="Løype",1)*$O$4+IF(Z91="Løype",1)*$O$4+IF(Y91="Arr",1)*$O$5+IF(Z91="Arr",1)*$O$5</f>
        <v>7</v>
      </c>
      <c r="AD91" s="354"/>
      <c r="AE91" s="356"/>
      <c r="AF91" s="444"/>
      <c r="AG91" s="444"/>
      <c r="AH91" s="351">
        <f>SUM(AD91:AE91)+IF(AD91="B",1,0)*AD$102+IF(AE91="B",1,0)*AE$102+IF(AD91="Løype",1)*$O$4+IF(AE91="Løype",1)*$O$4+IF(AD91="Arr",1)*$O$5+IF(AE91="Arr",1)*$O$5</f>
        <v>0</v>
      </c>
      <c r="AI91" s="534"/>
      <c r="AJ91" s="536"/>
      <c r="AK91" s="537"/>
      <c r="AL91" s="537"/>
      <c r="AM91" s="351">
        <f>SUM(AI91:AJ91)+IF(AI91="B",1,0)*AI$102+IF(AJ91="B",1,0)*AJ$102+IF(AI91="Løype",1)*$O$4+IF(AJ91="Løype",1)*$O$4+IF(AI91="Arr",1)*$O$5+IF(AJ91="Arr",1)*$O$5</f>
        <v>0</v>
      </c>
      <c r="AN91" s="534"/>
      <c r="AO91" s="536"/>
      <c r="AP91" s="537"/>
      <c r="AQ91" s="537"/>
      <c r="AR91" s="351">
        <f>SUM(AN91:AO91)+IF(AN91="B",1,0)*AN$102+IF(AO91="B",1,0)*AO$102+IF(AN91="Løype",1)*$O$4+IF(AO91="Løype",1)*$O$4+IF(AN91="Arr",1)*$O$5+IF(AO91="Arr",1)*$O$5</f>
        <v>0</v>
      </c>
      <c r="AS91" s="534"/>
      <c r="AT91" s="536"/>
      <c r="AU91" s="537"/>
      <c r="AV91" s="537"/>
      <c r="AW91" s="351">
        <f>SUM(AS91:AT91)+IF(AS91="B",1,0)*AS$102+IF(AT91="B",1,0)*AT$102+IF(AS91="Løype",1)*$O$4+IF(AT91="Løype",1)*$O$4+IF(AS91="Arr",1)*$O$5+IF(AT91="Arr",1)*$O$5</f>
        <v>0</v>
      </c>
      <c r="AX91" s="534"/>
      <c r="AY91" s="536"/>
      <c r="AZ91" s="537"/>
      <c r="BA91" s="537"/>
      <c r="BB91" s="351">
        <f>SUM(AX91:AY91)+IF(AX91="B",1,0)*AX$102+IF(AY91="B",1,0)*AY$102+IF(AX91="Løype",1)*$O$4+IF(AY91="Løype",1)*$O$4+IF(AX91="Arr",1)*$O$5+IF(AY91="Arr",1)*$O$5</f>
        <v>0</v>
      </c>
      <c r="BC91" s="541"/>
      <c r="BD91" s="543"/>
      <c r="BE91" s="543"/>
      <c r="BF91" s="545"/>
      <c r="BG91" s="351">
        <f>SUM(BC91:BD91)+IF(BC91="B",1,0)*BC$102+IF(BD91="B",1,0)*BD$102+IF(BC91="Løype",1)*$O$4+IF(BD91="Løype",1)*$O$4+IF(BC91="Arr",1)*$O$5+IF(BD91="Arr",1)*$O$5</f>
        <v>0</v>
      </c>
      <c r="BH91" s="546"/>
      <c r="BI91" s="543"/>
      <c r="BJ91" s="543"/>
      <c r="BK91" s="545"/>
      <c r="BL91" s="351">
        <f>SUM(BH91:BI91)+IF(BH91="B",1,0)*BH$102+IF(BI91="B",1,0)*BI$102+IF(BH91="Løype",1)*$O$4+IF(BI91="Løype",1)*$O$4+IF(BH91="Arr",1)*$O$5+IF(BI91="Arr",1)*$O$5</f>
        <v>0</v>
      </c>
      <c r="BM91" s="551"/>
      <c r="BN91" s="536"/>
      <c r="BO91" s="536"/>
      <c r="BP91" s="537"/>
      <c r="BQ91" s="351">
        <f>SUM(BM91:BN91)+IF(BM91="B",1,0)*BM$102+IF(BN91="B",1,0)*BN$102+IF(BM91="Løype",1)*$O$4+IF(BN91="Løype",1)*$O$4+IF(BM91="Arr",1)*$O$5+IF(BN91="Arr",1)*$O$5</f>
        <v>0</v>
      </c>
      <c r="BR91" s="553"/>
      <c r="BS91" s="536"/>
      <c r="BT91" s="536"/>
      <c r="BU91" s="537"/>
      <c r="BV91" s="351">
        <f>SUM(BR91:BS91)+IF(BR91="B",1,0)*BR$102+IF(BS91="B",1,0)*BS$102+IF(BR91="Løype",1)*$O$4+IF(BS91="Løype",1)*$O$4+IF(BR91="Arr",1)*$O$5+IF(BS91="Arr",1)*$O$5</f>
        <v>0</v>
      </c>
      <c r="BW91" s="553"/>
      <c r="BX91" s="536"/>
      <c r="BY91" s="536"/>
      <c r="BZ91" s="537"/>
      <c r="CA91" s="351">
        <f>SUM(BW91:BX91)+IF(BW91="B",1,0)*BW$102+IF(BX91="B",1,0)*BX$102+IF(BW91="Løype",1)*$O$4+IF(BX91="Løype",1)*$O$4+IF(BW91="Arr",1)*$O$5+IF(BX91="Arr",1)*$O$5</f>
        <v>0</v>
      </c>
      <c r="CB91" s="553"/>
      <c r="CC91" s="536"/>
      <c r="CD91" s="536"/>
      <c r="CE91" s="537"/>
      <c r="CF91" s="351">
        <f>SUM(CB91:CC91)+IF(CB91="B",1,0)*CB$102+IF(CC91="B",1,0)*CC$102+IF(CB91="Løype",1)*$O$4+IF(CC91="Løype",1)*$O$4+IF(CB91="Arr",1)*$O$5+IF(CC91="Arr",1)*$O$5</f>
        <v>0</v>
      </c>
      <c r="CG91" s="553"/>
      <c r="CH91" s="536"/>
      <c r="CI91" s="536"/>
      <c r="CJ91" s="537"/>
      <c r="CK91" s="351">
        <f>SUM(CG91:CH91)+IF(CG91="B",1,0)*CG$102+IF(CH91="B",1,0)*CH$102+IF(CG91="Løype",1)*$O$4+IF(CH91="Løype",1)*$O$4+IF(CG91="Arr",1)*$O$5+IF(CH91="Arr",1)*$O$5</f>
        <v>0</v>
      </c>
      <c r="CL91" s="553"/>
      <c r="CM91" s="536"/>
      <c r="CN91" s="536"/>
      <c r="CO91" s="537"/>
      <c r="CP91" s="351">
        <f>SUM(CL91:CM91)+IF(CL91="B",1,0)*CL$102+IF(CM91="B",1,0)*CM$102+IF(CL91="Løype",1)*$O$4+IF(CM91="Løype",1)*$O$4+IF(CL91="Arr",1)*$O$5+IF(CM91="Arr",1)*$O$5</f>
        <v>0</v>
      </c>
      <c r="CQ91" s="553"/>
      <c r="CR91" s="536"/>
      <c r="CS91" s="536"/>
      <c r="CT91" s="537"/>
      <c r="CU91" s="351">
        <f>SUM(CQ91:CR91)+IF(CQ91="B",1,0)*CQ$102+IF(CR91="B",1,0)*CR$102+IF(CQ91="Løype",1)*$O$4+IF(CR91="Løype",1)*$O$4+IF(CQ91="Arr",1)*$O$5+IF(CR91="Arr",1)*$O$5</f>
        <v>0</v>
      </c>
      <c r="CV91" s="553"/>
      <c r="CW91" s="536"/>
      <c r="CX91" s="189"/>
      <c r="CY91" s="189"/>
      <c r="CZ91" s="351">
        <f>SUM(CV91:CW91)+IF(CV91="B",1,0)*CV$102+IF(CW91="B",1,0)*CW$102+IF(CV91="Løype",1)*$O$4+IF(CW91="Løype",1)*$O$4+IF(CV91="Arr",1)*$O$5+IF(CW91="Arr",1)*$O$5</f>
        <v>0</v>
      </c>
      <c r="DA91" s="553"/>
      <c r="DB91" s="536"/>
      <c r="DC91" s="536"/>
      <c r="DD91" s="537"/>
      <c r="DE91" s="351">
        <f>SUM(DA91:DB91)+IF(DA91="B",1,0)*DA$102+IF(DB91="B",1,0)*DB$102+IF(DA91="Løype",1)*$O$4+IF(DB91="Løype",1)*$O$4+IF(DA91="Arr",1)*$O$5+IF(DB91="Arr",1)*$O$5</f>
        <v>0</v>
      </c>
      <c r="DF91" s="553"/>
      <c r="DG91" s="536"/>
      <c r="DH91" s="536"/>
      <c r="DI91" s="537"/>
      <c r="DJ91" s="351">
        <f>SUM(DF91:DG91)+IF(DF91="B",1,0)*DF$102+IF(DG91="B",1,0)*DG$102+IF(DF91="Løype",1)*$O$4+IF(DG91="Løype",1)*$O$4+IF(DF91="Arr",1)*$O$5+IF(DG91="Arr",1)*$O$5</f>
        <v>0</v>
      </c>
      <c r="DK91" s="553"/>
      <c r="DL91" s="536"/>
      <c r="DM91" s="536"/>
      <c r="DN91" s="537"/>
      <c r="DO91" s="351">
        <f>SUM(DK91:DL91)+IF(DK91="B",1,0)*DK$102+IF(DL91="B",1,0)*DL$102+IF(DK91="Løype",1)*$O$4+IF(DL91="Løype",1)*$O$4+IF(DK91="Arr",1)*$O$5+IF(DL91="Arr",1)*$O$5</f>
        <v>0</v>
      </c>
      <c r="DP91" s="286"/>
      <c r="DQ91" s="356"/>
      <c r="DR91" s="356"/>
      <c r="DS91" s="353"/>
      <c r="DT91" s="351">
        <f>SUM(DP91:DQ91)+IF(DP91="B",1,0)*DP$102+IF(DQ91="B",1,0)*DQ$102+IF(DP91="Løype",1)*$O$4+IF(DQ91="Løype",1)*$O$4+IF(DP91="Arr",1)*$O$5+IF(DQ91="Arr",1)*$O$5</f>
        <v>0</v>
      </c>
      <c r="DU91" s="553"/>
      <c r="DV91" s="536"/>
      <c r="DW91" s="536"/>
      <c r="DX91" s="537"/>
      <c r="DY91" s="351">
        <f>SUM(DU91:DV91)+IF(DU91="B",1,0)*DU$102+IF(DV91="B",1,0)*DV$102+IF(DU91="Løype",1)*$O$4+IF(DV91="Løype",1)*$O$4+IF(DU91="Arr",1)*$O$5+IF(DV91="Arr",1)*$O$5</f>
        <v>0</v>
      </c>
      <c r="DZ91" s="488"/>
      <c r="EA91" s="485"/>
      <c r="EB91" s="493"/>
      <c r="EC91" s="558"/>
      <c r="ED91" s="351">
        <f>SUM(DZ91:EA91)+IF(DZ91="B",1,0)*DZ$102+IF(EA91="B",1,0)*EA$102+IF(DZ91="Løype",1)*$O$4+IF(EA91="Løype",1)*$O$4+IF(DZ91="Arr",1)*$O$5+IF(EA91="Arr",1)*$O$5</f>
        <v>0</v>
      </c>
      <c r="EE91" s="488"/>
      <c r="EF91" s="485"/>
      <c r="EG91" s="493"/>
      <c r="EH91" s="558"/>
      <c r="EI91" s="351">
        <f t="shared" ref="EI91:EI97" si="102">SUM(EE91:EF91)+IF(EE91="B",1,0)*EE$102+IF(EF91="B",1,0)*EF$102+IF(EE91="Løype",1)*$O$4+IF(EF91="Løype",1)*$O$4+IF(EE91="Arr",1)*$O$5+IF(EF91="Arr",1)*$O$5</f>
        <v>0</v>
      </c>
      <c r="EJ91" s="497">
        <f t="shared" ref="EJ91:EJ97" si="103">COUNTIF($E91:$EI91,"&gt;0")/4+COUNTIF($E91:$EI91,"B")/4+COUNTIF($E91:$EI91,"Arr")/4+COUNTIF($E91:$EI91,"Løype")/4</f>
        <v>1</v>
      </c>
      <c r="EK91" s="522">
        <f t="shared" ref="EK91:EK97" si="104">COUNTIF($BH91:$EI91,"&gt;0")/4+COUNTIF($BH91:$EI91,"B")/4+COUNTIF($BH91:$EI91,"Arr")/4+COUNTIF($BH91:$EI91,"Løype")/4</f>
        <v>0</v>
      </c>
      <c r="EL91" s="267">
        <f t="shared" ref="EL91:EL97" si="105">COUNTIF($E91:$EI91,"&gt;0")/4+COUNTIF($E91:$EI91,"Arr")/4+COUNTIF($E91:$EI91,"Løype")/4-COUNTIF($E91:$EI91,"B")*3/4</f>
        <v>1</v>
      </c>
      <c r="EM91" s="267">
        <f t="shared" ref="EM91:EM97" si="106">COUNTIF(E91:EI91,"Arr")+COUNTIF(E91:EI91,"Løype")</f>
        <v>0</v>
      </c>
      <c r="EN91" s="516">
        <f t="shared" ref="EN91:EN97" si="107">COUNTIF(BH91:EI91,"Arr")+COUNTIF(BH91:EI91,"Løype")</f>
        <v>0</v>
      </c>
      <c r="EO91" s="273">
        <f t="shared" ref="EO91:EO97" si="108">EK91-EN91</f>
        <v>0</v>
      </c>
      <c r="EP91" s="15"/>
      <c r="EQ91" s="61">
        <f t="shared" ref="EQ91:EQ97" si="109">$I91+$N91+$S91+$X91+$AC91+$AH91+$AM91+$AR91+$AW91+$BB91+$BG91+$BL91+$BQ91+$BV91+$CA91+$CF91+$CK91+$CP91+$CU91+$CZ91+$DE91+$DJ91+$DO91+$DT91+$DY91+$ED91+$EI91</f>
        <v>7</v>
      </c>
      <c r="ER91" s="187">
        <f t="shared" si="101"/>
        <v>7</v>
      </c>
      <c r="ES91" s="28">
        <f t="shared" ref="ES91:ES97" si="110">IF(EJ91&gt;0,EQ91/EJ91," " )</f>
        <v>7</v>
      </c>
      <c r="ET91" s="62">
        <f t="shared" ref="ET91:ET97" si="111">IF(EL91&gt;0,ER91/EL91," " )</f>
        <v>7</v>
      </c>
      <c r="EU91" s="63"/>
      <c r="EV91" s="364">
        <f t="shared" ref="EV91:EV97" si="112">EQ91+EX$20-EJ91</f>
        <v>33</v>
      </c>
      <c r="EW91" s="368">
        <f t="shared" ref="EW91:EW97" si="113">ER91+EX$20-EL91</f>
        <v>33</v>
      </c>
      <c r="EX91" s="365">
        <f t="shared" ref="EX91:EX97" si="114">IF(EJ91&gt;0,EV91/EJ91," " )</f>
        <v>33</v>
      </c>
      <c r="EY91" s="74">
        <f t="shared" ref="EY91:EY97" si="115">IF(EL91&gt;0,EW91/EL91," " )</f>
        <v>33</v>
      </c>
      <c r="EZ91" s="63"/>
      <c r="FA91" s="336">
        <f t="shared" ref="FA91:FA97" si="116">EJ91-EM91</f>
        <v>1</v>
      </c>
      <c r="FB91" s="337">
        <f t="shared" ref="FB91:FB97" si="117">EM91</f>
        <v>0</v>
      </c>
      <c r="FC91" s="333">
        <f t="shared" ref="FC91:FC97" si="118">G91+L91+Q91+V91+AA91+AF91+AK91+AP91+AU91+AZ91+BE91+BJ91+BO91+BT91+BY91+CD91+CI91+CN91+CS91+CX91+DC91+DH91+DM91+DR91+DW91+EB91+EG91</f>
        <v>0.79032258064516125</v>
      </c>
      <c r="FD91" s="420">
        <f t="shared" ref="FD91:FD97" si="119">IF(EJ91&gt;0,FC91/EJ91," " )</f>
        <v>0.79032258064516125</v>
      </c>
      <c r="FE91" s="433">
        <f t="shared" ref="FE91:FE97" si="120">H91+M91+R91+W91+AB91+AG91+AL91+AQ91+AV91+BA91+BF91+BK91+BP91+BU91+BZ91+CE91+CJ91+CO91+CT91+CY91+DD91+DI91+DN91+DS91+DX91+EC91+EH91</f>
        <v>0.88709677419354838</v>
      </c>
      <c r="FF91" s="213">
        <f t="shared" ref="FF91:FF97" si="121">IF(EJ91&gt;0,FE91/EJ91," " )</f>
        <v>0.88709677419354838</v>
      </c>
      <c r="FG91" s="15"/>
      <c r="FH91" s="37">
        <f t="shared" si="46"/>
        <v>65</v>
      </c>
    </row>
    <row r="92" spans="2:164" ht="17" customHeight="1" thickBot="1" x14ac:dyDescent="0.25">
      <c r="B92" s="469" t="s">
        <v>144</v>
      </c>
      <c r="C92" s="470" t="s">
        <v>145</v>
      </c>
      <c r="D92" s="371">
        <v>241255</v>
      </c>
      <c r="E92" s="373"/>
      <c r="F92" s="257"/>
      <c r="G92" s="257"/>
      <c r="H92" s="326"/>
      <c r="I92" s="326">
        <f>SUM(E92:F92)+IF(E92="B",1,0)*E$102+IF(F92="B",1,0)*F$102+IF(E92="Løype",1)*$O$4+IF(F92="Løype",1)*$O$4+IF(E92="Arr",1)*$O$5+IF(F92="Arr",1)*$O$5</f>
        <v>0</v>
      </c>
      <c r="J92" s="260"/>
      <c r="K92" s="257"/>
      <c r="L92" s="257"/>
      <c r="M92" s="326"/>
      <c r="N92" s="326">
        <f>SUM(J92:K92)+IF(J92="B",1,0)*J$102+IF(K92="B",1,0)*K$102+IF(J92="Løype",1)*$O$4+IF(K92="Løype",1)*$O$4+IF(J92="Arr",1)*$O$5+IF(K92="Arr",1)*$O$5</f>
        <v>0</v>
      </c>
      <c r="O92" s="260"/>
      <c r="P92" s="257"/>
      <c r="Q92" s="257"/>
      <c r="R92" s="326"/>
      <c r="S92" s="326">
        <f>SUM(O92:P92)+IF(O92="B",1,0)*O$102+IF(P92="B",1,0)*P$102+IF(O92="Løype",1)*$O$4+IF(P92="Løype",1)*$O$4+IF(O92="Arr",1)*$O$5+IF(P92="Arr",1)*$O$5</f>
        <v>0</v>
      </c>
      <c r="T92" s="260"/>
      <c r="U92" s="257"/>
      <c r="V92" s="257"/>
      <c r="W92" s="326"/>
      <c r="X92" s="326">
        <f>SUM(T92:U92)+IF(T92="B",1,0)*T$102+IF(U92="B",1,0)*U$102+IF(T92="Løype",1)*$O$4+IF(U92="Løype",1)*$O$4+IF(T92="Arr",1)*$O$5+IF(U92="Arr",1)*$O$5</f>
        <v>0</v>
      </c>
      <c r="Y92" s="260"/>
      <c r="Z92" s="257"/>
      <c r="AA92" s="257"/>
      <c r="AB92" s="326"/>
      <c r="AC92" s="326">
        <f>SUM(Y92:Z92)+IF(Y92="B",1,0)*Y$102+IF(Z92="B",1,0)*Z$102+IF(Y92="Løype",1)*$O$4+IF(Z92="Løype",1)*$O$4+IF(Y92="Arr",1)*$O$5+IF(Z92="Arr",1)*$O$5</f>
        <v>0</v>
      </c>
      <c r="AD92" s="260"/>
      <c r="AE92" s="257"/>
      <c r="AF92" s="257"/>
      <c r="AG92" s="326"/>
      <c r="AH92" s="326">
        <f>SUM(AD92:AE92)+IF(AD92="B",1,0)*AD$102+IF(AE92="B",1,0)*AE$102+IF(AD92="Løype",1)*$O$4+IF(AE92="Løype",1)*$O$4+IF(AD92="Arr",1)*$O$5+IF(AE92="Arr",1)*$O$5</f>
        <v>0</v>
      </c>
      <c r="AI92" s="177"/>
      <c r="AJ92" s="44"/>
      <c r="AK92" s="44"/>
      <c r="AL92" s="44"/>
      <c r="AM92" s="257">
        <f>SUM(AI92:AJ92)+IF(AI92="B",1,0)*AI$102+IF(AJ92="B",1,0)*AJ$102+IF(AI92="Løype",1)*$O$4+IF(AJ92="Løype",1)*$O$4+IF(AI92="Arr",1)*$O$5+IF(AJ92="Arr",1)*$O$5</f>
        <v>0</v>
      </c>
      <c r="AN92" s="44"/>
      <c r="AO92" s="44"/>
      <c r="AP92" s="44"/>
      <c r="AQ92" s="539"/>
      <c r="AR92" s="326">
        <f>SUM(AN92:AO92)+IF(AN92="B",1,0)*AN$102+IF(AO92="B",1,0)*AO$102+IF(AN92="Løype",1)*$O$4+IF(AO92="Løype",1)*$O$4+IF(AN92="Arr",1)*$O$5+IF(AO92="Arr",1)*$O$5</f>
        <v>0</v>
      </c>
      <c r="AS92" s="177"/>
      <c r="AT92" s="44"/>
      <c r="AU92" s="44"/>
      <c r="AV92" s="539"/>
      <c r="AW92" s="326">
        <f>SUM(AS92:AT92)+IF(AS92="B",1,0)*AS$102+IF(AT92="B",1,0)*AT$102+IF(AS92="Løype",1)*$O$4+IF(AT92="Løype",1)*$O$4+IF(AS92="Arr",1)*$O$5+IF(AT92="Arr",1)*$O$5</f>
        <v>0</v>
      </c>
      <c r="AX92" s="177"/>
      <c r="AY92" s="44"/>
      <c r="AZ92" s="44"/>
      <c r="BA92" s="539"/>
      <c r="BB92" s="326">
        <f>SUM(AX92:AY92)+IF(AX92="B",1,0)*AX$102+IF(AY92="B",1,0)*AY$102+IF(AX92="Løype",1)*$O$4+IF(AY92="Løype",1)*$O$4+IF(AX92="Arr",1)*$O$5+IF(AY92="Arr",1)*$O$5</f>
        <v>0</v>
      </c>
      <c r="BC92" s="177"/>
      <c r="BD92" s="44"/>
      <c r="BE92" s="44"/>
      <c r="BF92" s="539"/>
      <c r="BG92" s="326">
        <f>SUM(BC92:BD92)+IF(BC92="B",1,0)*BC$102+IF(BD92="B",1,0)*BD$102+IF(BC92="Løype",1)*$O$4+IF(BD92="Løype",1)*$O$4+IF(BC92="Arr",1)*$O$5+IF(BD92="Arr",1)*$O$5</f>
        <v>0</v>
      </c>
      <c r="BH92" s="177"/>
      <c r="BI92" s="44"/>
      <c r="BJ92" s="44"/>
      <c r="BK92" s="539"/>
      <c r="BL92" s="326">
        <f>SUM(BH92:BI92)+IF(BH92="B",1,0)*BH$102+IF(BI92="B",1,0)*BI$102+IF(BH92="Løype",1)*$O$4+IF(BI92="Løype",1)*$O$4+IF(BH92="Arr",1)*$O$5+IF(BI92="Arr",1)*$O$5</f>
        <v>0</v>
      </c>
      <c r="BM92" s="550"/>
      <c r="BN92" s="44"/>
      <c r="BO92" s="44"/>
      <c r="BP92" s="539"/>
      <c r="BQ92" s="326">
        <f>SUM(BM92:BN92)+IF(BM92="B",1,0)*BM$102+IF(BN92="B",1,0)*BN$102+IF(BM92="Løype",1)*$O$4+IF(BN92="Løype",1)*$O$4+IF(BM92="Arr",1)*$O$5+IF(BN92="Arr",1)*$O$5</f>
        <v>0</v>
      </c>
      <c r="BR92" s="177"/>
      <c r="BS92" s="44"/>
      <c r="BT92" s="44"/>
      <c r="BU92" s="539"/>
      <c r="BV92" s="326">
        <f>SUM(BR92:BS92)+IF(BR92="B",1,0)*BR$102+IF(BS92="B",1,0)*BS$102+IF(BR92="Løype",1)*$O$4+IF(BS92="Løype",1)*$O$4+IF(BR92="Arr",1)*$O$5+IF(BS92="Arr",1)*$O$5</f>
        <v>0</v>
      </c>
      <c r="BW92" s="177"/>
      <c r="BX92" s="44"/>
      <c r="BY92" s="44"/>
      <c r="BZ92" s="539"/>
      <c r="CA92" s="326">
        <f>SUM(BW92:BX92)+IF(BW92="B",1,0)*BW$102+IF(BX92="B",1,0)*BX$102+IF(BW92="Løype",1)*$O$4+IF(BX92="Løype",1)*$O$4+IF(BW92="Arr",1)*$O$5+IF(BX92="Arr",1)*$O$5</f>
        <v>0</v>
      </c>
      <c r="CB92" s="177"/>
      <c r="CC92" s="44"/>
      <c r="CD92" s="44"/>
      <c r="CE92" s="539"/>
      <c r="CF92" s="326">
        <f>SUM(CB92:CC92)+IF(CB92="B",1,0)*CB$102+IF(CC92="B",1,0)*CC$102+IF(CB92="Løype",1)*$O$4+IF(CC92="Løype",1)*$O$4+IF(CB92="Arr",1)*$O$5+IF(CC92="Arr",1)*$O$5</f>
        <v>0</v>
      </c>
      <c r="CG92" s="177"/>
      <c r="CH92" s="44"/>
      <c r="CI92" s="44"/>
      <c r="CJ92" s="539"/>
      <c r="CK92" s="326">
        <f>SUM(CG92:CH92)+IF(CG92="B",1,0)*CG$102+IF(CH92="B",1,0)*CH$102+IF(CG92="Løype",1)*$O$4+IF(CH92="Løype",1)*$O$4+IF(CG92="Arr",1)*$O$5+IF(CH92="Arr",1)*$O$5</f>
        <v>0</v>
      </c>
      <c r="CL92" s="177"/>
      <c r="CM92" s="44"/>
      <c r="CN92" s="44"/>
      <c r="CO92" s="539"/>
      <c r="CP92" s="326">
        <f>SUM(CL92:CM92)+IF(CL92="B",1,0)*CL$102+IF(CM92="B",1,0)*CM$102+IF(CL92="Løype",1)*$O$4+IF(CM92="Løype",1)*$O$4+IF(CL92="Arr",1)*$O$5+IF(CM92="Arr",1)*$O$5</f>
        <v>0</v>
      </c>
      <c r="CQ92" s="177"/>
      <c r="CR92" s="44"/>
      <c r="CS92" s="44"/>
      <c r="CT92" s="539"/>
      <c r="CU92" s="326">
        <f>SUM(CQ92:CR92)+IF(CQ92="B",1,0)*CQ$102+IF(CR92="B",1,0)*CR$102+IF(CQ92="Løype",1)*$O$4+IF(CR92="Løype",1)*$O$4+IF(CQ92="Arr",1)*$O$5+IF(CR92="Arr",1)*$O$5</f>
        <v>0</v>
      </c>
      <c r="CV92" s="177"/>
      <c r="CW92" s="44"/>
      <c r="CX92" s="44"/>
      <c r="CY92" s="539"/>
      <c r="CZ92" s="326">
        <f>SUM(CV92:CW92)+IF(CV92="B",1,0)*CV$102+IF(CW92="B",1,0)*CW$102+IF(CV92="Løype",1)*$O$4+IF(CW92="Løype",1)*$O$4+IF(CV92="Arr",1)*$O$5+IF(CW92="Arr",1)*$O$5</f>
        <v>0</v>
      </c>
      <c r="DA92" s="177"/>
      <c r="DB92" s="44"/>
      <c r="DC92" s="44"/>
      <c r="DD92" s="539"/>
      <c r="DE92" s="326">
        <f>SUM(DA92:DB92)+IF(DA92="B",1,0)*DA$102+IF(DB92="B",1,0)*DB$102+IF(DA92="Løype",1)*$O$4+IF(DB92="Løype",1)*$O$4+IF(DA92="Arr",1)*$O$5+IF(DB92="Arr",1)*$O$5</f>
        <v>0</v>
      </c>
      <c r="DF92" s="177"/>
      <c r="DG92" s="44"/>
      <c r="DH92" s="44"/>
      <c r="DI92" s="539"/>
      <c r="DJ92" s="326">
        <f>SUM(DF92:DG92)+IF(DF92="B",1,0)*DF$102+IF(DG92="B",1,0)*DG$102+IF(DF92="Løype",1)*$O$4+IF(DG92="Løype",1)*$O$4+IF(DF92="Arr",1)*$O$5+IF(DG92="Arr",1)*$O$5</f>
        <v>0</v>
      </c>
      <c r="DK92" s="177"/>
      <c r="DL92" s="44"/>
      <c r="DM92" s="44"/>
      <c r="DN92" s="539"/>
      <c r="DO92" s="326">
        <f>SUM(DK92:DL92)+IF(DK92="B",1,0)*DK$102+IF(DL92="B",1,0)*DL$102+IF(DK92="Løype",1)*$O$4+IF(DL92="Løype",1)*$O$4+IF(DK92="Arr",1)*$O$5+IF(DL92="Arr",1)*$O$5</f>
        <v>0</v>
      </c>
      <c r="DP92" s="260"/>
      <c r="DQ92" s="257"/>
      <c r="DR92" s="257"/>
      <c r="DS92" s="326"/>
      <c r="DT92" s="326">
        <f>SUM(DP92:DQ92)+IF(DP92="B",1,0)*DP$102+IF(DQ92="B",1,0)*DQ$102+IF(DP92="Løype",1)*$O$4+IF(DQ92="Løype",1)*$O$4+IF(DP92="Arr",1)*$O$5+IF(DQ92="Arr",1)*$O$5</f>
        <v>0</v>
      </c>
      <c r="DU92" s="177"/>
      <c r="DV92" s="44"/>
      <c r="DW92" s="44"/>
      <c r="DX92" s="539"/>
      <c r="DY92" s="326">
        <f>SUM(DU92:DV92)+IF(DU92="B",1,0)*DU$102+IF(DV92="B",1,0)*DV$102+IF(DU92="Løype",1)*$O$4+IF(DV92="Løype",1)*$O$4+IF(DU92="Arr",1)*$O$5+IF(DV92="Arr",1)*$O$5</f>
        <v>0</v>
      </c>
      <c r="DZ92" s="487"/>
      <c r="EA92" s="456"/>
      <c r="EB92" s="398"/>
      <c r="EC92" s="437"/>
      <c r="ED92" s="490">
        <f>SUM(DZ92:EA92)+IF(DZ92="B",1,0)*DZ$102+IF(EA92="B",1,0)*EA$102+IF(DZ92="Løype",1)*$O$4+IF(EA92="Løype",1)*$O$4+IF(DZ92="Arr",1)*$O$5+IF(EA92="Arr",1)*$O$5</f>
        <v>0</v>
      </c>
      <c r="EE92" s="487"/>
      <c r="EF92" s="456">
        <v>11</v>
      </c>
      <c r="EG92" s="481">
        <v>0.73076923076923084</v>
      </c>
      <c r="EH92" s="489">
        <v>0.42307692307692313</v>
      </c>
      <c r="EI92" s="438">
        <f t="shared" si="102"/>
        <v>11</v>
      </c>
      <c r="EJ92" s="467">
        <f t="shared" si="103"/>
        <v>1</v>
      </c>
      <c r="EK92" s="522">
        <f t="shared" si="104"/>
        <v>1</v>
      </c>
      <c r="EL92" s="267">
        <f t="shared" si="105"/>
        <v>1</v>
      </c>
      <c r="EM92" s="267">
        <f t="shared" si="106"/>
        <v>0</v>
      </c>
      <c r="EN92" s="516">
        <f t="shared" si="107"/>
        <v>0</v>
      </c>
      <c r="EO92" s="358">
        <f t="shared" si="108"/>
        <v>1</v>
      </c>
      <c r="EP92" s="15"/>
      <c r="EQ92" s="360">
        <f t="shared" si="109"/>
        <v>11</v>
      </c>
      <c r="ER92" s="187">
        <f t="shared" si="101"/>
        <v>11</v>
      </c>
      <c r="ES92" s="377">
        <f t="shared" si="110"/>
        <v>11</v>
      </c>
      <c r="ET92" s="361">
        <f t="shared" si="111"/>
        <v>11</v>
      </c>
      <c r="EU92" s="63"/>
      <c r="EV92" s="364">
        <f t="shared" si="112"/>
        <v>37</v>
      </c>
      <c r="EW92" s="368">
        <f t="shared" si="113"/>
        <v>37</v>
      </c>
      <c r="EX92" s="365">
        <f t="shared" si="114"/>
        <v>37</v>
      </c>
      <c r="EY92" s="74">
        <f t="shared" si="115"/>
        <v>37</v>
      </c>
      <c r="EZ92" s="63"/>
      <c r="FA92" s="336">
        <f t="shared" si="116"/>
        <v>1</v>
      </c>
      <c r="FB92" s="337">
        <f t="shared" si="117"/>
        <v>0</v>
      </c>
      <c r="FC92" s="366">
        <f t="shared" si="118"/>
        <v>0.73076923076923084</v>
      </c>
      <c r="FD92" s="421">
        <f t="shared" si="119"/>
        <v>0.73076923076923084</v>
      </c>
      <c r="FE92" s="433">
        <f t="shared" si="120"/>
        <v>0.42307692307692313</v>
      </c>
      <c r="FF92" s="213">
        <f t="shared" si="121"/>
        <v>0.42307692307692313</v>
      </c>
      <c r="FG92" s="15"/>
      <c r="FH92" s="37">
        <f t="shared" si="46"/>
        <v>66</v>
      </c>
    </row>
    <row r="93" spans="2:164" ht="17" customHeight="1" thickBot="1" x14ac:dyDescent="0.25">
      <c r="B93" s="469" t="s">
        <v>151</v>
      </c>
      <c r="C93" s="470" t="s">
        <v>152</v>
      </c>
      <c r="D93" s="371">
        <v>535199</v>
      </c>
      <c r="E93" s="373"/>
      <c r="F93" s="257"/>
      <c r="G93" s="257"/>
      <c r="H93" s="326"/>
      <c r="I93" s="326">
        <f>SUM(E93:F93)+IF(E93="B",1,0)*E$102+IF(F93="B",1,0)*F$102+IF(E93="Løype",1)*$O$4+IF(F93="Løype",1)*$O$4+IF(E93="Arr",1)*$O$5+IF(F93="Arr",1)*$O$5</f>
        <v>0</v>
      </c>
      <c r="J93" s="260"/>
      <c r="K93" s="257">
        <v>12</v>
      </c>
      <c r="L93" s="325">
        <v>0.52083333333333326</v>
      </c>
      <c r="M93" s="330">
        <v>0.6875</v>
      </c>
      <c r="N93" s="326">
        <f>SUM(J93:K93)+IF(J93="B",1,0)*J$102+IF(K93="B",1,0)*K$102+IF(J93="Løype",1)*$O$4+IF(K93="Løype",1)*$O$4+IF(J93="Arr",1)*$O$5+IF(K93="Arr",1)*$O$5</f>
        <v>12</v>
      </c>
      <c r="O93" s="260"/>
      <c r="P93" s="257"/>
      <c r="Q93" s="257"/>
      <c r="R93" s="326"/>
      <c r="S93" s="326">
        <f>SUM(O93:P93)+IF(O93="B",1,0)*O$102+IF(P93="B",1,0)*P$102+IF(O93="Løype",1)*$O$4+IF(P93="Løype",1)*$O$4+IF(O93="Arr",1)*$O$5+IF(P93="Arr",1)*$O$5</f>
        <v>0</v>
      </c>
      <c r="T93" s="260"/>
      <c r="U93" s="257"/>
      <c r="V93" s="257"/>
      <c r="W93" s="326"/>
      <c r="X93" s="326">
        <f>SUM(T93:U93)+IF(T93="B",1,0)*T$102+IF(U93="B",1,0)*U$102+IF(T93="Løype",1)*$O$4+IF(U93="Løype",1)*$O$4+IF(T93="Arr",1)*$O$5+IF(U93="Arr",1)*$O$5</f>
        <v>0</v>
      </c>
      <c r="Y93" s="260"/>
      <c r="Z93" s="257"/>
      <c r="AA93" s="257"/>
      <c r="AB93" s="326"/>
      <c r="AC93" s="326">
        <f>SUM(Y93:Z93)+IF(Y93="B",1,0)*Y$102+IF(Z93="B",1,0)*Z$102+IF(Y93="Løype",1)*$O$4+IF(Z93="Løype",1)*$O$4+IF(Y93="Arr",1)*$O$5+IF(Z93="Arr",1)*$O$5</f>
        <v>0</v>
      </c>
      <c r="AD93" s="260"/>
      <c r="AE93" s="257"/>
      <c r="AF93" s="325"/>
      <c r="AG93" s="330"/>
      <c r="AH93" s="326">
        <f>SUM(AD93:AE93)+IF(AD93="B",1,0)*AD$102+IF(AE93="B",1,0)*AE$102+IF(AD93="Løype",1)*$O$4+IF(AE93="Løype",1)*$O$4+IF(AD93="Arr",1)*$O$5+IF(AE93="Arr",1)*$O$5</f>
        <v>0</v>
      </c>
      <c r="AI93" s="260"/>
      <c r="AJ93" s="257"/>
      <c r="AK93" s="257"/>
      <c r="AL93" s="257"/>
      <c r="AM93" s="257">
        <f>SUM(AI93:AJ93)+IF(AI93="B",1,0)*AI$102+IF(AJ93="B",1,0)*AJ$102+IF(AI93="Løype",1)*$O$4+IF(AJ93="Løype",1)*$O$4+IF(AI93="Arr",1)*$O$5+IF(AJ93="Arr",1)*$O$5</f>
        <v>0</v>
      </c>
      <c r="AN93" s="257"/>
      <c r="AO93" s="257"/>
      <c r="AP93" s="257"/>
      <c r="AQ93" s="326"/>
      <c r="AR93" s="326">
        <f>SUM(AN93:AO93)+IF(AN93="B",1,0)*AN$102+IF(AO93="B",1,0)*AO$102+IF(AN93="Løype",1)*$O$4+IF(AO93="Løype",1)*$O$4+IF(AN93="Arr",1)*$O$5+IF(AO93="Arr",1)*$O$5</f>
        <v>0</v>
      </c>
      <c r="AS93" s="260"/>
      <c r="AT93" s="257"/>
      <c r="AU93" s="257"/>
      <c r="AV93" s="326"/>
      <c r="AW93" s="326">
        <f>SUM(AS93:AT93)+IF(AS93="B",1,0)*AS$102+IF(AT93="B",1,0)*AT$102+IF(AS93="Løype",1)*$O$4+IF(AT93="Løype",1)*$O$4+IF(AS93="Arr",1)*$O$5+IF(AT93="Arr",1)*$O$5</f>
        <v>0</v>
      </c>
      <c r="AX93" s="260"/>
      <c r="AY93" s="257"/>
      <c r="AZ93" s="257"/>
      <c r="BA93" s="326"/>
      <c r="BB93" s="326">
        <f>SUM(AX93:AY93)+IF(AX93="B",1,0)*AX$102+IF(AY93="B",1,0)*AY$102+IF(AX93="Løype",1)*$O$4+IF(AY93="Løype",1)*$O$4+IF(AX93="Arr",1)*$O$5+IF(AY93="Arr",1)*$O$5</f>
        <v>0</v>
      </c>
      <c r="BC93" s="260"/>
      <c r="BD93" s="257"/>
      <c r="BE93" s="257"/>
      <c r="BF93" s="326"/>
      <c r="BG93" s="326">
        <f>SUM(BC93:BD93)+IF(BC93="B",1,0)*BC$102+IF(BD93="B",1,0)*BD$102+IF(BC93="Løype",1)*$O$4+IF(BD93="Løype",1)*$O$4+IF(BC93="Arr",1)*$O$5+IF(BD93="Arr",1)*$O$5</f>
        <v>0</v>
      </c>
      <c r="BH93" s="260"/>
      <c r="BI93" s="257"/>
      <c r="BJ93" s="257"/>
      <c r="BK93" s="326"/>
      <c r="BL93" s="326">
        <f>SUM(BH93:BI93)+IF(BH93="B",1,0)*BH$102+IF(BI93="B",1,0)*BI$102+IF(BH93="Løype",1)*$O$4+IF(BI93="Løype",1)*$O$4+IF(BH93="Arr",1)*$O$5+IF(BI93="Arr",1)*$O$5</f>
        <v>0</v>
      </c>
      <c r="BM93" s="375"/>
      <c r="BN93" s="257"/>
      <c r="BO93" s="257"/>
      <c r="BP93" s="326"/>
      <c r="BQ93" s="326">
        <f>SUM(BM93:BN93)+IF(BM93="B",1,0)*BM$102+IF(BN93="B",1,0)*BN$102+IF(BM93="Løype",1)*$O$4+IF(BN93="Løype",1)*$O$4+IF(BM93="Arr",1)*$O$5+IF(BN93="Arr",1)*$O$5</f>
        <v>0</v>
      </c>
      <c r="BR93" s="260"/>
      <c r="BS93" s="257"/>
      <c r="BT93" s="257"/>
      <c r="BU93" s="326"/>
      <c r="BV93" s="326">
        <f>SUM(BR93:BS93)+IF(BR93="B",1,0)*BR$102+IF(BS93="B",1,0)*BS$102+IF(BR93="Løype",1)*$O$4+IF(BS93="Løype",1)*$O$4+IF(BR93="Arr",1)*$O$5+IF(BS93="Arr",1)*$O$5</f>
        <v>0</v>
      </c>
      <c r="BW93" s="260"/>
      <c r="BX93" s="257"/>
      <c r="BY93" s="257"/>
      <c r="BZ93" s="326"/>
      <c r="CA93" s="326">
        <f>SUM(BW93:BX93)+IF(BW93="B",1,0)*BW$102+IF(BX93="B",1,0)*BX$102+IF(BW93="Løype",1)*$O$4+IF(BX93="Løype",1)*$O$4+IF(BW93="Arr",1)*$O$5+IF(BX93="Arr",1)*$O$5</f>
        <v>0</v>
      </c>
      <c r="CB93" s="260"/>
      <c r="CC93" s="257"/>
      <c r="CD93" s="257"/>
      <c r="CE93" s="326"/>
      <c r="CF93" s="326">
        <f>SUM(CB93:CC93)+IF(CB93="B",1,0)*CB$102+IF(CC93="B",1,0)*CC$102+IF(CB93="Løype",1)*$O$4+IF(CC93="Løype",1)*$O$4+IF(CB93="Arr",1)*$O$5+IF(CC93="Arr",1)*$O$5</f>
        <v>0</v>
      </c>
      <c r="CG93" s="260"/>
      <c r="CH93" s="257"/>
      <c r="CI93" s="257"/>
      <c r="CJ93" s="326"/>
      <c r="CK93" s="326">
        <f>SUM(CG93:CH93)+IF(CG93="B",1,0)*CG$102+IF(CH93="B",1,0)*CH$102+IF(CG93="Løype",1)*$O$4+IF(CH93="Løype",1)*$O$4+IF(CG93="Arr",1)*$O$5+IF(CH93="Arr",1)*$O$5</f>
        <v>0</v>
      </c>
      <c r="CL93" s="260"/>
      <c r="CM93" s="257"/>
      <c r="CN93" s="257"/>
      <c r="CO93" s="326"/>
      <c r="CP93" s="326">
        <f>SUM(CL93:CM93)+IF(CL93="B",1,0)*CL$102+IF(CM93="B",1,0)*CM$102+IF(CL93="Løype",1)*$O$4+IF(CM93="Løype",1)*$O$4+IF(CL93="Arr",1)*$O$5+IF(CM93="Arr",1)*$O$5</f>
        <v>0</v>
      </c>
      <c r="CQ93" s="260"/>
      <c r="CR93" s="257"/>
      <c r="CS93" s="257"/>
      <c r="CT93" s="326"/>
      <c r="CU93" s="326">
        <f>SUM(CQ93:CR93)+IF(CQ93="B",1,0)*CQ$102+IF(CR93="B",1,0)*CR$102+IF(CQ93="Løype",1)*$O$4+IF(CR93="Løype",1)*$O$4+IF(CQ93="Arr",1)*$O$5+IF(CR93="Arr",1)*$O$5</f>
        <v>0</v>
      </c>
      <c r="CV93" s="260"/>
      <c r="CW93" s="257"/>
      <c r="CX93" s="257"/>
      <c r="CY93" s="326"/>
      <c r="CZ93" s="326">
        <f>SUM(CV93:CW93)+IF(CV93="B",1,0)*CV$102+IF(CW93="B",1,0)*CW$102+IF(CV93="Løype",1)*$O$4+IF(CW93="Løype",1)*$O$4+IF(CV93="Arr",1)*$O$5+IF(CW93="Arr",1)*$O$5</f>
        <v>0</v>
      </c>
      <c r="DA93" s="260"/>
      <c r="DB93" s="257"/>
      <c r="DC93" s="257"/>
      <c r="DD93" s="326"/>
      <c r="DE93" s="326">
        <f>SUM(DA93:DB93)+IF(DA93="B",1,0)*DA$102+IF(DB93="B",1,0)*DB$102+IF(DA93="Løype",1)*$O$4+IF(DB93="Løype",1)*$O$4+IF(DA93="Arr",1)*$O$5+IF(DB93="Arr",1)*$O$5</f>
        <v>0</v>
      </c>
      <c r="DF93" s="260"/>
      <c r="DG93" s="257"/>
      <c r="DH93" s="257"/>
      <c r="DI93" s="326"/>
      <c r="DJ93" s="326">
        <f>SUM(DF93:DG93)+IF(DF93="B",1,0)*DF$102+IF(DG93="B",1,0)*DG$102+IF(DF93="Løype",1)*$O$4+IF(DG93="Løype",1)*$O$4+IF(DF93="Arr",1)*$O$5+IF(DG93="Arr",1)*$O$5</f>
        <v>0</v>
      </c>
      <c r="DK93" s="260"/>
      <c r="DL93" s="257"/>
      <c r="DM93" s="257"/>
      <c r="DN93" s="326"/>
      <c r="DO93" s="326">
        <f>SUM(DK93:DL93)+IF(DK93="B",1,0)*DK$102+IF(DL93="B",1,0)*DL$102+IF(DK93="Løype",1)*$O$4+IF(DL93="Løype",1)*$O$4+IF(DK93="Arr",1)*$O$5+IF(DL93="Arr",1)*$O$5</f>
        <v>0</v>
      </c>
      <c r="DP93" s="260"/>
      <c r="DQ93" s="257"/>
      <c r="DR93" s="257"/>
      <c r="DS93" s="326"/>
      <c r="DT93" s="326">
        <f>SUM(DP93:DQ93)+IF(DP93="B",1,0)*DP$102+IF(DQ93="B",1,0)*DQ$102+IF(DP93="Løype",1)*$O$4+IF(DQ93="Løype",1)*$O$4+IF(DP93="Arr",1)*$O$5+IF(DQ93="Arr",1)*$O$5</f>
        <v>0</v>
      </c>
      <c r="DU93" s="260"/>
      <c r="DV93" s="257"/>
      <c r="DW93" s="257"/>
      <c r="DX93" s="326"/>
      <c r="DY93" s="326">
        <f>SUM(DU93:DV93)+IF(DU93="B",1,0)*DU$102+IF(DV93="B",1,0)*DV$102+IF(DU93="Løype",1)*$O$4+IF(DV93="Løype",1)*$O$4+IF(DU93="Arr",1)*$O$5+IF(DV93="Arr",1)*$O$5</f>
        <v>0</v>
      </c>
      <c r="DZ93" s="487"/>
      <c r="EA93" s="456"/>
      <c r="EB93" s="398"/>
      <c r="EC93" s="437"/>
      <c r="ED93" s="490">
        <f>SUM(DZ93:EA93)+IF(DZ93="B",1,0)*DZ$102+IF(EA93="B",1,0)*EA$102+IF(DZ93="Løype",1)*$O$4+IF(EA93="Løype",1)*$O$4+IF(DZ93="Arr",1)*$O$5+IF(EA93="Arr",1)*$O$5</f>
        <v>0</v>
      </c>
      <c r="EE93" s="487"/>
      <c r="EF93" s="456"/>
      <c r="EG93" s="398"/>
      <c r="EH93" s="437"/>
      <c r="EI93" s="438">
        <f t="shared" si="102"/>
        <v>0</v>
      </c>
      <c r="EJ93" s="467">
        <f t="shared" si="103"/>
        <v>1</v>
      </c>
      <c r="EK93" s="522">
        <f t="shared" si="104"/>
        <v>0</v>
      </c>
      <c r="EL93" s="267">
        <f t="shared" si="105"/>
        <v>1</v>
      </c>
      <c r="EM93" s="267">
        <f t="shared" si="106"/>
        <v>0</v>
      </c>
      <c r="EN93" s="516">
        <f t="shared" si="107"/>
        <v>0</v>
      </c>
      <c r="EO93" s="358">
        <f t="shared" si="108"/>
        <v>0</v>
      </c>
      <c r="EP93" s="15"/>
      <c r="EQ93" s="360">
        <f t="shared" si="109"/>
        <v>12</v>
      </c>
      <c r="ER93" s="187">
        <f t="shared" si="101"/>
        <v>12</v>
      </c>
      <c r="ES93" s="377">
        <f t="shared" si="110"/>
        <v>12</v>
      </c>
      <c r="ET93" s="361">
        <f t="shared" si="111"/>
        <v>12</v>
      </c>
      <c r="EU93" s="63"/>
      <c r="EV93" s="364">
        <f t="shared" si="112"/>
        <v>38</v>
      </c>
      <c r="EW93" s="368">
        <f t="shared" si="113"/>
        <v>38</v>
      </c>
      <c r="EX93" s="365">
        <f t="shared" si="114"/>
        <v>38</v>
      </c>
      <c r="EY93" s="74">
        <f t="shared" si="115"/>
        <v>38</v>
      </c>
      <c r="EZ93" s="63"/>
      <c r="FA93" s="336">
        <f t="shared" si="116"/>
        <v>1</v>
      </c>
      <c r="FB93" s="337">
        <f t="shared" si="117"/>
        <v>0</v>
      </c>
      <c r="FC93" s="366">
        <f t="shared" si="118"/>
        <v>0.52083333333333326</v>
      </c>
      <c r="FD93" s="421">
        <f t="shared" si="119"/>
        <v>0.52083333333333326</v>
      </c>
      <c r="FE93" s="433">
        <f t="shared" si="120"/>
        <v>0.6875</v>
      </c>
      <c r="FF93" s="213">
        <f t="shared" si="121"/>
        <v>0.6875</v>
      </c>
      <c r="FG93" s="15"/>
      <c r="FH93" s="37">
        <f t="shared" si="46"/>
        <v>67</v>
      </c>
    </row>
    <row r="94" spans="2:164" ht="17" customHeight="1" thickBot="1" x14ac:dyDescent="0.25">
      <c r="B94" s="469" t="s">
        <v>232</v>
      </c>
      <c r="C94" s="470" t="s">
        <v>231</v>
      </c>
      <c r="D94" s="371"/>
      <c r="E94" s="373"/>
      <c r="F94" s="257"/>
      <c r="G94" s="257"/>
      <c r="H94" s="326"/>
      <c r="I94" s="326"/>
      <c r="J94" s="260"/>
      <c r="K94" s="257"/>
      <c r="L94" s="257"/>
      <c r="M94" s="326"/>
      <c r="N94" s="326"/>
      <c r="O94" s="260"/>
      <c r="P94" s="257"/>
      <c r="Q94" s="257"/>
      <c r="R94" s="326"/>
      <c r="S94" s="326"/>
      <c r="T94" s="260"/>
      <c r="U94" s="257"/>
      <c r="V94" s="257"/>
      <c r="W94" s="326"/>
      <c r="X94" s="326"/>
      <c r="Y94" s="260"/>
      <c r="Z94" s="257"/>
      <c r="AA94" s="325"/>
      <c r="AB94" s="330"/>
      <c r="AC94" s="326"/>
      <c r="AD94" s="260"/>
      <c r="AE94" s="257"/>
      <c r="AF94" s="257"/>
      <c r="AG94" s="326"/>
      <c r="AH94" s="326"/>
      <c r="AI94" s="260"/>
      <c r="AJ94" s="257"/>
      <c r="AK94" s="257"/>
      <c r="AL94" s="257"/>
      <c r="AM94" s="257"/>
      <c r="AN94" s="257"/>
      <c r="AO94" s="257"/>
      <c r="AP94" s="257"/>
      <c r="AQ94" s="326"/>
      <c r="AR94" s="326"/>
      <c r="AS94" s="260"/>
      <c r="AT94" s="257"/>
      <c r="AU94" s="257"/>
      <c r="AV94" s="326"/>
      <c r="AW94" s="326"/>
      <c r="AX94" s="260"/>
      <c r="AY94" s="257"/>
      <c r="AZ94" s="257"/>
      <c r="BA94" s="326"/>
      <c r="BB94" s="326"/>
      <c r="BC94" s="260"/>
      <c r="BD94" s="257"/>
      <c r="BE94" s="325"/>
      <c r="BF94" s="330"/>
      <c r="BG94" s="326"/>
      <c r="BH94" s="260"/>
      <c r="BI94" s="257"/>
      <c r="BJ94" s="257"/>
      <c r="BK94" s="326"/>
      <c r="BL94" s="326"/>
      <c r="BM94" s="375"/>
      <c r="BN94" s="257"/>
      <c r="BO94" s="257"/>
      <c r="BP94" s="326"/>
      <c r="BQ94" s="326"/>
      <c r="BR94" s="260"/>
      <c r="BS94" s="257"/>
      <c r="BT94" s="257"/>
      <c r="BU94" s="326"/>
      <c r="BV94" s="326"/>
      <c r="BW94" s="260"/>
      <c r="BX94" s="257"/>
      <c r="BY94" s="325"/>
      <c r="BZ94" s="330"/>
      <c r="CA94" s="326"/>
      <c r="CB94" s="260"/>
      <c r="CC94" s="257">
        <v>20</v>
      </c>
      <c r="CD94" s="325">
        <v>0.31666666666666665</v>
      </c>
      <c r="CE94" s="330">
        <v>0.25</v>
      </c>
      <c r="CF94" s="326">
        <f>SUM(CB94:CC94)+IF(CB94="B",1,0)*CB$102+IF(CC94="B",1,0)*CC$102+IF(CB94="Løype",1)*$O$4+IF(CC94="Løype",1)*$O$4+IF(CB94="Arr",1)*$O$5+IF(CC94="Arr",1)*$O$5</f>
        <v>20</v>
      </c>
      <c r="CG94" s="260"/>
      <c r="CH94" s="257"/>
      <c r="CI94" s="257"/>
      <c r="CJ94" s="326"/>
      <c r="CK94" s="326">
        <f>SUM(CG94:CH94)+IF(CG94="B",1,0)*CG$102+IF(CH94="B",1,0)*CH$102+IF(CG94="Løype",1)*$O$4+IF(CH94="Løype",1)*$O$4+IF(CG94="Arr",1)*$O$5+IF(CH94="Arr",1)*$O$5</f>
        <v>0</v>
      </c>
      <c r="CL94" s="260"/>
      <c r="CM94" s="257"/>
      <c r="CN94" s="257"/>
      <c r="CO94" s="326"/>
      <c r="CP94" s="326">
        <f>SUM(CL94:CM94)+IF(CL94="B",1,0)*CL$102+IF(CM94="B",1,0)*CM$102+IF(CL94="Løype",1)*$O$4+IF(CM94="Løype",1)*$O$4+IF(CL94="Arr",1)*$O$5+IF(CM94="Arr",1)*$O$5</f>
        <v>0</v>
      </c>
      <c r="CQ94" s="260"/>
      <c r="CR94" s="257"/>
      <c r="CS94" s="257"/>
      <c r="CT94" s="326"/>
      <c r="CU94" s="326">
        <f>SUM(CQ94:CR94)+IF(CQ94="B",1,0)*CQ$102+IF(CR94="B",1,0)*CR$102+IF(CQ94="Løype",1)*$O$4+IF(CR94="Løype",1)*$O$4+IF(CQ94="Arr",1)*$O$5+IF(CR94="Arr",1)*$O$5</f>
        <v>0</v>
      </c>
      <c r="CV94" s="260"/>
      <c r="CW94" s="257"/>
      <c r="CX94" s="257"/>
      <c r="CY94" s="326"/>
      <c r="CZ94" s="326">
        <f>SUM(CV94:CW94)+IF(CV94="B",1,0)*CV$102+IF(CW94="B",1,0)*CW$102+IF(CV94="Løype",1)*$O$4+IF(CW94="Løype",1)*$O$4+IF(CV94="Arr",1)*$O$5+IF(CW94="Arr",1)*$O$5</f>
        <v>0</v>
      </c>
      <c r="DA94" s="260"/>
      <c r="DB94" s="257"/>
      <c r="DC94" s="257"/>
      <c r="DD94" s="326"/>
      <c r="DE94" s="326">
        <f>SUM(DA94:DB94)+IF(DA94="B",1,0)*DA$102+IF(DB94="B",1,0)*DB$102+IF(DA94="Løype",1)*$O$4+IF(DB94="Løype",1)*$O$4+IF(DA94="Arr",1)*$O$5+IF(DB94="Arr",1)*$O$5</f>
        <v>0</v>
      </c>
      <c r="DF94" s="260"/>
      <c r="DG94" s="257"/>
      <c r="DH94" s="257"/>
      <c r="DI94" s="326"/>
      <c r="DJ94" s="326">
        <f>SUM(DF94:DG94)+IF(DF94="B",1,0)*DF$102+IF(DG94="B",1,0)*DG$102+IF(DF94="Løype",1)*$O$4+IF(DG94="Løype",1)*$O$4+IF(DF94="Arr",1)*$O$5+IF(DG94="Arr",1)*$O$5</f>
        <v>0</v>
      </c>
      <c r="DK94" s="260"/>
      <c r="DL94" s="257"/>
      <c r="DM94" s="257"/>
      <c r="DN94" s="326"/>
      <c r="DO94" s="326">
        <f>SUM(DK94:DL94)+IF(DK94="B",1,0)*DK$102+IF(DL94="B",1,0)*DL$102+IF(DK94="Løype",1)*$O$4+IF(DL94="Løype",1)*$O$4+IF(DK94="Arr",1)*$O$5+IF(DL94="Arr",1)*$O$5</f>
        <v>0</v>
      </c>
      <c r="DP94" s="260"/>
      <c r="DQ94" s="257"/>
      <c r="DR94" s="257"/>
      <c r="DS94" s="326"/>
      <c r="DT94" s="326">
        <f>SUM(DP94:DQ94)+IF(DP94="B",1,0)*DP$102+IF(DQ94="B",1,0)*DQ$102+IF(DP94="Løype",1)*$O$4+IF(DQ94="Løype",1)*$O$4+IF(DP94="Arr",1)*$O$5+IF(DQ94="Arr",1)*$O$5</f>
        <v>0</v>
      </c>
      <c r="DU94" s="260"/>
      <c r="DV94" s="257"/>
      <c r="DW94" s="257"/>
      <c r="DX94" s="326"/>
      <c r="DY94" s="326">
        <f>SUM(DU94:DV94)+IF(DU94="B",1,0)*DU$102+IF(DV94="B",1,0)*DV$102+IF(DU94="Løype",1)*$O$4+IF(DV94="Løype",1)*$O$4+IF(DU94="Arr",1)*$O$5+IF(DV94="Arr",1)*$O$5</f>
        <v>0</v>
      </c>
      <c r="DZ94" s="487"/>
      <c r="EA94" s="456"/>
      <c r="EB94" s="398"/>
      <c r="EC94" s="437"/>
      <c r="ED94" s="490">
        <f>SUM(DZ94:EA94)+IF(DZ94="B",1,0)*DZ$102+IF(EA94="B",1,0)*EA$102+IF(DZ94="Løype",1)*$O$4+IF(EA94="Løype",1)*$O$4+IF(DZ94="Arr",1)*$O$5+IF(EA94="Arr",1)*$O$5</f>
        <v>0</v>
      </c>
      <c r="EE94" s="487"/>
      <c r="EF94" s="456"/>
      <c r="EG94" s="398"/>
      <c r="EH94" s="437"/>
      <c r="EI94" s="438">
        <f t="shared" si="102"/>
        <v>0</v>
      </c>
      <c r="EJ94" s="467">
        <f t="shared" si="103"/>
        <v>1</v>
      </c>
      <c r="EK94" s="522">
        <f t="shared" si="104"/>
        <v>1</v>
      </c>
      <c r="EL94" s="267">
        <f t="shared" si="105"/>
        <v>1</v>
      </c>
      <c r="EM94" s="267">
        <f t="shared" si="106"/>
        <v>0</v>
      </c>
      <c r="EN94" s="516">
        <f t="shared" si="107"/>
        <v>0</v>
      </c>
      <c r="EO94" s="358">
        <f t="shared" si="108"/>
        <v>1</v>
      </c>
      <c r="EP94" s="15"/>
      <c r="EQ94" s="360">
        <f t="shared" si="109"/>
        <v>20</v>
      </c>
      <c r="ER94" s="187">
        <f t="shared" si="101"/>
        <v>20</v>
      </c>
      <c r="ES94" s="377">
        <f t="shared" si="110"/>
        <v>20</v>
      </c>
      <c r="ET94" s="361">
        <f t="shared" si="111"/>
        <v>20</v>
      </c>
      <c r="EU94" s="63"/>
      <c r="EV94" s="364">
        <f t="shared" si="112"/>
        <v>46</v>
      </c>
      <c r="EW94" s="368">
        <f t="shared" si="113"/>
        <v>46</v>
      </c>
      <c r="EX94" s="365">
        <f t="shared" si="114"/>
        <v>46</v>
      </c>
      <c r="EY94" s="74">
        <f t="shared" si="115"/>
        <v>46</v>
      </c>
      <c r="EZ94" s="63"/>
      <c r="FA94" s="336">
        <f t="shared" si="116"/>
        <v>1</v>
      </c>
      <c r="FB94" s="337">
        <f t="shared" si="117"/>
        <v>0</v>
      </c>
      <c r="FC94" s="366">
        <f t="shared" si="118"/>
        <v>0.31666666666666665</v>
      </c>
      <c r="FD94" s="421">
        <f t="shared" si="119"/>
        <v>0.31666666666666665</v>
      </c>
      <c r="FE94" s="433">
        <f t="shared" si="120"/>
        <v>0.25</v>
      </c>
      <c r="FF94" s="213">
        <f t="shared" si="121"/>
        <v>0.25</v>
      </c>
      <c r="FG94" s="15"/>
      <c r="FH94" s="37">
        <f t="shared" si="46"/>
        <v>68</v>
      </c>
    </row>
    <row r="95" spans="2:164" ht="17" customHeight="1" thickBot="1" x14ac:dyDescent="0.25">
      <c r="B95" s="482" t="s">
        <v>265</v>
      </c>
      <c r="C95" s="483" t="s">
        <v>266</v>
      </c>
      <c r="D95" s="371"/>
      <c r="E95" s="373"/>
      <c r="F95" s="257"/>
      <c r="G95" s="325"/>
      <c r="H95" s="330"/>
      <c r="I95" s="326"/>
      <c r="J95" s="260"/>
      <c r="K95" s="257"/>
      <c r="L95" s="325"/>
      <c r="M95" s="330"/>
      <c r="N95" s="326"/>
      <c r="O95" s="260"/>
      <c r="P95" s="257"/>
      <c r="Q95" s="257"/>
      <c r="R95" s="326"/>
      <c r="S95" s="326"/>
      <c r="T95" s="260"/>
      <c r="U95" s="257"/>
      <c r="V95" s="325"/>
      <c r="W95" s="330"/>
      <c r="X95" s="326"/>
      <c r="Y95" s="260"/>
      <c r="Z95" s="257"/>
      <c r="AA95" s="325"/>
      <c r="AB95" s="330"/>
      <c r="AC95" s="326"/>
      <c r="AD95" s="176"/>
      <c r="AE95" s="257"/>
      <c r="AF95" s="325"/>
      <c r="AG95" s="330"/>
      <c r="AH95" s="326"/>
      <c r="AI95" s="260"/>
      <c r="AJ95" s="257"/>
      <c r="AK95" s="325"/>
      <c r="AL95" s="325"/>
      <c r="AM95" s="257"/>
      <c r="AN95" s="257"/>
      <c r="AO95" s="81"/>
      <c r="AP95" s="504"/>
      <c r="AQ95" s="505"/>
      <c r="AR95" s="326"/>
      <c r="AS95" s="260"/>
      <c r="AT95" s="257"/>
      <c r="AU95" s="325"/>
      <c r="AV95" s="330"/>
      <c r="AW95" s="326"/>
      <c r="AX95" s="260"/>
      <c r="AY95" s="257"/>
      <c r="AZ95" s="325"/>
      <c r="BA95" s="330"/>
      <c r="BB95" s="326"/>
      <c r="BC95" s="260"/>
      <c r="BD95" s="257"/>
      <c r="BE95" s="325"/>
      <c r="BF95" s="330"/>
      <c r="BG95" s="326"/>
      <c r="BH95" s="260"/>
      <c r="BI95" s="257"/>
      <c r="BJ95" s="257"/>
      <c r="BK95" s="326"/>
      <c r="BL95" s="326"/>
      <c r="BM95" s="375"/>
      <c r="BN95" s="257"/>
      <c r="BO95" s="325"/>
      <c r="BP95" s="330"/>
      <c r="BQ95" s="326"/>
      <c r="BR95" s="260"/>
      <c r="BS95" s="257"/>
      <c r="BT95" s="325"/>
      <c r="BU95" s="330"/>
      <c r="BV95" s="326"/>
      <c r="BW95" s="260"/>
      <c r="BX95" s="257"/>
      <c r="BY95" s="325"/>
      <c r="BZ95" s="330"/>
      <c r="CA95" s="326"/>
      <c r="CB95" s="260"/>
      <c r="CC95" s="257"/>
      <c r="CD95" s="325"/>
      <c r="CE95" s="330"/>
      <c r="CF95" s="326"/>
      <c r="CG95" s="260"/>
      <c r="CH95" s="257"/>
      <c r="CI95" s="325"/>
      <c r="CJ95" s="330"/>
      <c r="CK95" s="326"/>
      <c r="CL95" s="176"/>
      <c r="CM95" s="452"/>
      <c r="CN95" s="508"/>
      <c r="CO95" s="484"/>
      <c r="CP95" s="326"/>
      <c r="CQ95" s="260"/>
      <c r="CR95" s="257"/>
      <c r="CS95" s="257"/>
      <c r="CT95" s="326"/>
      <c r="CU95" s="326"/>
      <c r="CV95" s="260"/>
      <c r="CW95" s="257"/>
      <c r="CX95" s="325"/>
      <c r="CY95" s="330"/>
      <c r="CZ95" s="326"/>
      <c r="DA95" s="260"/>
      <c r="DB95" s="257"/>
      <c r="DC95" s="325"/>
      <c r="DD95" s="330"/>
      <c r="DE95" s="326"/>
      <c r="DF95" s="260"/>
      <c r="DG95" s="257"/>
      <c r="DH95" s="325"/>
      <c r="DI95" s="330"/>
      <c r="DJ95" s="326"/>
      <c r="DK95" s="260"/>
      <c r="DL95" s="456"/>
      <c r="DM95" s="511"/>
      <c r="DN95" s="330"/>
      <c r="DO95" s="326"/>
      <c r="DP95" s="260"/>
      <c r="DQ95" s="257"/>
      <c r="DR95" s="325"/>
      <c r="DS95" s="330"/>
      <c r="DT95" s="326"/>
      <c r="DU95" s="260"/>
      <c r="DV95" s="257"/>
      <c r="DW95" s="511"/>
      <c r="DX95" s="481"/>
      <c r="DY95" s="326"/>
      <c r="DZ95" s="487"/>
      <c r="EA95" s="456">
        <v>5</v>
      </c>
      <c r="EB95" s="481">
        <v>0.9</v>
      </c>
      <c r="EC95" s="489">
        <v>0.23333333333333328</v>
      </c>
      <c r="ED95" s="490">
        <v>5</v>
      </c>
      <c r="EE95" s="487"/>
      <c r="EF95" s="456"/>
      <c r="EG95" s="481"/>
      <c r="EH95" s="489"/>
      <c r="EI95" s="438">
        <f t="shared" si="102"/>
        <v>0</v>
      </c>
      <c r="EJ95" s="467">
        <f t="shared" si="103"/>
        <v>1</v>
      </c>
      <c r="EK95" s="522">
        <f t="shared" si="104"/>
        <v>1</v>
      </c>
      <c r="EL95" s="267">
        <f t="shared" si="105"/>
        <v>1</v>
      </c>
      <c r="EM95" s="267">
        <f t="shared" si="106"/>
        <v>0</v>
      </c>
      <c r="EN95" s="516">
        <f t="shared" si="107"/>
        <v>0</v>
      </c>
      <c r="EO95" s="358">
        <f t="shared" si="108"/>
        <v>1</v>
      </c>
      <c r="EP95" s="15"/>
      <c r="EQ95" s="360">
        <f t="shared" si="109"/>
        <v>5</v>
      </c>
      <c r="ER95" s="187">
        <f t="shared" si="101"/>
        <v>5</v>
      </c>
      <c r="ES95" s="377">
        <f t="shared" si="110"/>
        <v>5</v>
      </c>
      <c r="ET95" s="361">
        <f t="shared" si="111"/>
        <v>5</v>
      </c>
      <c r="EU95" s="63"/>
      <c r="EV95" s="364">
        <f t="shared" si="112"/>
        <v>31</v>
      </c>
      <c r="EW95" s="368">
        <f t="shared" si="113"/>
        <v>31</v>
      </c>
      <c r="EX95" s="365">
        <f t="shared" si="114"/>
        <v>31</v>
      </c>
      <c r="EY95" s="74">
        <f t="shared" si="115"/>
        <v>31</v>
      </c>
      <c r="EZ95" s="63"/>
      <c r="FA95" s="336">
        <f t="shared" si="116"/>
        <v>1</v>
      </c>
      <c r="FB95" s="337">
        <f t="shared" si="117"/>
        <v>0</v>
      </c>
      <c r="FC95" s="366">
        <f t="shared" si="118"/>
        <v>0.9</v>
      </c>
      <c r="FD95" s="421">
        <f t="shared" si="119"/>
        <v>0.9</v>
      </c>
      <c r="FE95" s="433">
        <f t="shared" si="120"/>
        <v>0.23333333333333328</v>
      </c>
      <c r="FF95" s="213">
        <f t="shared" si="121"/>
        <v>0.23333333333333328</v>
      </c>
      <c r="FG95" s="15"/>
      <c r="FH95" s="37">
        <f t="shared" si="46"/>
        <v>69</v>
      </c>
    </row>
    <row r="96" spans="2:164" ht="17" customHeight="1" thickBot="1" x14ac:dyDescent="0.25">
      <c r="B96" s="469" t="s">
        <v>124</v>
      </c>
      <c r="C96" s="470" t="s">
        <v>125</v>
      </c>
      <c r="D96" s="524">
        <v>76092</v>
      </c>
      <c r="E96" s="525"/>
      <c r="F96" s="295"/>
      <c r="G96" s="295"/>
      <c r="H96" s="526"/>
      <c r="I96" s="326">
        <f>SUM(E96:F96)+IF(E96="B",1,0)*E$102+IF(F96="B",1,0)*F$102+IF(E96="Løype",1)*$O$4+IF(F96="Løype",1)*$O$4+IF(E96="Arr",1)*$O$5+IF(F96="Arr",1)*$O$5</f>
        <v>0</v>
      </c>
      <c r="J96" s="294"/>
      <c r="K96" s="295"/>
      <c r="L96" s="295"/>
      <c r="M96" s="526"/>
      <c r="N96" s="326">
        <f>SUM(J96:K96)+IF(J96="B",1,0)*J$102+IF(K96="B",1,0)*K$102+IF(J96="Løype",1)*$O$4+IF(K96="Løype",1)*$O$4+IF(J96="Arr",1)*$O$5+IF(K96="Arr",1)*$O$5</f>
        <v>0</v>
      </c>
      <c r="O96" s="294"/>
      <c r="P96" s="295"/>
      <c r="Q96" s="295"/>
      <c r="R96" s="526"/>
      <c r="S96" s="326">
        <f>SUM(O96:P96)+IF(O96="B",1,0)*O$102+IF(P96="B",1,0)*P$102+IF(O96="Løype",1)*$O$4+IF(P96="Løype",1)*$O$4+IF(O96="Arr",1)*$O$5+IF(P96="Arr",1)*$O$5</f>
        <v>0</v>
      </c>
      <c r="T96" s="294"/>
      <c r="U96" s="295"/>
      <c r="V96" s="295"/>
      <c r="W96" s="526"/>
      <c r="X96" s="326">
        <f>SUM(T96:U96)+IF(T96="B",1,0)*T$102+IF(U96="B",1,0)*U$102+IF(T96="Løype",1)*$O$4+IF(U96="Løype",1)*$O$4+IF(T96="Arr",1)*$O$5+IF(U96="Arr",1)*$O$5</f>
        <v>0</v>
      </c>
      <c r="Y96" s="294"/>
      <c r="Z96" s="295"/>
      <c r="AA96" s="295"/>
      <c r="AB96" s="526"/>
      <c r="AC96" s="326">
        <f>SUM(Y96:Z96)+IF(Y96="B",1,0)*Y$102+IF(Z96="B",1,0)*Z$102+IF(Y96="Løype",1)*$O$4+IF(Z96="Løype",1)*$O$4+IF(Y96="Arr",1)*$O$5+IF(Z96="Arr",1)*$O$5</f>
        <v>0</v>
      </c>
      <c r="AD96" s="294"/>
      <c r="AE96" s="295"/>
      <c r="AF96" s="295"/>
      <c r="AG96" s="526"/>
      <c r="AH96" s="326">
        <f>SUM(AD96:AE96)+IF(AD96="B",1,0)*AD$102+IF(AE96="B",1,0)*AE$102+IF(AD96="Løype",1)*$O$4+IF(AE96="Løype",1)*$O$4+IF(AD96="Arr",1)*$O$5+IF(AE96="Arr",1)*$O$5</f>
        <v>0</v>
      </c>
      <c r="AI96" s="294"/>
      <c r="AJ96" s="295"/>
      <c r="AK96" s="295"/>
      <c r="AL96" s="295"/>
      <c r="AM96" s="257">
        <f>SUM(AI96:AJ96)+IF(AI96="B",1,0)*AI$102+IF(AJ96="B",1,0)*AJ$102+IF(AI96="Løype",1)*$O$4+IF(AJ96="Løype",1)*$O$4+IF(AI96="Arr",1)*$O$5+IF(AJ96="Arr",1)*$O$5</f>
        <v>0</v>
      </c>
      <c r="AN96" s="295"/>
      <c r="AO96" s="295"/>
      <c r="AP96" s="295"/>
      <c r="AQ96" s="526"/>
      <c r="AR96" s="326">
        <f>SUM(AN96:AO96)+IF(AN96="B",1,0)*AN$102+IF(AO96="B",1,0)*AO$102+IF(AN96="Løype",1)*$O$4+IF(AO96="Løype",1)*$O$4+IF(AN96="Arr",1)*$O$5+IF(AO96="Arr",1)*$O$5</f>
        <v>0</v>
      </c>
      <c r="AS96" s="294"/>
      <c r="AT96" s="295"/>
      <c r="AU96" s="295"/>
      <c r="AV96" s="526"/>
      <c r="AW96" s="326">
        <f>SUM(AS96:AT96)+IF(AS96="B",1,0)*AS$102+IF(AT96="B",1,0)*AT$102+IF(AS96="Løype",1)*$O$4+IF(AT96="Løype",1)*$O$4+IF(AS96="Arr",1)*$O$5+IF(AT96="Arr",1)*$O$5</f>
        <v>0</v>
      </c>
      <c r="AX96" s="294"/>
      <c r="AY96" s="295"/>
      <c r="AZ96" s="295"/>
      <c r="BA96" s="526"/>
      <c r="BB96" s="326">
        <f>SUM(AX96:AY96)+IF(AX96="B",1,0)*AX$102+IF(AY96="B",1,0)*AY$102+IF(AX96="Løype",1)*$O$4+IF(AY96="Løype",1)*$O$4+IF(AX96="Arr",1)*$O$5+IF(AY96="Arr",1)*$O$5</f>
        <v>0</v>
      </c>
      <c r="BC96" s="294"/>
      <c r="BD96" s="295"/>
      <c r="BE96" s="295"/>
      <c r="BF96" s="526"/>
      <c r="BG96" s="326">
        <f>SUM(BC96:BD96)+IF(BC96="B",1,0)*BC$102+IF(BD96="B",1,0)*BD$102+IF(BC96="Løype",1)*$O$4+IF(BD96="Løype",1)*$O$4+IF(BC96="Arr",1)*$O$5+IF(BD96="Arr",1)*$O$5</f>
        <v>0</v>
      </c>
      <c r="BH96" s="294"/>
      <c r="BI96" s="295"/>
      <c r="BJ96" s="295"/>
      <c r="BK96" s="526"/>
      <c r="BL96" s="326">
        <f>SUM(BH96:BI96)+IF(BH96="B",1,0)*BH$102+IF(BI96="B",1,0)*BI$102+IF(BH96="Løype",1)*$O$4+IF(BI96="Løype",1)*$O$4+IF(BH96="Arr",1)*$O$5+IF(BI96="Arr",1)*$O$5</f>
        <v>0</v>
      </c>
      <c r="BM96" s="549"/>
      <c r="BN96" s="295"/>
      <c r="BO96" s="295"/>
      <c r="BP96" s="526"/>
      <c r="BQ96" s="326">
        <f>SUM(BM96:BN96)+IF(BM96="B",1,0)*BM$102+IF(BN96="B",1,0)*BN$102+IF(BM96="Løype",1)*$O$4+IF(BN96="Løype",1)*$O$4+IF(BM96="Arr",1)*$O$5+IF(BN96="Arr",1)*$O$5</f>
        <v>0</v>
      </c>
      <c r="BR96" s="294"/>
      <c r="BS96" s="295"/>
      <c r="BT96" s="295"/>
      <c r="BU96" s="526"/>
      <c r="BV96" s="326">
        <f>SUM(BR96:BS96)+IF(BR96="B",1,0)*BR$102+IF(BS96="B",1,0)*BS$102+IF(BR96="Løype",1)*$O$4+IF(BS96="Løype",1)*$O$4+IF(BR96="Arr",1)*$O$5+IF(BS96="Arr",1)*$O$5</f>
        <v>0</v>
      </c>
      <c r="BW96" s="294"/>
      <c r="BX96" s="295"/>
      <c r="BY96" s="295"/>
      <c r="BZ96" s="526"/>
      <c r="CA96" s="326">
        <f>SUM(BW96:BX96)+IF(BW96="B",1,0)*BW$102+IF(BX96="B",1,0)*BX$102+IF(BW96="Løype",1)*$O$4+IF(BX96="Løype",1)*$O$4+IF(BW96="Arr",1)*$O$5+IF(BX96="Arr",1)*$O$5</f>
        <v>0</v>
      </c>
      <c r="CB96" s="294"/>
      <c r="CC96" s="295"/>
      <c r="CD96" s="295"/>
      <c r="CE96" s="526"/>
      <c r="CF96" s="326">
        <f>SUM(CB96:CC96)+IF(CB96="B",1,0)*CB$102+IF(CC96="B",1,0)*CC$102+IF(CB96="Løype",1)*$O$4+IF(CC96="Løype",1)*$O$4+IF(CB96="Arr",1)*$O$5+IF(CC96="Arr",1)*$O$5</f>
        <v>0</v>
      </c>
      <c r="CG96" s="294"/>
      <c r="CH96" s="295"/>
      <c r="CI96" s="295"/>
      <c r="CJ96" s="526"/>
      <c r="CK96" s="326">
        <f>SUM(CG96:CH96)+IF(CG96="B",1,0)*CG$102+IF(CH96="B",1,0)*CH$102+IF(CG96="Løype",1)*$O$4+IF(CH96="Løype",1)*$O$4+IF(CG96="Arr",1)*$O$5+IF(CH96="Arr",1)*$O$5</f>
        <v>0</v>
      </c>
      <c r="CL96" s="294"/>
      <c r="CM96" s="295"/>
      <c r="CN96" s="295"/>
      <c r="CO96" s="526"/>
      <c r="CP96" s="326">
        <f>SUM(CL96:CM96)+IF(CL96="B",1,0)*CL$102+IF(CM96="B",1,0)*CM$102+IF(CL96="Løype",1)*$O$4+IF(CM96="Løype",1)*$O$4+IF(CL96="Arr",1)*$O$5+IF(CM96="Arr",1)*$O$5</f>
        <v>0</v>
      </c>
      <c r="CQ96" s="294"/>
      <c r="CR96" s="295"/>
      <c r="CS96" s="295"/>
      <c r="CT96" s="526"/>
      <c r="CU96" s="326">
        <f>SUM(CQ96:CR96)+IF(CQ96="B",1,0)*CQ$102+IF(CR96="B",1,0)*CR$102+IF(CQ96="Løype",1)*$O$4+IF(CR96="Løype",1)*$O$4+IF(CQ96="Arr",1)*$O$5+IF(CR96="Arr",1)*$O$5</f>
        <v>0</v>
      </c>
      <c r="CV96" s="294"/>
      <c r="CW96" s="295"/>
      <c r="CX96" s="295"/>
      <c r="CY96" s="526"/>
      <c r="CZ96" s="326">
        <f>SUM(CV96:CW96)+IF(CV96="B",1,0)*CV$102+IF(CW96="B",1,0)*CW$102+IF(CV96="Løype",1)*$O$4+IF(CW96="Løype",1)*$O$4+IF(CV96="Arr",1)*$O$5+IF(CW96="Arr",1)*$O$5</f>
        <v>0</v>
      </c>
      <c r="DA96" s="294"/>
      <c r="DB96" s="295"/>
      <c r="DC96" s="295"/>
      <c r="DD96" s="526"/>
      <c r="DE96" s="326">
        <f>SUM(DA96:DB96)+IF(DA96="B",1,0)*DA$102+IF(DB96="B",1,0)*DB$102+IF(DA96="Løype",1)*$O$4+IF(DB96="Løype",1)*$O$4+IF(DA96="Arr",1)*$O$5+IF(DB96="Arr",1)*$O$5</f>
        <v>0</v>
      </c>
      <c r="DF96" s="294"/>
      <c r="DG96" s="295"/>
      <c r="DH96" s="295"/>
      <c r="DI96" s="526"/>
      <c r="DJ96" s="326">
        <f>SUM(DF96:DG96)+IF(DF96="B",1,0)*DF$102+IF(DG96="B",1,0)*DG$102+IF(DF96="Løype",1)*$O$4+IF(DG96="Løype",1)*$O$4+IF(DF96="Arr",1)*$O$5+IF(DG96="Arr",1)*$O$5</f>
        <v>0</v>
      </c>
      <c r="DK96" s="294"/>
      <c r="DL96" s="295"/>
      <c r="DM96" s="295"/>
      <c r="DN96" s="526"/>
      <c r="DO96" s="326">
        <f>SUM(DK96:DL96)+IF(DK96="B",1,0)*DK$102+IF(DL96="B",1,0)*DL$102+IF(DK96="Løype",1)*$O$4+IF(DL96="Løype",1)*$O$4+IF(DK96="Arr",1)*$O$5+IF(DL96="Arr",1)*$O$5</f>
        <v>0</v>
      </c>
      <c r="DP96" s="260"/>
      <c r="DQ96" s="257"/>
      <c r="DR96" s="257"/>
      <c r="DS96" s="326"/>
      <c r="DT96" s="326">
        <f>SUM(DP96:DQ96)+IF(DP96="B",1,0)*DP$102+IF(DQ96="B",1,0)*DQ$102+IF(DP96="Løype",1)*$O$4+IF(DQ96="Løype",1)*$O$4+IF(DP96="Arr",1)*$O$5+IF(DQ96="Arr",1)*$O$5</f>
        <v>0</v>
      </c>
      <c r="DU96" s="294"/>
      <c r="DV96" s="295"/>
      <c r="DW96" s="295"/>
      <c r="DX96" s="526"/>
      <c r="DY96" s="326">
        <f>SUM(DU96:DV96)+IF(DU96="B",1,0)*DU$102+IF(DV96="B",1,0)*DV$102+IF(DU96="Løype",1)*$O$4+IF(DV96="Løype",1)*$O$4+IF(DU96="Arr",1)*$O$5+IF(DV96="Arr",1)*$O$5</f>
        <v>0</v>
      </c>
      <c r="DZ96" s="487"/>
      <c r="EA96" s="81"/>
      <c r="EB96" s="398"/>
      <c r="EC96" s="437"/>
      <c r="ED96" s="490">
        <f>SUM(DZ96:EA96)+IF(DZ96="B",1,0)*DZ$102+IF(EA96="B",1,0)*EA$102+IF(DZ96="Løype",1)*$O$4+IF(EA96="Løype",1)*$O$4+IF(DZ96="Arr",1)*$O$5+IF(EA96="Arr",1)*$O$5</f>
        <v>0</v>
      </c>
      <c r="EE96" s="487"/>
      <c r="EF96" s="81"/>
      <c r="EG96" s="398"/>
      <c r="EH96" s="437"/>
      <c r="EI96" s="438">
        <f t="shared" si="102"/>
        <v>0</v>
      </c>
      <c r="EJ96" s="467">
        <f t="shared" si="103"/>
        <v>0</v>
      </c>
      <c r="EK96" s="522">
        <f t="shared" si="104"/>
        <v>0</v>
      </c>
      <c r="EL96" s="267">
        <f t="shared" si="105"/>
        <v>0</v>
      </c>
      <c r="EM96" s="267">
        <f t="shared" si="106"/>
        <v>0</v>
      </c>
      <c r="EN96" s="516">
        <f t="shared" si="107"/>
        <v>0</v>
      </c>
      <c r="EO96" s="358">
        <f t="shared" si="108"/>
        <v>0</v>
      </c>
      <c r="EP96" s="15"/>
      <c r="EQ96" s="360">
        <f t="shared" si="109"/>
        <v>0</v>
      </c>
      <c r="ER96" s="187">
        <f>IF(OR($E96="B",$F96="B"),0,$I96)+IF(OR($J96="B",$K96="B"),0,$N96)+IF(OR($O96="B",$P96="B"),0,$S96)+IF(OR($T96="B",$U96="B"),0,$X96)+IF(OR($Y96="B",$Z96="B"),0,$AC96)+IF(OR($AD96="B",$AE96="B"),0,$AH96)+IF(OR($AI96="B",$AJ96="B"),0,$AM96)+IF(OR($HP74="B",$AO96="B"),0,$AR96)+IF(OR($AS96="B",$AT96="B"),0,$AW96)+IF(OR($AX96="B",$AY96="B"),0,$BB96)+IF(OR($BC96="B",$BD96="B"),0,$BG96)+IF(OR($BH96="B",$BI96="B"),0,$BL96)+IF(OR($BM96="B",$BN96="B"),0,$BQ96)+IF(OR($BR96="B",$BS96="B"),0,$BV96)+IF(OR($BW96="B",$BX96="B"),0,$CA96)+IF(OR($CB96="B",$CC96="B"),0,$CF96)+IF(OR($CG96="B",$CH96="B"),0,$CK96)+IF(OR($CL96="B",$CM96="B"),0,$CP96)+IF(OR($CQ96="B",$CR96="B"),0,$CU96)+IF(OR($CV96="B",$CW96="B"),0,$CZ96)+IF(OR($DA96="B",$DB96="B"),0,$DE96)+IF(OR($DF96="B",$DG96="B"),0,$DJ96)+IF(OR($DK96="B",$DL96="B"),0,$DO96)+IF(OR($DP96="B",$DQ96="B"),0,$DT96)+IF(OR($DU96="B",$DV96="B"),0,$DY96)+IF(OR($DZ96="B",$EA96="B"),0,$ED96)+IF(OR($EE96="B",$EF96="B"),0,$EI96)</f>
        <v>0</v>
      </c>
      <c r="ES96" s="377" t="str">
        <f t="shared" si="110"/>
        <v xml:space="preserve"> </v>
      </c>
      <c r="ET96" s="361" t="str">
        <f t="shared" si="111"/>
        <v xml:space="preserve"> </v>
      </c>
      <c r="EU96" s="63"/>
      <c r="EV96" s="364">
        <f t="shared" si="112"/>
        <v>27</v>
      </c>
      <c r="EW96" s="368">
        <f t="shared" si="113"/>
        <v>27</v>
      </c>
      <c r="EX96" s="365" t="str">
        <f t="shared" si="114"/>
        <v xml:space="preserve"> </v>
      </c>
      <c r="EY96" s="74" t="str">
        <f t="shared" si="115"/>
        <v xml:space="preserve"> </v>
      </c>
      <c r="EZ96" s="63"/>
      <c r="FA96" s="336">
        <f t="shared" si="116"/>
        <v>0</v>
      </c>
      <c r="FB96" s="337">
        <f t="shared" si="117"/>
        <v>0</v>
      </c>
      <c r="FC96" s="366">
        <f t="shared" si="118"/>
        <v>0</v>
      </c>
      <c r="FD96" s="421" t="str">
        <f t="shared" si="119"/>
        <v xml:space="preserve"> </v>
      </c>
      <c r="FE96" s="433">
        <f t="shared" si="120"/>
        <v>0</v>
      </c>
      <c r="FF96" s="213" t="str">
        <f t="shared" si="121"/>
        <v xml:space="preserve"> </v>
      </c>
      <c r="FG96" s="15"/>
      <c r="FH96" s="37">
        <f t="shared" si="46"/>
        <v>70</v>
      </c>
    </row>
    <row r="97" spans="2:167" ht="17" customHeight="1" thickBot="1" x14ac:dyDescent="0.25">
      <c r="B97" s="499" t="s">
        <v>72</v>
      </c>
      <c r="C97" s="501" t="s">
        <v>139</v>
      </c>
      <c r="D97" s="372">
        <v>520904</v>
      </c>
      <c r="E97" s="374"/>
      <c r="F97" s="314"/>
      <c r="G97" s="314"/>
      <c r="H97" s="370"/>
      <c r="I97" s="370">
        <f>SUM(E97:F97)+IF(E97="B",1,0)*E$102+IF(F97="B",1,0)*F$102+IF(E97="Løype",1)*$O$4+IF(F97="Løype",1)*$O$4+IF(E97="Arr",1)*$O$5+IF(F97="Arr",1)*$O$5</f>
        <v>0</v>
      </c>
      <c r="J97" s="328"/>
      <c r="K97" s="314"/>
      <c r="L97" s="314"/>
      <c r="M97" s="370"/>
      <c r="N97" s="370">
        <f>SUM(J97:K97)+IF(J97="B",1,0)*J$102+IF(K97="B",1,0)*K$102+IF(J97="Løype",1)*$O$4+IF(K97="Løype",1)*$O$4+IF(J97="Arr",1)*$O$5+IF(K97="Arr",1)*$O$5</f>
        <v>0</v>
      </c>
      <c r="O97" s="328"/>
      <c r="P97" s="314"/>
      <c r="Q97" s="314"/>
      <c r="R97" s="370"/>
      <c r="S97" s="370">
        <f>SUM(O97:P97)+IF(O97="B",1,0)*O$102+IF(P97="B",1,0)*P$102+IF(O97="Løype",1)*$O$4+IF(P97="Løype",1)*$O$4+IF(O97="Arr",1)*$O$5+IF(P97="Arr",1)*$O$5</f>
        <v>0</v>
      </c>
      <c r="T97" s="328"/>
      <c r="U97" s="314"/>
      <c r="V97" s="314"/>
      <c r="W97" s="370"/>
      <c r="X97" s="370">
        <f>SUM(T97:U97)+IF(T97="B",1,0)*T$102+IF(U97="B",1,0)*U$102+IF(T97="Løype",1)*$O$4+IF(U97="Løype",1)*$O$4+IF(T97="Arr",1)*$O$5+IF(U97="Arr",1)*$O$5</f>
        <v>0</v>
      </c>
      <c r="Y97" s="328"/>
      <c r="Z97" s="314"/>
      <c r="AA97" s="314"/>
      <c r="AB97" s="370"/>
      <c r="AC97" s="370">
        <f>SUM(Y97:Z97)+IF(Y97="B",1,0)*Y$102+IF(Z97="B",1,0)*Z$102+IF(Y97="Løype",1)*$O$4+IF(Z97="Løype",1)*$O$4+IF(Y97="Arr",1)*$O$5+IF(Z97="Arr",1)*$O$5</f>
        <v>0</v>
      </c>
      <c r="AD97" s="328"/>
      <c r="AE97" s="314"/>
      <c r="AF97" s="314"/>
      <c r="AG97" s="370"/>
      <c r="AH97" s="370">
        <f>SUM(AD97:AE97)+IF(AD97="B",1,0)*AD$102+IF(AE97="B",1,0)*AE$102+IF(AD97="Løype",1)*$O$4+IF(AE97="Løype",1)*$O$4+IF(AD97="Arr",1)*$O$5+IF(AE97="Arr",1)*$O$5</f>
        <v>0</v>
      </c>
      <c r="AI97" s="533"/>
      <c r="AJ97" s="535"/>
      <c r="AK97" s="535"/>
      <c r="AL97" s="535"/>
      <c r="AM97" s="314">
        <f>SUM(AI97:AJ97)+IF(AI97="B",1,0)*AI$102+IF(AJ97="B",1,0)*AJ$102+IF(AI97="Løype",1)*$O$4+IF(AJ97="Løype",1)*$O$4+IF(AI97="Arr",1)*$O$5+IF(AJ97="Arr",1)*$O$5</f>
        <v>0</v>
      </c>
      <c r="AN97" s="535"/>
      <c r="AO97" s="535"/>
      <c r="AP97" s="535"/>
      <c r="AQ97" s="538"/>
      <c r="AR97" s="370">
        <f>SUM(AN97:AO97)+IF(AN97="B",1,0)*AN$102+IF(AO97="B",1,0)*AO$102+IF(AN97="Løype",1)*$O$4+IF(AO97="Løype",1)*$O$4+IF(AN97="Arr",1)*$O$5+IF(AO97="Arr",1)*$O$5</f>
        <v>0</v>
      </c>
      <c r="AS97" s="533"/>
      <c r="AT97" s="535"/>
      <c r="AU97" s="535"/>
      <c r="AV97" s="538"/>
      <c r="AW97" s="370">
        <f>SUM(AS97:AT97)+IF(AS97="B",1,0)*AS$102+IF(AT97="B",1,0)*AT$102+IF(AS97="Løype",1)*$O$4+IF(AT97="Løype",1)*$O$4+IF(AS97="Arr",1)*$O$5+IF(AT97="Arr",1)*$O$5</f>
        <v>0</v>
      </c>
      <c r="AX97" s="533"/>
      <c r="AY97" s="535"/>
      <c r="AZ97" s="535"/>
      <c r="BA97" s="538"/>
      <c r="BB97" s="370">
        <f>SUM(AX97:AY97)+IF(AX97="B",1,0)*AX$102+IF(AY97="B",1,0)*AY$102+IF(AX97="Løype",1)*$O$4+IF(AY97="Løype",1)*$O$4+IF(AX97="Arr",1)*$O$5+IF(AY97="Arr",1)*$O$5</f>
        <v>0</v>
      </c>
      <c r="BC97" s="540"/>
      <c r="BD97" s="542"/>
      <c r="BE97" s="542"/>
      <c r="BF97" s="544"/>
      <c r="BG97" s="370">
        <f>SUM(BC97:BD97)+IF(BC97="B",1,0)*BC$102+IF(BD97="B",1,0)*BD$102+IF(BC97="Løype",1)*$O$4+IF(BD97="Løype",1)*$O$4+IF(BC97="Arr",1)*$O$5+IF(BD97="Arr",1)*$O$5</f>
        <v>0</v>
      </c>
      <c r="BH97" s="540"/>
      <c r="BI97" s="542"/>
      <c r="BJ97" s="542"/>
      <c r="BK97" s="544"/>
      <c r="BL97" s="370">
        <f>SUM(BH97:BI97)+IF(BH97="B",1,0)*BH$102+IF(BI97="B",1,0)*BI$102+IF(BH97="Løype",1)*$O$4+IF(BI97="Løype",1)*$O$4+IF(BH97="Arr",1)*$O$5+IF(BI97="Arr",1)*$O$5</f>
        <v>0</v>
      </c>
      <c r="BM97" s="548"/>
      <c r="BN97" s="535"/>
      <c r="BO97" s="535"/>
      <c r="BP97" s="538"/>
      <c r="BQ97" s="370">
        <f>SUM(BM97:BN97)+IF(BM97="B",1,0)*BM$102+IF(BN97="B",1,0)*BN$102+IF(BM97="Løype",1)*$O$4+IF(BN97="Løype",1)*$O$4+IF(BM97="Arr",1)*$O$5+IF(BN97="Arr",1)*$O$5</f>
        <v>0</v>
      </c>
      <c r="BR97" s="533"/>
      <c r="BS97" s="535"/>
      <c r="BT97" s="535"/>
      <c r="BU97" s="538"/>
      <c r="BV97" s="370">
        <f>SUM(BR97:BS97)+IF(BR97="B",1,0)*BR$102+IF(BS97="B",1,0)*BS$102+IF(BR97="Løype",1)*$O$4+IF(BS97="Løype",1)*$O$4+IF(BR97="Arr",1)*$O$5+IF(BS97="Arr",1)*$O$5</f>
        <v>0</v>
      </c>
      <c r="BW97" s="533"/>
      <c r="BX97" s="535"/>
      <c r="BY97" s="535"/>
      <c r="BZ97" s="538"/>
      <c r="CA97" s="370">
        <f>SUM(BW97:BX97)+IF(BW97="B",1,0)*BW$102+IF(BX97="B",1,0)*BX$102+IF(BW97="Løype",1)*$O$4+IF(BX97="Løype",1)*$O$4+IF(BW97="Arr",1)*$O$5+IF(BX97="Arr",1)*$O$5</f>
        <v>0</v>
      </c>
      <c r="CB97" s="533"/>
      <c r="CC97" s="535"/>
      <c r="CD97" s="535"/>
      <c r="CE97" s="538"/>
      <c r="CF97" s="370">
        <f>SUM(CB97:CC97)+IF(CB97="B",1,0)*CB$102+IF(CC97="B",1,0)*CC$102+IF(CB97="Løype",1)*$O$4+IF(CC97="Løype",1)*$O$4+IF(CB97="Arr",1)*$O$5+IF(CC97="Arr",1)*$O$5</f>
        <v>0</v>
      </c>
      <c r="CG97" s="533"/>
      <c r="CH97" s="535"/>
      <c r="CI97" s="535"/>
      <c r="CJ97" s="538"/>
      <c r="CK97" s="370">
        <f>SUM(CG97:CH97)+IF(CG97="B",1,0)*CG$102+IF(CH97="B",1,0)*CH$102+IF(CG97="Løype",1)*$O$4+IF(CH97="Løype",1)*$O$4+IF(CG97="Arr",1)*$O$5+IF(CH97="Arr",1)*$O$5</f>
        <v>0</v>
      </c>
      <c r="CL97" s="533"/>
      <c r="CM97" s="535"/>
      <c r="CN97" s="535"/>
      <c r="CO97" s="538"/>
      <c r="CP97" s="370">
        <f>SUM(CL97:CM97)+IF(CL97="B",1,0)*CL$102+IF(CM97="B",1,0)*CM$102+IF(CL97="Løype",1)*$O$4+IF(CM97="Løype",1)*$O$4+IF(CL97="Arr",1)*$O$5+IF(CM97="Arr",1)*$O$5</f>
        <v>0</v>
      </c>
      <c r="CQ97" s="533"/>
      <c r="CR97" s="535"/>
      <c r="CS97" s="535"/>
      <c r="CT97" s="538"/>
      <c r="CU97" s="370">
        <f>SUM(CQ97:CR97)+IF(CQ97="B",1,0)*CQ$102+IF(CR97="B",1,0)*CR$102+IF(CQ97="Løype",1)*$O$4+IF(CR97="Løype",1)*$O$4+IF(CQ97="Arr",1)*$O$5+IF(CR97="Arr",1)*$O$5</f>
        <v>0</v>
      </c>
      <c r="CV97" s="533"/>
      <c r="CW97" s="535"/>
      <c r="CX97" s="535"/>
      <c r="CY97" s="538"/>
      <c r="CZ97" s="370">
        <f>SUM(CV97:CW97)+IF(CV97="B",1,0)*CV$102+IF(CW97="B",1,0)*CW$102+IF(CV97="Løype",1)*$O$4+IF(CW97="Løype",1)*$O$4+IF(CV97="Arr",1)*$O$5+IF(CW97="Arr",1)*$O$5</f>
        <v>0</v>
      </c>
      <c r="DA97" s="533"/>
      <c r="DB97" s="535"/>
      <c r="DC97" s="535"/>
      <c r="DD97" s="538"/>
      <c r="DE97" s="370">
        <f>SUM(DA97:DB97)+IF(DA97="B",1,0)*DA$102+IF(DB97="B",1,0)*DB$102+IF(DA97="Løype",1)*$O$4+IF(DB97="Løype",1)*$O$4+IF(DA97="Arr",1)*$O$5+IF(DB97="Arr",1)*$O$5</f>
        <v>0</v>
      </c>
      <c r="DF97" s="533"/>
      <c r="DG97" s="535"/>
      <c r="DH97" s="535"/>
      <c r="DI97" s="538"/>
      <c r="DJ97" s="370">
        <f>SUM(DF97:DG97)+IF(DF97="B",1,0)*DF$102+IF(DG97="B",1,0)*DG$102+IF(DF97="Løype",1)*$O$4+IF(DG97="Løype",1)*$O$4+IF(DF97="Arr",1)*$O$5+IF(DG97="Arr",1)*$O$5</f>
        <v>0</v>
      </c>
      <c r="DK97" s="533"/>
      <c r="DL97" s="535"/>
      <c r="DM97" s="535"/>
      <c r="DN97" s="538"/>
      <c r="DO97" s="370">
        <f>SUM(DK97:DL97)+IF(DK97="B",1,0)*DK$102+IF(DL97="B",1,0)*DL$102+IF(DK97="Løype",1)*$O$4+IF(DL97="Løype",1)*$O$4+IF(DK97="Arr",1)*$O$5+IF(DL97="Arr",1)*$O$5</f>
        <v>0</v>
      </c>
      <c r="DP97" s="328"/>
      <c r="DQ97" s="314"/>
      <c r="DR97" s="314"/>
      <c r="DS97" s="370"/>
      <c r="DT97" s="370">
        <f>SUM(DP97:DQ97)+IF(DP97="B",1,0)*DP$102+IF(DQ97="B",1,0)*DQ$102+IF(DP97="Løype",1)*$O$4+IF(DQ97="Løype",1)*$O$4+IF(DP97="Arr",1)*$O$5+IF(DQ97="Arr",1)*$O$5</f>
        <v>0</v>
      </c>
      <c r="DU97" s="533"/>
      <c r="DV97" s="535"/>
      <c r="DW97" s="535"/>
      <c r="DX97" s="538"/>
      <c r="DY97" s="370">
        <f>SUM(DU97:DV97)+IF(DU97="B",1,0)*DU$102+IF(DV97="B",1,0)*DV$102+IF(DU97="Løype",1)*$O$4+IF(DV97="Løype",1)*$O$4+IF(DU97="Arr",1)*$O$5+IF(DV97="Arr",1)*$O$5</f>
        <v>0</v>
      </c>
      <c r="DZ97" s="495"/>
      <c r="EA97" s="486"/>
      <c r="EB97" s="556"/>
      <c r="EC97" s="557"/>
      <c r="ED97" s="491">
        <f>SUM(DZ97:EA97)+IF(DZ97="B",1,0)*DZ$102+IF(EA97="B",1,0)*EA$102+IF(DZ97="Løype",1)*$O$4+IF(EA97="Løype",1)*$O$4+IF(DZ97="Arr",1)*$O$5+IF(EA97="Arr",1)*$O$5</f>
        <v>0</v>
      </c>
      <c r="EE97" s="495"/>
      <c r="EF97" s="486"/>
      <c r="EG97" s="556"/>
      <c r="EH97" s="557"/>
      <c r="EI97" s="439">
        <f t="shared" si="102"/>
        <v>0</v>
      </c>
      <c r="EJ97" s="498">
        <f t="shared" si="103"/>
        <v>0</v>
      </c>
      <c r="EK97" s="523">
        <f t="shared" si="104"/>
        <v>0</v>
      </c>
      <c r="EL97" s="357">
        <f t="shared" si="105"/>
        <v>0</v>
      </c>
      <c r="EM97" s="514">
        <f t="shared" si="106"/>
        <v>0</v>
      </c>
      <c r="EN97" s="517">
        <f t="shared" si="107"/>
        <v>0</v>
      </c>
      <c r="EO97" s="359">
        <f t="shared" si="108"/>
        <v>0</v>
      </c>
      <c r="EP97" s="15"/>
      <c r="EQ97" s="362">
        <f t="shared" si="109"/>
        <v>0</v>
      </c>
      <c r="ER97" s="379">
        <f>IF(OR($E97="B",$F97="B"),0,$I97)+IF(OR($J97="B",$K97="B"),0,$N97)+IF(OR($O97="B",$P97="B"),0,$S97)+IF(OR($T97="B",$U97="B"),0,$X97)+IF(OR($Y97="B",$Z97="B"),0,$AC97)+IF(OR($AD97="B",$AE97="B"),0,$AH97)+IF(OR($AI97="B",$AJ97="B"),0,$AM97)+IF(OR($HP76="B",$AO97="B"),0,$AR97)+IF(OR($AS97="B",$AT97="B"),0,$AW97)+IF(OR($AX97="B",$AY97="B"),0,$BB97)+IF(OR($BC97="B",$BD97="B"),0,$BG97)+IF(OR($BH97="B",$BI97="B"),0,$BL97)+IF(OR($BM97="B",$BN97="B"),0,$BQ97)+IF(OR($BR97="B",$BS97="B"),0,$BV97)+IF(OR($BW97="B",$BX97="B"),0,$CA97)+IF(OR($CB97="B",$CC97="B"),0,$CF97)+IF(OR($CG97="B",$CH97="B"),0,$CK97)+IF(OR($CL97="B",$CM97="B"),0,$CP97)+IF(OR($CQ97="B",$CR97="B"),0,$CU97)+IF(OR($CV97="B",$CW97="B"),0,$CZ97)+IF(OR($DA97="B",$DB97="B"),0,$DE97)+IF(OR($DF97="B",$DG97="B"),0,$DJ97)+IF(OR($DK97="B",$DL97="B"),0,$DO97)+IF(OR($DP97="B",$DQ97="B"),0,$DT97)+IF(OR($DU97="B",$DV97="B"),0,$DY97)+IF(OR($DZ97="B",$EA97="B"),0,$ED97)+IF(OR($EE97="B",$EF97="B"),0,$EI97)</f>
        <v>0</v>
      </c>
      <c r="ES97" s="378" t="str">
        <f t="shared" si="110"/>
        <v xml:space="preserve"> </v>
      </c>
      <c r="ET97" s="363" t="str">
        <f t="shared" si="111"/>
        <v xml:space="preserve"> </v>
      </c>
      <c r="EU97" s="63"/>
      <c r="EV97" s="250">
        <f t="shared" si="112"/>
        <v>27</v>
      </c>
      <c r="EW97" s="369">
        <f t="shared" si="113"/>
        <v>27</v>
      </c>
      <c r="EX97" s="75" t="str">
        <f t="shared" si="114"/>
        <v xml:space="preserve"> </v>
      </c>
      <c r="EY97" s="76" t="str">
        <f t="shared" si="115"/>
        <v xml:space="preserve"> </v>
      </c>
      <c r="EZ97" s="63"/>
      <c r="FA97" s="338">
        <f t="shared" si="116"/>
        <v>0</v>
      </c>
      <c r="FB97" s="339">
        <f t="shared" si="117"/>
        <v>0</v>
      </c>
      <c r="FC97" s="367">
        <f t="shared" si="118"/>
        <v>0</v>
      </c>
      <c r="FD97" s="422" t="str">
        <f t="shared" si="119"/>
        <v xml:space="preserve"> </v>
      </c>
      <c r="FE97" s="435">
        <f t="shared" si="120"/>
        <v>0</v>
      </c>
      <c r="FF97" s="436" t="str">
        <f t="shared" si="121"/>
        <v xml:space="preserve"> </v>
      </c>
      <c r="FG97" s="15"/>
      <c r="FH97" s="135">
        <f>FH96+1</f>
        <v>71</v>
      </c>
    </row>
    <row r="98" spans="2:167" ht="18" thickTop="1" thickBot="1" x14ac:dyDescent="0.25">
      <c r="EK98" s="468"/>
      <c r="EN98" s="468"/>
    </row>
    <row r="99" spans="2:167" x14ac:dyDescent="0.2">
      <c r="C99" s="315" t="s">
        <v>172</v>
      </c>
      <c r="D99" s="24"/>
      <c r="E99" s="77">
        <f>COUNT(E27:E97)+COUNTIF(E27:E97,"B")</f>
        <v>1</v>
      </c>
      <c r="F99" s="77">
        <f>COUNT(F27:F97)+COUNTIF(F27:F97,"B")</f>
        <v>20</v>
      </c>
      <c r="G99" s="77"/>
      <c r="H99" s="77"/>
      <c r="I99" s="77"/>
      <c r="J99" s="77">
        <f>COUNT(J27:J97)+COUNTIF(J27:J97,"B")</f>
        <v>6</v>
      </c>
      <c r="K99" s="77">
        <f>COUNT(K27:K97)+COUNTIF(K27:K97,"B")</f>
        <v>18</v>
      </c>
      <c r="L99" s="77"/>
      <c r="M99" s="77"/>
      <c r="N99" s="77"/>
      <c r="O99" s="77">
        <f>COUNT(O27:O97)+COUNTIF(O27:O97,"B")</f>
        <v>24</v>
      </c>
      <c r="P99" s="77">
        <f>COUNT(P27:P97)+COUNTIF(P27:P97,"B")</f>
        <v>0</v>
      </c>
      <c r="Q99" s="77"/>
      <c r="R99" s="77"/>
      <c r="S99" s="77"/>
      <c r="T99" s="77">
        <f>COUNT(T27:T97)+COUNTIF(T27:T97,"B")</f>
        <v>24</v>
      </c>
      <c r="U99" s="77">
        <f>COUNT(U27:U97)+COUNTIF(U27:U97,"B")</f>
        <v>0</v>
      </c>
      <c r="V99" s="77"/>
      <c r="W99" s="77"/>
      <c r="X99" s="77"/>
      <c r="Y99" s="77">
        <f>COUNT(Y27:Y97)+COUNTIF(Y27:Y97,"B")</f>
        <v>3</v>
      </c>
      <c r="Z99" s="77">
        <f>COUNT(Z27:Z97)+COUNTIF(Z27:Z97,"B")</f>
        <v>28</v>
      </c>
      <c r="AA99" s="77"/>
      <c r="AB99" s="77"/>
      <c r="AC99" s="77"/>
      <c r="AD99" s="77">
        <f>COUNT(AD27:AD97)+COUNTIF(AD27:AD97,"B")</f>
        <v>1</v>
      </c>
      <c r="AE99" s="77">
        <f>COUNT(AE27:AE97)+COUNTIF(AE27:AE97,"B")</f>
        <v>20</v>
      </c>
      <c r="AF99" s="77"/>
      <c r="AG99" s="77"/>
      <c r="AH99" s="77"/>
      <c r="AI99" s="77">
        <f>COUNT(AI27:AI97)+COUNTIF(AI27:AI97,"B")</f>
        <v>4</v>
      </c>
      <c r="AJ99" s="77">
        <f>COUNT(AJ27:AJ97)+COUNTIF(AJ27:AJ97,"B")</f>
        <v>17</v>
      </c>
      <c r="AK99" s="77"/>
      <c r="AL99" s="77"/>
      <c r="AM99" s="77"/>
      <c r="AN99" s="77">
        <f>COUNT(AN27:AN97)+COUNTIF(AN27:AN97,"B")</f>
        <v>5</v>
      </c>
      <c r="AO99" s="77">
        <f>COUNT(AO27:AO97)+COUNTIF(AO27:AO97,"B")</f>
        <v>19</v>
      </c>
      <c r="AP99" s="77"/>
      <c r="AQ99" s="77"/>
      <c r="AR99" s="77"/>
      <c r="AS99" s="77">
        <f>COUNT(AS27:AS97)+COUNTIF(AS27:AS97,"B")</f>
        <v>4</v>
      </c>
      <c r="AT99" s="77">
        <f>COUNT(AT27:AT97)+COUNTIF(AT27:AT97,"B")</f>
        <v>19</v>
      </c>
      <c r="AU99" s="77"/>
      <c r="AV99" s="77"/>
      <c r="AW99" s="77"/>
      <c r="AX99" s="77">
        <f>COUNT(AX27:AX97)+COUNTIF(AX27:AX97,"B")</f>
        <v>2</v>
      </c>
      <c r="AY99" s="77">
        <f>COUNT(AY27:AY97)+COUNTIF(AY27:AY97,"B")</f>
        <v>25</v>
      </c>
      <c r="AZ99" s="77"/>
      <c r="BA99" s="77"/>
      <c r="BB99" s="77"/>
      <c r="BC99" s="77">
        <f>COUNT(BC27:BC97)+COUNTIF(BC27:BC97,"B")</f>
        <v>2</v>
      </c>
      <c r="BD99" s="77">
        <f>COUNT(BD27:BD97)+COUNTIF(BD27:BD97,"B")</f>
        <v>25</v>
      </c>
      <c r="BE99" s="77"/>
      <c r="BF99" s="77"/>
      <c r="BG99" s="77"/>
      <c r="BH99" s="77">
        <f>COUNT(BH27:BH97)+COUNTIF(BH27:BH97,"B")</f>
        <v>1</v>
      </c>
      <c r="BI99" s="77">
        <f>COUNT(BI27:BI97)+COUNTIF(BI27:BI97,"B")</f>
        <v>12</v>
      </c>
      <c r="BJ99" s="77"/>
      <c r="BK99" s="77"/>
      <c r="BL99" s="77"/>
      <c r="BM99" s="77">
        <f>COUNT(BM27:BM97)+COUNTIF(BM27:BM97,"B")</f>
        <v>1</v>
      </c>
      <c r="BN99" s="77">
        <f>COUNT(BN27:BN97)+COUNTIF(BN27:BN97,"B")</f>
        <v>23</v>
      </c>
      <c r="BO99" s="77"/>
      <c r="BP99" s="77"/>
      <c r="BQ99" s="77"/>
      <c r="BR99" s="77">
        <f>COUNT(BR27:BR97)+COUNTIF(BR27:BR97,"B")</f>
        <v>3</v>
      </c>
      <c r="BS99" s="77">
        <f>COUNT(BS27:BS97)+COUNTIF(BS27:BS97,"B")</f>
        <v>22</v>
      </c>
      <c r="BT99" s="77"/>
      <c r="BU99" s="77"/>
      <c r="BV99" s="77"/>
      <c r="BW99" s="77">
        <f>COUNT(BW27:BW97)+COUNTIF(BW27:BW97,"B")</f>
        <v>4</v>
      </c>
      <c r="BX99" s="77">
        <f>COUNT(BX27:BX97)+COUNTIF(BX27:BX97,"B")</f>
        <v>26</v>
      </c>
      <c r="BY99" s="77"/>
      <c r="BZ99" s="77"/>
      <c r="CA99" s="77"/>
      <c r="CB99" s="77">
        <f>COUNT(CB27:CB97)+COUNTIF(CB27:CB97,"B")</f>
        <v>2</v>
      </c>
      <c r="CC99" s="77">
        <f>COUNT(CC27:CC97)+COUNTIF(CC27:CC97,"B")</f>
        <v>28</v>
      </c>
      <c r="CD99" s="77"/>
      <c r="CE99" s="77"/>
      <c r="CF99" s="77"/>
      <c r="CG99" s="77">
        <f>COUNT(CG27:CG97)+COUNTIF(CG27:CG97,"B")</f>
        <v>1</v>
      </c>
      <c r="CH99" s="77">
        <f>COUNT(CH27:CH97)+COUNTIF(CH27:CH97,"B")</f>
        <v>29</v>
      </c>
      <c r="CI99" s="77"/>
      <c r="CJ99" s="77"/>
      <c r="CK99" s="77"/>
      <c r="CL99" s="77">
        <f>COUNT(CL27:CL97)+COUNTIF(CL27:CL97,"B")</f>
        <v>3</v>
      </c>
      <c r="CM99" s="77">
        <f>COUNT(CM27:CM97)+COUNTIF(CM27:CM97,"B")</f>
        <v>29</v>
      </c>
      <c r="CN99" s="77"/>
      <c r="CO99" s="77"/>
      <c r="CP99" s="77"/>
      <c r="CQ99" s="77">
        <f>COUNT(CQ27:CQ97)+COUNTIF(CQ27:CQ97,"B")</f>
        <v>1</v>
      </c>
      <c r="CR99" s="77">
        <f>COUNT(CR27:CR97)+COUNTIF(CR27:CR97,"B")</f>
        <v>19</v>
      </c>
      <c r="CS99" s="77"/>
      <c r="CT99" s="77"/>
      <c r="CU99" s="77"/>
      <c r="CV99" s="77">
        <f>COUNT(CV27:CV97)+COUNTIF(CV27:CV97,"B")</f>
        <v>6</v>
      </c>
      <c r="CW99" s="77">
        <f>COUNT(CW27:CW97)+COUNTIF(CW27:CW97,"B")</f>
        <v>26</v>
      </c>
      <c r="CX99" s="77"/>
      <c r="CY99" s="77"/>
      <c r="CZ99" s="77"/>
      <c r="DA99" s="77">
        <f>COUNT(DA27:DA97)+COUNTIF(DA27:DA97,"B")</f>
        <v>2</v>
      </c>
      <c r="DB99" s="77">
        <f>COUNT(DB27:DB97)+COUNTIF(DB27:DB97,"B")</f>
        <v>22</v>
      </c>
      <c r="DC99" s="77"/>
      <c r="DD99" s="77"/>
      <c r="DE99" s="77"/>
      <c r="DF99" s="77">
        <f>COUNT(DF27:DF97)+COUNTIF(DF27:DF97,"B")</f>
        <v>3</v>
      </c>
      <c r="DG99" s="77">
        <f>COUNT(DG27:DG97)+COUNTIF(DG27:DG97,"B")</f>
        <v>33</v>
      </c>
      <c r="DH99" s="77"/>
      <c r="DI99" s="77"/>
      <c r="DJ99" s="77"/>
      <c r="DK99" s="77">
        <f>COUNT(DK27:DK97)+COUNTIF(DK27:DK97,"B")</f>
        <v>5</v>
      </c>
      <c r="DL99" s="77">
        <f>COUNT(DL27:DL97)+COUNTIF(DL27:DL97,"B")</f>
        <v>23</v>
      </c>
      <c r="DM99" s="77"/>
      <c r="DN99" s="77"/>
      <c r="DO99" s="77"/>
      <c r="DP99" s="77">
        <f>COUNT(DP27:DP97)+COUNTIF(DP27:DP97,"B")</f>
        <v>7</v>
      </c>
      <c r="DQ99" s="77">
        <f>COUNT(DQ27:DQ97)+COUNTIF(DQ27:DQ97,"B")</f>
        <v>22</v>
      </c>
      <c r="DR99" s="77"/>
      <c r="DS99" s="77"/>
      <c r="DT99" s="77"/>
      <c r="DU99" s="77">
        <f>COUNT(DU27:DU97)+COUNTIF(DU27:DU97,"B")</f>
        <v>7</v>
      </c>
      <c r="DV99" s="77">
        <f>COUNT(DV27:DV97)+COUNTIF(DV27:DV97,"B")</f>
        <v>26</v>
      </c>
      <c r="DW99" s="77"/>
      <c r="DX99" s="77"/>
      <c r="DY99" s="77"/>
      <c r="DZ99" s="77">
        <f>COUNT(DZ27:DZ97)+COUNTIF(DZ27:DZ97,"B")</f>
        <v>12</v>
      </c>
      <c r="EA99" s="77">
        <f>COUNT(EA27:EA97)+COUNTIF(EA27:EA97,"B")</f>
        <v>33</v>
      </c>
      <c r="EB99" s="77"/>
      <c r="EC99" s="77"/>
      <c r="ED99" s="471"/>
      <c r="EE99" s="77">
        <f>COUNT(EE27:EE97)+COUNTIF(EE27:EE97,"B")</f>
        <v>11</v>
      </c>
      <c r="EF99" s="77">
        <f>COUNT(EF27:EF97)+COUNTIF(EF27:EF97,"B")</f>
        <v>28</v>
      </c>
      <c r="EG99" s="77"/>
      <c r="EH99" s="77"/>
      <c r="EI99" s="471"/>
      <c r="EJ99" s="466">
        <f t="shared" ref="EJ99:EN99" si="122">SUM(EJ27:EJ97)</f>
        <v>795</v>
      </c>
      <c r="EK99" s="466">
        <f t="shared" si="122"/>
        <v>498</v>
      </c>
      <c r="EL99" s="466">
        <f t="shared" si="122"/>
        <v>760</v>
      </c>
      <c r="EM99" s="466">
        <f t="shared" si="122"/>
        <v>58</v>
      </c>
      <c r="EN99" s="466">
        <f t="shared" si="122"/>
        <v>28</v>
      </c>
      <c r="EO99" s="466">
        <f>SUM(EO27:EO97)</f>
        <v>470</v>
      </c>
    </row>
    <row r="100" spans="2:167" x14ac:dyDescent="0.2">
      <c r="C100" s="316" t="s">
        <v>173</v>
      </c>
      <c r="D100" s="25"/>
      <c r="E100" s="78">
        <f>COUNT(E27:E97)+COUNTIF(E27:E97,"B")+COUNTIF(E27:E97,"Arr")+COUNTIF(E27:E97,"Løype")</f>
        <v>1</v>
      </c>
      <c r="F100" s="78">
        <f>COUNT(F27:F97)+COUNTIF(F27:F97,"B")+COUNTIF(F27:F97,"Arr")+COUNTIF(F27:F97,"Løype")</f>
        <v>21</v>
      </c>
      <c r="G100" s="78"/>
      <c r="H100" s="78"/>
      <c r="I100" s="78"/>
      <c r="J100" s="78">
        <f>COUNT(J27:J97)+COUNTIF(J27:J97,"B")+COUNTIF(J27:J97,"Arr")+COUNTIF(J27:J97,"Løype")</f>
        <v>6</v>
      </c>
      <c r="K100" s="78">
        <f>COUNT(K27:K97)+COUNTIF(K27:K97,"B")+COUNTIF(K27:K97,"Arr")+COUNTIF(K27:K97,"Løype")</f>
        <v>21</v>
      </c>
      <c r="L100" s="78"/>
      <c r="M100" s="78"/>
      <c r="N100" s="78"/>
      <c r="O100" s="78">
        <f>COUNT(O27:O97)+COUNTIF(O27:O97,"B")+COUNTIF(O27:O97,"Arr")+COUNTIF(O27:O97,"Løype")</f>
        <v>28</v>
      </c>
      <c r="P100" s="78">
        <f>COUNT(P27:P97)+COUNTIF(P27:P97,"B")+COUNTIF(P27:P97,"Arr")+COUNTIF(P27:P97,"Løype")</f>
        <v>0</v>
      </c>
      <c r="Q100" s="78"/>
      <c r="R100" s="78"/>
      <c r="S100" s="78"/>
      <c r="T100" s="78">
        <f>COUNT(T27:T97)+COUNTIF(T27:T97,"B")+COUNTIF(T27:T97,"Arr")+COUNTIF(T27:T97,"Løype")</f>
        <v>27</v>
      </c>
      <c r="U100" s="78">
        <f>COUNT(U27:U97)+COUNTIF(U27:U97,"B")+COUNTIF(U27:U97,"Arr")+COUNTIF(U27:U97,"Løype")</f>
        <v>0</v>
      </c>
      <c r="V100" s="78"/>
      <c r="W100" s="78"/>
      <c r="X100" s="78"/>
      <c r="Y100" s="78">
        <f>COUNT(Y27:Y97)+COUNTIF(Y27:Y97,"B")+COUNTIF(Y27:Y97,"Arr")+COUNTIF(Y27:Y97,"Løype")</f>
        <v>3</v>
      </c>
      <c r="Z100" s="78">
        <f>COUNT(Z27:Z97)+COUNTIF(Z27:Z97,"B")+COUNTIF(Z27:Z97,"Arr")+COUNTIF(Z27:Z97,"Løype")</f>
        <v>31</v>
      </c>
      <c r="AA100" s="78"/>
      <c r="AB100" s="78"/>
      <c r="AC100" s="78"/>
      <c r="AD100" s="78">
        <f>COUNT(AD27:AD97)+COUNTIF(AD27:AD97,"B")+COUNTIF(AD27:AD97,"Arr")+COUNTIF(AD27:AD97,"Løype")</f>
        <v>1</v>
      </c>
      <c r="AE100" s="78">
        <f>COUNT(AE27:AE97)+COUNTIF(AE27:AE97,"B")+COUNTIF(AE27:AE97,"Arr")+COUNTIF(AE27:AE97,"Løype")</f>
        <v>24</v>
      </c>
      <c r="AF100" s="78"/>
      <c r="AG100" s="78"/>
      <c r="AH100" s="78">
        <f>COUNT(AH27:AH97)+COUNTIF(AH27:AH97,"B")+COUNTIF(AH27:AH97,"Arr")</f>
        <v>59</v>
      </c>
      <c r="AI100" s="78">
        <f>COUNT(AI27:AI97)+COUNTIF(AI27:AI97,"B")+COUNTIF(AI27:AI97,"Arr")+COUNTIF(AI27:AI97,"Løype")</f>
        <v>4</v>
      </c>
      <c r="AJ100" s="78">
        <f>COUNT(AJ27:AJ97)+COUNTIF(AJ27:AJ97,"B")+COUNTIF(AJ27:AJ97,"Arr")+COUNTIF(AJ27:AJ97,"Løype")</f>
        <v>18</v>
      </c>
      <c r="AK100" s="78"/>
      <c r="AL100" s="78"/>
      <c r="AM100" s="78"/>
      <c r="AN100" s="78">
        <f>COUNT(AN27:AN97)+COUNTIF(AN27:AN97,"B")+COUNTIF(AN27:AN97,"Arr")+COUNTIF(AN27:AN97,"Løype")</f>
        <v>5</v>
      </c>
      <c r="AO100" s="78">
        <f>COUNT(AO27:AO97)+COUNTIF(AO27:AO97,"B")+COUNTIF(AO27:AO97,"Arr")+COUNTIF(AO27:AO97,"Løype")</f>
        <v>23</v>
      </c>
      <c r="AP100" s="78"/>
      <c r="AQ100" s="78"/>
      <c r="AR100" s="78"/>
      <c r="AS100" s="78">
        <f>COUNT(AS27:AS97)+COUNTIF(AS27:AS97,"B")+COUNTIF(AS27:AS97,"Arr")+COUNTIF(AS27:AS97,"Løype")</f>
        <v>4</v>
      </c>
      <c r="AT100" s="78">
        <f>COUNT(AT27:AT97)+COUNTIF(AT27:AT97,"B")+COUNTIF(AT27:AT97,"Arr")+COUNTIF(AT27:AT97,"Løype")</f>
        <v>22</v>
      </c>
      <c r="AU100" s="78"/>
      <c r="AV100" s="78"/>
      <c r="AW100" s="78">
        <f>COUNT(AW27:AW97)+COUNTIF(AW27:AW97,"B")+COUNTIF(AW27:AW97,"Arr")</f>
        <v>59</v>
      </c>
      <c r="AX100" s="78">
        <f>COUNT(AX27:AX97)+COUNTIF(AX27:AX97,"B")+COUNTIF(AX27:AX97,"Arr")+COUNTIF(AX27:AX97,"Løype")</f>
        <v>2</v>
      </c>
      <c r="AY100" s="78">
        <f>COUNT(AY27:AY97)+COUNTIF(AY27:AY97,"B")+COUNTIF(AY27:AY97,"Arr")+COUNTIF(AY27:AY97,"Løype")</f>
        <v>28</v>
      </c>
      <c r="AZ100" s="78"/>
      <c r="BA100" s="78"/>
      <c r="BB100" s="78"/>
      <c r="BC100" s="78">
        <f>COUNT(BC27:BC97)+COUNTIF(BC27:BC97,"B")+COUNTIF(BC27:BC97,"Arr")+COUNTIF(BC27:BC97,"Løype")</f>
        <v>2</v>
      </c>
      <c r="BD100" s="78">
        <f>COUNT(BD27:BD97)+COUNTIF(BD27:BD97,"B")+COUNTIF(BD27:BD97,"Arr")+COUNTIF(BD27:BD97,"Løype")</f>
        <v>26</v>
      </c>
      <c r="BE100" s="78"/>
      <c r="BF100" s="78"/>
      <c r="BG100" s="78"/>
      <c r="BH100" s="78">
        <f>COUNT(BH27:BH97)+COUNTIF(BH27:BH97,"B")+COUNTIF(BH27:BH97,"Arr")+COUNTIF(BH27:BH97,"Løype")</f>
        <v>1</v>
      </c>
      <c r="BI100" s="78">
        <f>COUNT(BI27:BI97)+COUNTIF(BI27:BI97,"B")+COUNTIF(BI27:BI97,"Arr")+COUNTIF(BI27:BI97,"Løype")</f>
        <v>13</v>
      </c>
      <c r="BJ100" s="78"/>
      <c r="BK100" s="78"/>
      <c r="BL100" s="78"/>
      <c r="BM100" s="78">
        <f>COUNT(BM27:BM97)+COUNTIF(BM27:BM97,"B")+COUNTIF(BM27:BM97,"Arr")+COUNTIF(BM27:BM97,"Løype")</f>
        <v>1</v>
      </c>
      <c r="BN100" s="78">
        <f>COUNT(BN27:BN97)+COUNTIF(BN27:BN97,"B")+COUNTIF(BN27:BN97,"Arr")+COUNTIF(BN27:BN97,"Løype")</f>
        <v>24</v>
      </c>
      <c r="BO100" s="78"/>
      <c r="BP100" s="78"/>
      <c r="BQ100" s="78"/>
      <c r="BR100" s="78">
        <f>COUNT(BR27:BR97)+COUNTIF(BR27:BR97,"B")+COUNTIF(BR27:BR97,"Arr")+COUNTIF(BR27:BR97,"Løype")</f>
        <v>3</v>
      </c>
      <c r="BS100" s="78">
        <f>COUNT(BS27:BS97)+COUNTIF(BS27:BS97,"B")+COUNTIF(BS27:BS97,"Arr")+COUNTIF(BS27:BS97,"Løype")</f>
        <v>23</v>
      </c>
      <c r="BT100" s="78"/>
      <c r="BU100" s="78"/>
      <c r="BV100" s="78"/>
      <c r="BW100" s="78">
        <f>COUNT(BW27:BW97)+COUNTIF(BW27:BW97,"B")+COUNTIF(BW27:BW97,"Arr")+COUNTIF(BW27:BW97,"Løype")</f>
        <v>4</v>
      </c>
      <c r="BX100" s="78">
        <f>COUNT(BX27:BX97)+COUNTIF(BX27:BX97,"B")+COUNTIF(BX27:BX97,"Arr")+COUNTIF(BX27:BX97,"Løype")</f>
        <v>28</v>
      </c>
      <c r="BY100" s="78"/>
      <c r="BZ100" s="78"/>
      <c r="CA100" s="78"/>
      <c r="CB100" s="78">
        <f>COUNT(CB27:CB97)+COUNTIF(CB27:CB97,"B")+COUNTIF(CB27:CB97,"Arr")+COUNTIF(CB27:CB97,"Løype")</f>
        <v>2</v>
      </c>
      <c r="CC100" s="78">
        <f>COUNT(CC27:CC97)+COUNTIF(CC27:CC97,"B")+COUNTIF(CC27:CC97,"Arr")+COUNTIF(CC27:CC97,"Løype")</f>
        <v>30</v>
      </c>
      <c r="CD100" s="78"/>
      <c r="CE100" s="78"/>
      <c r="CF100" s="78"/>
      <c r="CG100" s="78">
        <f>COUNT(CG27:CG97)+COUNTIF(CG27:CG97,"B")+COUNTIF(CG27:CG97,"Arr")+COUNTIF(CG27:CG97,"Løype")</f>
        <v>1</v>
      </c>
      <c r="CH100" s="78">
        <f>COUNT(CH27:CH97)+COUNTIF(CH27:CH97,"B")+COUNTIF(CH27:CH97,"Arr")+COUNTIF(CH27:CH97,"Løype")</f>
        <v>30</v>
      </c>
      <c r="CI100" s="78"/>
      <c r="CJ100" s="78"/>
      <c r="CK100" s="78"/>
      <c r="CL100" s="78">
        <f>COUNT(CL27:CL97)+COUNTIF(CL27:CL97,"B")+COUNTIF(CL27:CL97,"Arr")+COUNTIF(CL27:CL97,"Løype")</f>
        <v>3</v>
      </c>
      <c r="CM100" s="78">
        <f>COUNT(CM27:CM97)+COUNTIF(CM27:CM97,"B")+COUNTIF(CM27:CM97,"Arr")+COUNTIF(CM27:CM97,"Løype")</f>
        <v>31</v>
      </c>
      <c r="CN100" s="78"/>
      <c r="CO100" s="78"/>
      <c r="CP100" s="78"/>
      <c r="CQ100" s="78">
        <f>COUNT(CQ27:CQ97)+COUNTIF(CQ27:CQ97,"B")+COUNTIF(CQ27:CQ97,"Arr")+COUNTIF(CQ27:CQ97,"Løype")</f>
        <v>1</v>
      </c>
      <c r="CR100" s="78">
        <f>COUNT(CR27:CR97)+COUNTIF(CR27:CR97,"B")+COUNTIF(CR27:CR97,"Arr")+COUNTIF(CR27:CR97,"Løype")</f>
        <v>22</v>
      </c>
      <c r="CS100" s="78"/>
      <c r="CT100" s="78"/>
      <c r="CU100" s="78"/>
      <c r="CV100" s="78">
        <f>COUNT(CV27:CV97)+COUNTIF(CV27:CV97,"B")+COUNTIF(CV27:CV97,"Arr")+COUNTIF(CV27:CV97,"Løype")</f>
        <v>6</v>
      </c>
      <c r="CW100" s="78">
        <f>COUNT(CW27:CW97)+COUNTIF(CW27:CW97,"B")+COUNTIF(CW27:CW97,"Arr")+COUNTIF(CW27:CW97,"Løype")</f>
        <v>31</v>
      </c>
      <c r="CX100" s="78"/>
      <c r="CY100" s="78"/>
      <c r="CZ100" s="78"/>
      <c r="DA100" s="78">
        <f>COUNT(DA27:DA97)+COUNTIF(DA27:DA97,"B")+COUNTIF(DA27:DA97,"Arr")+COUNTIF(DA27:DA97,"Løype")</f>
        <v>2</v>
      </c>
      <c r="DB100" s="78">
        <f>COUNT(DB27:DB97)+COUNTIF(DB27:DB97,"B")+COUNTIF(DB27:DB97,"Arr")+COUNTIF(DB27:DB97,"Løype")</f>
        <v>23</v>
      </c>
      <c r="DC100" s="78"/>
      <c r="DD100" s="78"/>
      <c r="DE100" s="78"/>
      <c r="DF100" s="78">
        <f>COUNT(DF27:DF97)+COUNTIF(DF27:DF97,"B")+COUNTIF(DF27:DF97,"Arr")+COUNTIF(DF27:DF97,"Løype")</f>
        <v>3</v>
      </c>
      <c r="DG100" s="78">
        <f>COUNT(DG27:DG97)+COUNTIF(DG27:DG97,"B")+COUNTIF(DG27:DG97,"Arr")+COUNTIF(DG27:DG97,"Løype")</f>
        <v>36</v>
      </c>
      <c r="DH100" s="78"/>
      <c r="DI100" s="78"/>
      <c r="DJ100" s="78"/>
      <c r="DK100" s="78">
        <f>COUNT(DK27:DK97)+COUNTIF(DK27:DK97,"B")+COUNTIF(DK27:DK97,"Arr")+COUNTIF(DK27:DK97,"Løype")</f>
        <v>5</v>
      </c>
      <c r="DL100" s="78">
        <f>COUNT(DL27:DL97)+COUNTIF(DL27:DL97,"B")+COUNTIF(DL27:DL97,"Arr")+COUNTIF(DL27:DL97,"Løype")</f>
        <v>24</v>
      </c>
      <c r="DM100" s="78"/>
      <c r="DN100" s="78"/>
      <c r="DO100" s="78"/>
      <c r="DP100" s="78">
        <f>COUNT(DP27:DP97)+COUNTIF(DP27:DP97,"B")+COUNTIF(DP27:DP97,"Arr")+COUNTIF(DP27:DP97,"Løype")</f>
        <v>7</v>
      </c>
      <c r="DQ100" s="78">
        <f>COUNT(DQ27:DQ97)+COUNTIF(DQ27:DQ97,"B")+COUNTIF(DQ27:DQ97,"Arr")+COUNTIF(DQ27:DQ97,"Løype")</f>
        <v>23</v>
      </c>
      <c r="DR100" s="78"/>
      <c r="DS100" s="78"/>
      <c r="DT100" s="78"/>
      <c r="DU100" s="78">
        <f>COUNT(DU27:DU97)+COUNTIF(DU27:DU97,"B")+COUNTIF(DU27:DU97,"Arr")+COUNTIF(DU27:DU97,"Løype")</f>
        <v>7</v>
      </c>
      <c r="DV100" s="78">
        <f>COUNT(DV27:DV97)+COUNTIF(DV27:DV97,"B")+COUNTIF(DV27:DV97,"Arr")+COUNTIF(DV27:DV97,"Løype")</f>
        <v>28</v>
      </c>
      <c r="DW100" s="78"/>
      <c r="DX100" s="78"/>
      <c r="DY100" s="78"/>
      <c r="DZ100" s="78">
        <f>COUNT(DZ27:DZ97)+COUNTIF(DZ27:DZ97,"B")+COUNTIF(DZ27:DZ97,"Arr")+COUNTIF(DZ27:DZ97,"Løype")</f>
        <v>12</v>
      </c>
      <c r="EA100" s="78">
        <f>COUNT(EA27:EA97)+COUNTIF(EA27:EA97,"B")+COUNTIF(EA27:EA97,"Arr")+COUNTIF(EA27:EA97,"Løype")</f>
        <v>34</v>
      </c>
      <c r="EB100" s="78"/>
      <c r="EC100" s="78"/>
      <c r="ED100" s="472"/>
      <c r="EE100" s="78">
        <f>COUNT(EE27:EE97)+COUNTIF(EE27:EE97,"B")+COUNTIF(EE27:EE97,"Arr")+COUNTIF(EE27:EE97,"Løype")</f>
        <v>11</v>
      </c>
      <c r="EF100" s="78">
        <f>COUNT(EF27:EF97)+COUNTIF(EF27:EF97,"B")+COUNTIF(EF27:EF97,"Arr")+COUNTIF(EF27:EF97,"Løype")</f>
        <v>29</v>
      </c>
      <c r="EG100" s="78"/>
      <c r="EH100" s="78"/>
      <c r="EI100" s="472"/>
      <c r="EJ100" s="15">
        <f>MAXA(EJ27:EJ97)</f>
        <v>27</v>
      </c>
      <c r="EK100" s="15"/>
      <c r="EM100" s="15">
        <f>MAXA(EM27:EM97)</f>
        <v>8</v>
      </c>
      <c r="EN100" s="15"/>
      <c r="EO100" s="15"/>
    </row>
    <row r="101" spans="2:167" x14ac:dyDescent="0.2">
      <c r="C101" s="316" t="s">
        <v>174</v>
      </c>
      <c r="D101" s="25"/>
      <c r="E101" s="78">
        <f>COUNT(E27:E97)</f>
        <v>0</v>
      </c>
      <c r="F101" s="78">
        <f>COUNT(F27:F97)</f>
        <v>20</v>
      </c>
      <c r="G101" s="78"/>
      <c r="H101" s="78"/>
      <c r="I101" s="78"/>
      <c r="J101" s="78">
        <f>COUNT(J27:J97)</f>
        <v>5</v>
      </c>
      <c r="K101" s="78">
        <f>COUNT(K27:K97)</f>
        <v>18</v>
      </c>
      <c r="L101" s="78"/>
      <c r="M101" s="78"/>
      <c r="N101" s="78"/>
      <c r="O101" s="78">
        <f>COUNT(O27:O97)</f>
        <v>24</v>
      </c>
      <c r="P101" s="78">
        <f>COUNT(P27:P97)</f>
        <v>0</v>
      </c>
      <c r="Q101" s="78"/>
      <c r="R101" s="78"/>
      <c r="S101" s="78"/>
      <c r="T101" s="78">
        <f>COUNT(T27:T97)</f>
        <v>21</v>
      </c>
      <c r="U101" s="78">
        <f>COUNT(U27:U97)</f>
        <v>0</v>
      </c>
      <c r="V101" s="78"/>
      <c r="W101" s="78"/>
      <c r="X101" s="78"/>
      <c r="Y101" s="78">
        <f>COUNT(Y27:Y97)</f>
        <v>3</v>
      </c>
      <c r="Z101" s="78">
        <f>COUNT(Z27:Z97)</f>
        <v>27</v>
      </c>
      <c r="AA101" s="78"/>
      <c r="AB101" s="78"/>
      <c r="AC101" s="78"/>
      <c r="AD101" s="78">
        <f>COUNT(AD27:AD97)</f>
        <v>1</v>
      </c>
      <c r="AE101" s="78">
        <f>COUNT(AE27:AE97)</f>
        <v>19</v>
      </c>
      <c r="AF101" s="78"/>
      <c r="AG101" s="78"/>
      <c r="AH101" s="78"/>
      <c r="AI101" s="78">
        <f>COUNT(AI27:AI97)</f>
        <v>2</v>
      </c>
      <c r="AJ101" s="78">
        <f>COUNT(AJ27:AJ97)</f>
        <v>17</v>
      </c>
      <c r="AK101" s="78"/>
      <c r="AL101" s="78"/>
      <c r="AM101" s="78"/>
      <c r="AN101" s="78">
        <f>COUNT(AN27:AN97)</f>
        <v>3</v>
      </c>
      <c r="AO101" s="78">
        <f>COUNT(AO27:AO97)</f>
        <v>18</v>
      </c>
      <c r="AP101" s="78"/>
      <c r="AQ101" s="78"/>
      <c r="AR101" s="78"/>
      <c r="AS101" s="78">
        <f>COUNT(AS27:AS97)</f>
        <v>4</v>
      </c>
      <c r="AT101" s="78">
        <f>COUNT(AT27:AT97)</f>
        <v>17</v>
      </c>
      <c r="AU101" s="78"/>
      <c r="AV101" s="78"/>
      <c r="AW101" s="78"/>
      <c r="AX101" s="78">
        <f>COUNT(AX27:AX97)</f>
        <v>2</v>
      </c>
      <c r="AY101" s="78">
        <f>COUNT(AY27:AY97)</f>
        <v>22</v>
      </c>
      <c r="AZ101" s="78"/>
      <c r="BA101" s="78"/>
      <c r="BB101" s="78"/>
      <c r="BC101" s="78">
        <f>COUNT(BC27:BC97)</f>
        <v>2</v>
      </c>
      <c r="BD101" s="78">
        <f>COUNT(BD27:BD97)</f>
        <v>22</v>
      </c>
      <c r="BE101" s="78"/>
      <c r="BF101" s="78"/>
      <c r="BG101" s="78"/>
      <c r="BH101" s="78">
        <f>COUNT(BH27:BH97)</f>
        <v>1</v>
      </c>
      <c r="BI101" s="78">
        <f>COUNT(BI27:BI97)</f>
        <v>12</v>
      </c>
      <c r="BJ101" s="78"/>
      <c r="BK101" s="78"/>
      <c r="BL101" s="78"/>
      <c r="BM101" s="78">
        <f>COUNT(BM27:BM97)</f>
        <v>1</v>
      </c>
      <c r="BN101" s="78">
        <f>COUNT(BN27:BN97)</f>
        <v>23</v>
      </c>
      <c r="BO101" s="78"/>
      <c r="BP101" s="78"/>
      <c r="BQ101" s="78"/>
      <c r="BR101" s="78">
        <f>COUNT(BR27:BR97)</f>
        <v>3</v>
      </c>
      <c r="BS101" s="78">
        <f>COUNT(BS27:BS97)</f>
        <v>22</v>
      </c>
      <c r="BT101" s="78"/>
      <c r="BU101" s="78"/>
      <c r="BV101" s="78"/>
      <c r="BW101" s="78">
        <f>COUNT(BW27:BW97)</f>
        <v>4</v>
      </c>
      <c r="BX101" s="78">
        <f>COUNT(BX27:BX97)</f>
        <v>25</v>
      </c>
      <c r="BY101" s="78"/>
      <c r="BZ101" s="78"/>
      <c r="CA101" s="78"/>
      <c r="CB101" s="78">
        <f>COUNT(CB27:CB97)</f>
        <v>2</v>
      </c>
      <c r="CC101" s="78">
        <f>COUNT(CC27:CC97)</f>
        <v>27</v>
      </c>
      <c r="CD101" s="78"/>
      <c r="CE101" s="78"/>
      <c r="CF101" s="78"/>
      <c r="CG101" s="78">
        <f>COUNT(CG27:CG97)</f>
        <v>1</v>
      </c>
      <c r="CH101" s="78">
        <f>COUNT(CH27:CH97)</f>
        <v>27</v>
      </c>
      <c r="CI101" s="78"/>
      <c r="CJ101" s="78"/>
      <c r="CK101" s="78"/>
      <c r="CL101" s="78">
        <f>COUNT(CL27:CL97)</f>
        <v>3</v>
      </c>
      <c r="CM101" s="78">
        <f>COUNT(CM27:CM97)</f>
        <v>27</v>
      </c>
      <c r="CN101" s="78"/>
      <c r="CO101" s="78"/>
      <c r="CP101" s="78"/>
      <c r="CQ101" s="78">
        <f>COUNT(CQ27:CQ97)</f>
        <v>1</v>
      </c>
      <c r="CR101" s="78">
        <f>COUNT(CR27:CR97)</f>
        <v>19</v>
      </c>
      <c r="CS101" s="78"/>
      <c r="CT101" s="78"/>
      <c r="CU101" s="78"/>
      <c r="CV101" s="78">
        <f>COUNT(CV27:CV97)</f>
        <v>6</v>
      </c>
      <c r="CW101" s="78">
        <f>COUNT(CW27:CW97)</f>
        <v>26</v>
      </c>
      <c r="CX101" s="78"/>
      <c r="CY101" s="78"/>
      <c r="CZ101" s="78"/>
      <c r="DA101" s="78">
        <f>COUNT(DA27:DA97)</f>
        <v>2</v>
      </c>
      <c r="DB101" s="78">
        <f>COUNT(DB27:DB97)</f>
        <v>22</v>
      </c>
      <c r="DC101" s="78"/>
      <c r="DD101" s="78"/>
      <c r="DE101" s="78"/>
      <c r="DF101" s="78">
        <f>COUNT(DF27:DF97)</f>
        <v>3</v>
      </c>
      <c r="DG101" s="78">
        <f>COUNT(DG27:DG97)</f>
        <v>33</v>
      </c>
      <c r="DH101" s="78"/>
      <c r="DI101" s="78"/>
      <c r="DJ101" s="78"/>
      <c r="DK101" s="78">
        <f>COUNT(DK27:DK97)</f>
        <v>4</v>
      </c>
      <c r="DL101" s="78">
        <f>COUNT(DL27:DL97)</f>
        <v>20</v>
      </c>
      <c r="DM101" s="78"/>
      <c r="DN101" s="78"/>
      <c r="DO101" s="78"/>
      <c r="DP101" s="78">
        <f>COUNT(DP27:DP97)</f>
        <v>7</v>
      </c>
      <c r="DQ101" s="78">
        <f>COUNT(DQ27:DQ97)</f>
        <v>21</v>
      </c>
      <c r="DR101" s="78"/>
      <c r="DS101" s="78"/>
      <c r="DT101" s="78"/>
      <c r="DU101" s="78">
        <f>COUNT(DU27:DU97)</f>
        <v>7</v>
      </c>
      <c r="DV101" s="78">
        <f>COUNT(DV27:DV97)</f>
        <v>26</v>
      </c>
      <c r="DW101" s="78"/>
      <c r="DX101" s="78"/>
      <c r="DY101" s="78"/>
      <c r="DZ101" s="78">
        <f>COUNT(DZ27:DZ97)</f>
        <v>11</v>
      </c>
      <c r="EA101" s="78">
        <f>COUNT(EA27:EA97)</f>
        <v>30</v>
      </c>
      <c r="EB101" s="78"/>
      <c r="EC101" s="78"/>
      <c r="ED101" s="472"/>
      <c r="EE101" s="78">
        <f>COUNT(EE27:EE97)</f>
        <v>11</v>
      </c>
      <c r="EF101" s="78">
        <f>COUNT(EF27:EF97)</f>
        <v>28</v>
      </c>
      <c r="EG101" s="78"/>
      <c r="EH101" s="78"/>
      <c r="EI101" s="472"/>
      <c r="EJ101" s="15"/>
      <c r="EK101" s="15"/>
    </row>
    <row r="102" spans="2:167" ht="17" thickBot="1" x14ac:dyDescent="0.25">
      <c r="C102" s="317" t="s">
        <v>175</v>
      </c>
      <c r="D102" s="26"/>
      <c r="E102" s="79">
        <f>E101+1</f>
        <v>1</v>
      </c>
      <c r="F102" s="79">
        <f>F101+1</f>
        <v>21</v>
      </c>
      <c r="G102" s="79"/>
      <c r="H102" s="79"/>
      <c r="I102" s="79"/>
      <c r="J102" s="79">
        <f t="shared" ref="J102:K102" si="123">J101+1</f>
        <v>6</v>
      </c>
      <c r="K102" s="79">
        <f t="shared" si="123"/>
        <v>19</v>
      </c>
      <c r="L102" s="79"/>
      <c r="M102" s="79"/>
      <c r="N102" s="79"/>
      <c r="O102" s="79">
        <f t="shared" ref="O102" si="124">O101+1</f>
        <v>25</v>
      </c>
      <c r="P102" s="79">
        <f t="shared" ref="P102:DQ102" si="125">P101+1</f>
        <v>1</v>
      </c>
      <c r="Q102" s="79"/>
      <c r="R102" s="79"/>
      <c r="S102" s="79"/>
      <c r="T102" s="79">
        <f t="shared" si="125"/>
        <v>22</v>
      </c>
      <c r="U102" s="79">
        <f t="shared" si="125"/>
        <v>1</v>
      </c>
      <c r="V102" s="79"/>
      <c r="W102" s="79"/>
      <c r="X102" s="79"/>
      <c r="Y102" s="79">
        <f t="shared" si="125"/>
        <v>4</v>
      </c>
      <c r="Z102" s="79">
        <f t="shared" si="125"/>
        <v>28</v>
      </c>
      <c r="AA102" s="79"/>
      <c r="AB102" s="79"/>
      <c r="AC102" s="79"/>
      <c r="AD102" s="79">
        <f t="shared" si="125"/>
        <v>2</v>
      </c>
      <c r="AE102" s="79">
        <f t="shared" si="125"/>
        <v>20</v>
      </c>
      <c r="AF102" s="79"/>
      <c r="AG102" s="79"/>
      <c r="AH102" s="79"/>
      <c r="AI102" s="79">
        <f t="shared" si="125"/>
        <v>3</v>
      </c>
      <c r="AJ102" s="79">
        <f t="shared" si="125"/>
        <v>18</v>
      </c>
      <c r="AK102" s="79"/>
      <c r="AL102" s="79"/>
      <c r="AM102" s="79"/>
      <c r="AN102" s="79">
        <f t="shared" si="125"/>
        <v>4</v>
      </c>
      <c r="AO102" s="79">
        <f t="shared" si="125"/>
        <v>19</v>
      </c>
      <c r="AP102" s="79"/>
      <c r="AQ102" s="79"/>
      <c r="AR102" s="79"/>
      <c r="AS102" s="79">
        <f t="shared" si="125"/>
        <v>5</v>
      </c>
      <c r="AT102" s="79">
        <f t="shared" si="125"/>
        <v>18</v>
      </c>
      <c r="AU102" s="79"/>
      <c r="AV102" s="79"/>
      <c r="AW102" s="79"/>
      <c r="AX102" s="79">
        <f t="shared" si="125"/>
        <v>3</v>
      </c>
      <c r="AY102" s="79">
        <f t="shared" si="125"/>
        <v>23</v>
      </c>
      <c r="AZ102" s="79"/>
      <c r="BA102" s="79"/>
      <c r="BB102" s="79"/>
      <c r="BC102" s="79">
        <f t="shared" si="125"/>
        <v>3</v>
      </c>
      <c r="BD102" s="79">
        <f t="shared" si="125"/>
        <v>23</v>
      </c>
      <c r="BE102" s="79"/>
      <c r="BF102" s="79"/>
      <c r="BG102" s="79"/>
      <c r="BH102" s="79">
        <f t="shared" si="125"/>
        <v>2</v>
      </c>
      <c r="BI102" s="79">
        <f t="shared" si="125"/>
        <v>13</v>
      </c>
      <c r="BJ102" s="79"/>
      <c r="BK102" s="79"/>
      <c r="BL102" s="79"/>
      <c r="BM102" s="79">
        <f t="shared" si="125"/>
        <v>2</v>
      </c>
      <c r="BN102" s="79">
        <f t="shared" si="125"/>
        <v>24</v>
      </c>
      <c r="BO102" s="79"/>
      <c r="BP102" s="79"/>
      <c r="BQ102" s="79"/>
      <c r="BR102" s="79">
        <f t="shared" si="125"/>
        <v>4</v>
      </c>
      <c r="BS102" s="79">
        <f t="shared" si="125"/>
        <v>23</v>
      </c>
      <c r="BT102" s="79"/>
      <c r="BU102" s="79"/>
      <c r="BV102" s="79"/>
      <c r="BW102" s="79">
        <f t="shared" si="125"/>
        <v>5</v>
      </c>
      <c r="BX102" s="79">
        <f t="shared" si="125"/>
        <v>26</v>
      </c>
      <c r="BY102" s="79"/>
      <c r="BZ102" s="79"/>
      <c r="CA102" s="79"/>
      <c r="CB102" s="79">
        <f t="shared" si="125"/>
        <v>3</v>
      </c>
      <c r="CC102" s="79">
        <f t="shared" si="125"/>
        <v>28</v>
      </c>
      <c r="CD102" s="79"/>
      <c r="CE102" s="79"/>
      <c r="CF102" s="79"/>
      <c r="CG102" s="79">
        <f t="shared" si="125"/>
        <v>2</v>
      </c>
      <c r="CH102" s="79">
        <f t="shared" si="125"/>
        <v>28</v>
      </c>
      <c r="CI102" s="79"/>
      <c r="CJ102" s="79"/>
      <c r="CK102" s="79"/>
      <c r="CL102" s="79">
        <f t="shared" si="125"/>
        <v>4</v>
      </c>
      <c r="CM102" s="79">
        <f t="shared" si="125"/>
        <v>28</v>
      </c>
      <c r="CN102" s="79"/>
      <c r="CO102" s="79"/>
      <c r="CP102" s="79"/>
      <c r="CQ102" s="79">
        <f t="shared" si="125"/>
        <v>2</v>
      </c>
      <c r="CR102" s="79">
        <f t="shared" si="125"/>
        <v>20</v>
      </c>
      <c r="CS102" s="79"/>
      <c r="CT102" s="79"/>
      <c r="CU102" s="79"/>
      <c r="CV102" s="79">
        <f t="shared" si="125"/>
        <v>7</v>
      </c>
      <c r="CW102" s="79">
        <f t="shared" si="125"/>
        <v>27</v>
      </c>
      <c r="CX102" s="79"/>
      <c r="CY102" s="79"/>
      <c r="CZ102" s="79"/>
      <c r="DA102" s="79">
        <f t="shared" si="125"/>
        <v>3</v>
      </c>
      <c r="DB102" s="79">
        <f t="shared" si="125"/>
        <v>23</v>
      </c>
      <c r="DC102" s="79"/>
      <c r="DD102" s="79"/>
      <c r="DE102" s="79"/>
      <c r="DF102" s="79">
        <f t="shared" si="125"/>
        <v>4</v>
      </c>
      <c r="DG102" s="79">
        <f t="shared" si="125"/>
        <v>34</v>
      </c>
      <c r="DH102" s="79"/>
      <c r="DI102" s="79"/>
      <c r="DJ102" s="79"/>
      <c r="DK102" s="79">
        <f t="shared" si="125"/>
        <v>5</v>
      </c>
      <c r="DL102" s="79">
        <f t="shared" si="125"/>
        <v>21</v>
      </c>
      <c r="DM102" s="79"/>
      <c r="DN102" s="79"/>
      <c r="DO102" s="79"/>
      <c r="DP102" s="79">
        <f t="shared" si="125"/>
        <v>8</v>
      </c>
      <c r="DQ102" s="79">
        <f t="shared" si="125"/>
        <v>22</v>
      </c>
      <c r="DR102" s="79"/>
      <c r="DS102" s="79"/>
      <c r="DT102" s="79"/>
      <c r="DU102" s="79">
        <f t="shared" ref="DU102:EA102" si="126">DU101+1</f>
        <v>8</v>
      </c>
      <c r="DV102" s="79">
        <f t="shared" si="126"/>
        <v>27</v>
      </c>
      <c r="DW102" s="79"/>
      <c r="DX102" s="79"/>
      <c r="DY102" s="79"/>
      <c r="DZ102" s="79">
        <f t="shared" si="126"/>
        <v>12</v>
      </c>
      <c r="EA102" s="79">
        <f t="shared" si="126"/>
        <v>31</v>
      </c>
      <c r="EB102" s="79"/>
      <c r="EC102" s="79"/>
      <c r="ED102" s="473"/>
      <c r="EE102" s="79">
        <f t="shared" ref="EE102:EF102" si="127">EE101+1</f>
        <v>12</v>
      </c>
      <c r="EF102" s="79">
        <f t="shared" si="127"/>
        <v>29</v>
      </c>
      <c r="EG102" s="79"/>
      <c r="EH102" s="79"/>
      <c r="EI102" s="473"/>
      <c r="EJ102" s="15"/>
      <c r="EK102" s="15"/>
    </row>
    <row r="103" spans="2:167" x14ac:dyDescent="0.2">
      <c r="C103" s="318"/>
      <c r="D103" s="25"/>
      <c r="E103" s="188"/>
      <c r="F103" s="188">
        <f>IF(E100+F100&gt;0,E100+F100," ")</f>
        <v>22</v>
      </c>
      <c r="G103" s="188"/>
      <c r="H103" s="188"/>
      <c r="I103" s="188"/>
      <c r="J103" s="188"/>
      <c r="K103" s="188">
        <f>IF(J100+K100&gt;0,J100+K100," ")</f>
        <v>27</v>
      </c>
      <c r="L103" s="188"/>
      <c r="M103" s="188"/>
      <c r="N103" s="188"/>
      <c r="O103" s="188"/>
      <c r="P103" s="188">
        <f>IF(O100+P100&gt;0,O100+P100," ")</f>
        <v>28</v>
      </c>
      <c r="Q103" s="188"/>
      <c r="R103" s="188"/>
      <c r="S103" s="188"/>
      <c r="T103" s="188"/>
      <c r="U103" s="188">
        <f>IF(T100+U100&gt;0,T100+U100," ")</f>
        <v>27</v>
      </c>
      <c r="V103" s="188"/>
      <c r="W103" s="188"/>
      <c r="X103" s="188"/>
      <c r="Y103" s="188"/>
      <c r="Z103" s="188">
        <f>IF(Y100+Z100&gt;0,Y100+Z100," ")</f>
        <v>34</v>
      </c>
      <c r="AA103" s="188"/>
      <c r="AB103" s="188"/>
      <c r="AC103" s="188"/>
      <c r="AD103" s="188"/>
      <c r="AE103" s="188">
        <f>IF(AD100+AE100&gt;0,AD100+AE100," ")</f>
        <v>25</v>
      </c>
      <c r="AF103" s="188"/>
      <c r="AG103" s="188"/>
      <c r="AH103" s="188"/>
      <c r="AI103" s="188"/>
      <c r="AJ103" s="188">
        <f>IF(AI100+AJ100&gt;0,AI100+AJ100," ")</f>
        <v>22</v>
      </c>
      <c r="AK103" s="188"/>
      <c r="AL103" s="188"/>
      <c r="AM103" s="188"/>
      <c r="AN103" s="188"/>
      <c r="AO103" s="188">
        <f>IF(AN100+AO100&gt;0,AN100+AO100," ")</f>
        <v>28</v>
      </c>
      <c r="AP103" s="188"/>
      <c r="AQ103" s="188"/>
      <c r="AR103" s="188"/>
      <c r="AS103" s="188"/>
      <c r="AT103" s="188">
        <f>IF(AS100+AT100&gt;0,AS100+AT100," ")</f>
        <v>26</v>
      </c>
      <c r="AU103" s="188"/>
      <c r="AV103" s="188"/>
      <c r="AW103" s="188"/>
      <c r="AX103" s="188"/>
      <c r="AY103" s="188">
        <f>IF(AX100+AY100&gt;0,AX100+AY100," ")</f>
        <v>30</v>
      </c>
      <c r="AZ103" s="188"/>
      <c r="BA103" s="188"/>
      <c r="BB103" s="188"/>
      <c r="BC103" s="188"/>
      <c r="BD103" s="188">
        <f>IF(BC100+BD100&gt;0,BC100+BD100," ")</f>
        <v>28</v>
      </c>
      <c r="BE103" s="188"/>
      <c r="BF103" s="188"/>
      <c r="BG103" s="188"/>
      <c r="BH103" s="188"/>
      <c r="BI103" s="188">
        <f>IF(BH100+BI100&gt;0,BH100+BI100," ")</f>
        <v>14</v>
      </c>
      <c r="BJ103" s="188"/>
      <c r="BK103" s="188"/>
      <c r="BL103" s="188"/>
      <c r="BM103" s="188"/>
      <c r="BN103" s="188">
        <f>IF(BM100+BN100&gt;0,BM100+BN100," ")</f>
        <v>25</v>
      </c>
      <c r="BO103" s="188"/>
      <c r="BP103" s="188"/>
      <c r="BQ103" s="188"/>
      <c r="BR103" s="188"/>
      <c r="BS103" s="188">
        <f>IF(BR100+BS100&gt;0,BR100+BS100," ")</f>
        <v>26</v>
      </c>
      <c r="BT103" s="188"/>
      <c r="BU103" s="188"/>
      <c r="BV103" s="188"/>
      <c r="BW103" s="188"/>
      <c r="BX103" s="188">
        <f>IF(BW100+BX100&gt;0,BW100+BX100," ")</f>
        <v>32</v>
      </c>
      <c r="BY103" s="188"/>
      <c r="BZ103" s="188"/>
      <c r="CA103" s="188"/>
      <c r="CB103" s="188"/>
      <c r="CC103" s="188">
        <f>IF(CB100+CC100&gt;0,CB100+CC100," ")</f>
        <v>32</v>
      </c>
      <c r="CD103" s="188"/>
      <c r="CE103" s="188"/>
      <c r="CF103" s="188"/>
      <c r="CG103" s="188"/>
      <c r="CH103" s="188">
        <f>IF(CG100+CH100&gt;0,CG100+CH100," ")</f>
        <v>31</v>
      </c>
      <c r="CI103" s="188"/>
      <c r="CJ103" s="188"/>
      <c r="CK103" s="188"/>
      <c r="CL103" s="188"/>
      <c r="CM103" s="188">
        <f>IF(CL100+CM100&gt;0,CL100+CM100," ")</f>
        <v>34</v>
      </c>
      <c r="CN103" s="188"/>
      <c r="CO103" s="188"/>
      <c r="CP103" s="188"/>
      <c r="CQ103" s="188"/>
      <c r="CR103" s="188">
        <f>IF(CQ100+CR100&gt;0,CQ100+CR100," ")</f>
        <v>23</v>
      </c>
      <c r="CS103" s="188"/>
      <c r="CT103" s="188"/>
      <c r="CU103" s="188"/>
      <c r="CV103" s="188"/>
      <c r="CW103" s="188">
        <f>IF(CV100+CW100&gt;0,CV100+CW100," ")</f>
        <v>37</v>
      </c>
      <c r="CX103" s="188"/>
      <c r="CY103" s="188"/>
      <c r="CZ103" s="188"/>
      <c r="DA103" s="188"/>
      <c r="DB103" s="188">
        <f>IF(DA100+DB100&gt;0,DA100+DB100," ")</f>
        <v>25</v>
      </c>
      <c r="DC103" s="188"/>
      <c r="DD103" s="188"/>
      <c r="DE103" s="188"/>
      <c r="DF103" s="188"/>
      <c r="DG103" s="188">
        <f>IF(DF100+DG100&gt;0,DF100+DG100," ")</f>
        <v>39</v>
      </c>
      <c r="DH103" s="188"/>
      <c r="DI103" s="188"/>
      <c r="DJ103" s="188"/>
      <c r="DK103" s="188"/>
      <c r="DL103" s="188">
        <f>IF(DK100+DL100&gt;0,DK100+DL100," ")</f>
        <v>29</v>
      </c>
      <c r="DM103" s="188"/>
      <c r="DN103" s="188"/>
      <c r="DO103" s="188"/>
      <c r="DP103" s="188"/>
      <c r="DQ103" s="188">
        <f>IF(DP100+DQ100&gt;0,DP100+DQ100," ")</f>
        <v>30</v>
      </c>
      <c r="DR103" s="188"/>
      <c r="DS103" s="188"/>
      <c r="DT103" s="188"/>
      <c r="DU103" s="188"/>
      <c r="DV103" s="188">
        <f>IF(DU100+DV100&gt;0,DU100+DV100," ")</f>
        <v>35</v>
      </c>
      <c r="DW103" s="188"/>
      <c r="DX103" s="188"/>
      <c r="DY103" s="188"/>
      <c r="DZ103" s="188"/>
      <c r="EA103" s="188">
        <f>IF(DZ100+EA100&gt;0,DZ100+EA100," ")</f>
        <v>46</v>
      </c>
      <c r="EB103" s="188"/>
      <c r="EC103" s="188"/>
      <c r="ED103" s="188"/>
      <c r="EE103" s="188"/>
      <c r="EF103" s="188">
        <f>IF(EE100+EF100&gt;0,EE100+EF100," ")</f>
        <v>40</v>
      </c>
      <c r="EG103" s="188"/>
      <c r="EH103" s="188"/>
      <c r="EI103" s="188"/>
      <c r="EJ103" s="15"/>
      <c r="EK103" s="15"/>
      <c r="EL103" s="15"/>
      <c r="EM103" s="15"/>
      <c r="EN103" s="15"/>
      <c r="EO103" s="15"/>
      <c r="EP103" s="15"/>
      <c r="EQ103" s="15"/>
      <c r="ER103" s="15"/>
    </row>
    <row r="105" spans="2:167" x14ac:dyDescent="0.2">
      <c r="C105" t="s">
        <v>176</v>
      </c>
      <c r="E105" s="89">
        <f>E101*E23</f>
        <v>0</v>
      </c>
      <c r="F105" s="89">
        <f>F101*F24</f>
        <v>50</v>
      </c>
      <c r="G105" s="89"/>
      <c r="H105" s="89"/>
      <c r="I105" s="89"/>
      <c r="J105" s="89">
        <f>J101*J23</f>
        <v>13</v>
      </c>
      <c r="K105" s="89">
        <f>K101*K24</f>
        <v>57.6</v>
      </c>
      <c r="L105" s="89"/>
      <c r="M105" s="89"/>
      <c r="O105" s="89">
        <f>O101*O23</f>
        <v>67.199999999999989</v>
      </c>
      <c r="P105" s="89">
        <f>P101*P24</f>
        <v>0</v>
      </c>
      <c r="Q105" s="89"/>
      <c r="R105" s="89"/>
      <c r="S105" s="89"/>
      <c r="T105" s="89">
        <f>T101*T23</f>
        <v>46.2</v>
      </c>
      <c r="U105" s="89">
        <f>U101*U24</f>
        <v>0</v>
      </c>
      <c r="V105" s="89"/>
      <c r="W105" s="89"/>
      <c r="X105" s="89"/>
      <c r="Y105" s="89">
        <f>Y101*Y23</f>
        <v>7.1999999999999993</v>
      </c>
      <c r="Z105" s="89">
        <f>Z101*Z24</f>
        <v>75.599999999999994</v>
      </c>
      <c r="AA105" s="89"/>
      <c r="AB105" s="89"/>
      <c r="AC105" s="89"/>
      <c r="AD105" s="89">
        <f>AD101*AD23</f>
        <v>2.5</v>
      </c>
      <c r="AE105" s="89">
        <f>AE101*AE24</f>
        <v>55.1</v>
      </c>
      <c r="AF105" s="89"/>
      <c r="AG105" s="89"/>
      <c r="AI105" s="89">
        <f>AI101*AI23</f>
        <v>3.6</v>
      </c>
      <c r="AJ105" s="89">
        <f>AJ101*AJ24</f>
        <v>47.599999999999994</v>
      </c>
      <c r="AK105" s="89"/>
      <c r="AL105" s="89"/>
      <c r="AM105" s="89"/>
      <c r="AN105" s="89">
        <f>AN101*AN23</f>
        <v>5.0999999999999996</v>
      </c>
      <c r="AO105" s="89">
        <f>AO101*AO24</f>
        <v>46.800000000000004</v>
      </c>
      <c r="AP105" s="89"/>
      <c r="AQ105" s="89"/>
      <c r="AR105" s="89"/>
      <c r="AS105" s="89">
        <f>AS101*AS23</f>
        <v>9.1999999999999993</v>
      </c>
      <c r="AT105" s="89">
        <f>AT101*AT24</f>
        <v>49.3</v>
      </c>
      <c r="AU105" s="89"/>
      <c r="AV105" s="89"/>
      <c r="AW105" s="89"/>
      <c r="AX105" s="89">
        <f>AX101*AX23</f>
        <v>3</v>
      </c>
      <c r="AY105" s="89">
        <f>AY101*AY24</f>
        <v>57.2</v>
      </c>
      <c r="AZ105" s="89"/>
      <c r="BA105" s="89"/>
      <c r="BC105" s="89">
        <f>BC101*BC23</f>
        <v>2.2000000000000002</v>
      </c>
      <c r="BD105" s="89">
        <f>BD101*BD24</f>
        <v>48.400000000000006</v>
      </c>
      <c r="BE105" s="89"/>
      <c r="BF105" s="89"/>
      <c r="BG105" s="89"/>
      <c r="BH105" s="89">
        <f>BH101*BH23</f>
        <v>1.7</v>
      </c>
      <c r="BI105" s="89">
        <f>BI101*BI24</f>
        <v>32.400000000000006</v>
      </c>
      <c r="BJ105" s="89"/>
      <c r="BK105" s="89"/>
      <c r="BL105" s="89"/>
      <c r="BM105" s="89">
        <f>BM101*BM23</f>
        <v>1.8</v>
      </c>
      <c r="BN105" s="89">
        <f>BN101*BN24</f>
        <v>55.199999999999996</v>
      </c>
      <c r="BO105" s="89"/>
      <c r="BP105" s="89"/>
      <c r="BQ105" s="89"/>
      <c r="BR105" s="89">
        <f>BR101*BR23</f>
        <v>5.6999999999999993</v>
      </c>
      <c r="BS105" s="89">
        <f>BS101*BS24</f>
        <v>59.400000000000006</v>
      </c>
      <c r="BT105" s="89"/>
      <c r="BU105" s="89"/>
      <c r="BW105" s="89">
        <f>BW101*BW23</f>
        <v>6</v>
      </c>
      <c r="BX105" s="89">
        <f>BX101*BX24</f>
        <v>60</v>
      </c>
      <c r="BY105" s="89"/>
      <c r="BZ105" s="89"/>
      <c r="CA105" s="89"/>
      <c r="CB105" s="89">
        <f>CB101*CB23</f>
        <v>3.6</v>
      </c>
      <c r="CC105" s="89">
        <f>CC101*CC24</f>
        <v>70.2</v>
      </c>
      <c r="CD105" s="89"/>
      <c r="CE105" s="89"/>
      <c r="CF105" s="89"/>
      <c r="CG105" s="89">
        <f>CG101*CG23</f>
        <v>1.7</v>
      </c>
      <c r="CH105" s="89">
        <f>CH101*CH24</f>
        <v>70.2</v>
      </c>
      <c r="CI105" s="89"/>
      <c r="CJ105" s="89"/>
      <c r="CK105" s="89"/>
      <c r="CL105" s="89">
        <f>CL101*CL23</f>
        <v>4.8000000000000007</v>
      </c>
      <c r="CM105" s="89">
        <f>CM101*CM24</f>
        <v>64.8</v>
      </c>
      <c r="CN105" s="89"/>
      <c r="CO105" s="89"/>
      <c r="CQ105" s="89">
        <f>CQ101*CQ23</f>
        <v>1.6</v>
      </c>
      <c r="CR105" s="89">
        <f>CR101*CR24</f>
        <v>47.5</v>
      </c>
      <c r="CS105" s="89"/>
      <c r="CT105" s="89"/>
      <c r="CU105" s="89"/>
      <c r="CV105" s="89">
        <f>CV101*CV23</f>
        <v>11.399999999999999</v>
      </c>
      <c r="CW105" s="89">
        <f>CW101*CW24</f>
        <v>83.2</v>
      </c>
      <c r="CX105" s="89"/>
      <c r="CY105" s="89"/>
      <c r="CZ105" s="89"/>
      <c r="DA105" s="89">
        <f>DA101*DA23</f>
        <v>3.6</v>
      </c>
      <c r="DB105" s="89">
        <f>DB101*DB24</f>
        <v>61.599999999999994</v>
      </c>
      <c r="DC105" s="89"/>
      <c r="DD105" s="89"/>
      <c r="DE105" s="89"/>
      <c r="DF105" s="89">
        <f>DF101*DF23</f>
        <v>5.0999999999999996</v>
      </c>
      <c r="DG105" s="89">
        <f>DG101*DG24</f>
        <v>82.5</v>
      </c>
      <c r="DH105" s="89"/>
      <c r="DI105" s="89"/>
      <c r="DK105" s="89">
        <f>DK101*DK23</f>
        <v>7.2</v>
      </c>
      <c r="DL105" s="89">
        <f>DL101*DL24</f>
        <v>64</v>
      </c>
      <c r="DM105" s="89"/>
      <c r="DN105" s="89"/>
      <c r="DO105" s="89"/>
      <c r="DP105" s="89">
        <f>DP101*DP23</f>
        <v>9.7999999999999989</v>
      </c>
      <c r="DQ105" s="89">
        <f>DQ101*DQ24</f>
        <v>56.7</v>
      </c>
      <c r="DR105" s="89"/>
      <c r="DS105" s="89"/>
      <c r="DT105" s="89"/>
      <c r="DU105" s="89">
        <f>DU101*DU23</f>
        <v>11.9</v>
      </c>
      <c r="DV105" s="89">
        <f>DV101*DV24</f>
        <v>65</v>
      </c>
      <c r="DW105" s="89"/>
      <c r="DX105" s="89"/>
      <c r="DY105" s="89"/>
      <c r="DZ105" s="89">
        <f>DZ101*DZ23</f>
        <v>18.7</v>
      </c>
      <c r="EA105" s="89">
        <f>EA101*EA24</f>
        <v>75</v>
      </c>
      <c r="EB105" s="89"/>
      <c r="EC105" s="89"/>
      <c r="EE105" s="89">
        <f>EE101*EE23</f>
        <v>20.9</v>
      </c>
      <c r="EF105" s="89">
        <f>EF101*EF24</f>
        <v>75.600000000000009</v>
      </c>
      <c r="EG105" s="89"/>
      <c r="EH105" s="89"/>
      <c r="EI105" t="e">
        <f>EO101*EI24</f>
        <v>#VALUE!</v>
      </c>
      <c r="EJ105" s="89"/>
      <c r="EK105" s="89"/>
      <c r="EL105" s="89"/>
      <c r="EM105" s="89"/>
      <c r="EN105" s="89"/>
      <c r="EO105" s="89"/>
      <c r="EP105" s="89"/>
      <c r="EQ105" s="89"/>
      <c r="ER105" s="89"/>
      <c r="ES105" s="89"/>
      <c r="ET105" s="89"/>
      <c r="EU105" s="89"/>
      <c r="EV105" s="89"/>
      <c r="EW105" s="89"/>
      <c r="EX105" s="89"/>
      <c r="FG105" s="89"/>
      <c r="FH105" s="89"/>
      <c r="FI105" s="89"/>
      <c r="FJ105" s="89"/>
      <c r="FK105" s="89"/>
    </row>
    <row r="106" spans="2:167" x14ac:dyDescent="0.2">
      <c r="E106" s="89"/>
      <c r="F106" s="89">
        <f>IF(E105+F105&gt;0,E105+F105," ")</f>
        <v>50</v>
      </c>
      <c r="G106" s="89"/>
      <c r="H106" s="89"/>
      <c r="I106" s="89"/>
      <c r="J106" s="89"/>
      <c r="K106" s="89">
        <f>IF(J105+K105&gt;0,J105+K105," ")</f>
        <v>70.599999999999994</v>
      </c>
      <c r="L106" s="89"/>
      <c r="M106" s="89"/>
      <c r="O106" s="89"/>
      <c r="P106" s="89">
        <f>IF(O105+P105&gt;0,O105+P105," ")</f>
        <v>67.199999999999989</v>
      </c>
      <c r="Q106" s="89"/>
      <c r="R106" s="89"/>
      <c r="S106" s="89"/>
      <c r="T106" s="89"/>
      <c r="U106" s="89">
        <f>IF(T105+U105&gt;0,T105+U105," ")</f>
        <v>46.2</v>
      </c>
      <c r="V106" s="89"/>
      <c r="W106" s="89"/>
      <c r="X106" s="89"/>
      <c r="Y106" s="89"/>
      <c r="Z106" s="89">
        <f>IF(Y105+Z105&gt;0,Y105+Z105," ")</f>
        <v>82.8</v>
      </c>
      <c r="AA106" s="89"/>
      <c r="AB106" s="89"/>
      <c r="AD106" s="89"/>
      <c r="AE106" s="89">
        <f>IF(AD105+AE105&gt;0,AD105+AE105," ")</f>
        <v>57.6</v>
      </c>
      <c r="AF106" s="89"/>
      <c r="AG106" s="89"/>
      <c r="AI106" s="89"/>
      <c r="AJ106" s="89">
        <f>IF(AI105+AJ105&gt;0,AI105+AJ105," ")</f>
        <v>51.199999999999996</v>
      </c>
      <c r="AK106" s="89"/>
      <c r="AL106" s="89"/>
      <c r="AM106" s="89"/>
      <c r="AN106" s="89"/>
      <c r="AO106" s="89">
        <f>IF(AN105+AO105&gt;0,AN105+AO105," ")</f>
        <v>51.900000000000006</v>
      </c>
      <c r="AP106" s="89"/>
      <c r="AQ106" s="89"/>
      <c r="AS106" s="89"/>
      <c r="AT106" s="89">
        <f>IF(AS105+AT105&gt;0,AS105+AT105," ")</f>
        <v>58.5</v>
      </c>
      <c r="AU106" s="89"/>
      <c r="AV106" s="89"/>
      <c r="AW106" s="89"/>
      <c r="AX106" s="89"/>
      <c r="AY106" s="89">
        <f>IF(AX105+AY105&gt;0,AX105+AY105," ")</f>
        <v>60.2</v>
      </c>
      <c r="AZ106" s="89"/>
      <c r="BA106" s="89"/>
      <c r="BB106" s="89"/>
      <c r="BC106" s="89"/>
      <c r="BD106" s="89">
        <f>IF(BC105+BD105&gt;0,BC105+BD105," ")</f>
        <v>50.600000000000009</v>
      </c>
      <c r="BE106" s="89"/>
      <c r="BF106" s="89"/>
      <c r="BH106" s="89"/>
      <c r="BI106" s="89">
        <f>IF(BH105+BI105&gt;0,BH105+BI105," ")</f>
        <v>34.100000000000009</v>
      </c>
      <c r="BJ106" s="89"/>
      <c r="BK106" s="89"/>
      <c r="BL106" s="89"/>
      <c r="BM106" s="89"/>
      <c r="BN106" s="89">
        <f>IF(BM105+BN105&gt;0,BM105+BN105," ")</f>
        <v>56.999999999999993</v>
      </c>
      <c r="BO106" s="89"/>
      <c r="BP106" s="89"/>
      <c r="BQ106" s="89"/>
      <c r="BR106" s="89"/>
      <c r="BS106" s="89">
        <f>IF(BR105+BS105&gt;0,BR105+BS105," ")</f>
        <v>65.100000000000009</v>
      </c>
      <c r="BT106" s="89"/>
      <c r="BU106" s="89"/>
      <c r="BW106" s="89"/>
      <c r="BX106" s="89">
        <f>IF(BW105+BX105&gt;0,BW105+BX105," ")</f>
        <v>66</v>
      </c>
      <c r="BY106" s="89"/>
      <c r="BZ106" s="89"/>
      <c r="CA106" s="89"/>
      <c r="CB106" s="89"/>
      <c r="CC106" s="89">
        <f>IF(CB105+CC105&gt;0,CB105+CC105," ")</f>
        <v>73.8</v>
      </c>
      <c r="CD106" s="89"/>
      <c r="CE106" s="89"/>
      <c r="CF106" s="89"/>
      <c r="CG106" s="89"/>
      <c r="CH106" s="89">
        <f>IF(CG105+CH105&gt;0,CG105+CH105," ")</f>
        <v>71.900000000000006</v>
      </c>
      <c r="CI106" s="89"/>
      <c r="CJ106" s="89"/>
      <c r="CL106" s="89"/>
      <c r="CM106" s="89">
        <f>IF(CL105+CM105&gt;0,CL105+CM105," ")</f>
        <v>69.599999999999994</v>
      </c>
      <c r="CN106" s="89"/>
      <c r="CO106" s="89"/>
      <c r="CQ106" s="89"/>
      <c r="CR106" s="89">
        <f>IF(CQ105+CR105&gt;0,CQ105+CR105," ")</f>
        <v>49.1</v>
      </c>
      <c r="CS106" s="89"/>
      <c r="CT106" s="89"/>
      <c r="CU106" s="89"/>
      <c r="CV106" s="89"/>
      <c r="CW106" s="89">
        <f>IF(CV105+CW105&gt;0,CV105+CW105," ")</f>
        <v>94.6</v>
      </c>
      <c r="CX106" s="89"/>
      <c r="CY106" s="89"/>
      <c r="DA106" s="89"/>
      <c r="DB106" s="89">
        <f>IF(DA105+DB105&gt;0,DA105+DB105," ")</f>
        <v>65.199999999999989</v>
      </c>
      <c r="DC106" s="89"/>
      <c r="DD106" s="89"/>
      <c r="DE106" s="89"/>
      <c r="DF106" s="89"/>
      <c r="DG106" s="89">
        <f>IF(DF105+DG105&gt;0,DF105+DG105," ")</f>
        <v>87.6</v>
      </c>
      <c r="DH106" s="89"/>
      <c r="DI106" s="89"/>
      <c r="DJ106" s="89"/>
      <c r="DK106" s="89"/>
      <c r="DL106" s="89">
        <f>IF(DK105+DL105&gt;0,DK105+DL105," ")</f>
        <v>71.2</v>
      </c>
      <c r="DM106" s="89"/>
      <c r="DN106" s="89"/>
      <c r="DP106" s="89"/>
      <c r="DQ106" s="89">
        <f>IF(DP105+DQ105&gt;0,DP105+DQ105," ")</f>
        <v>66.5</v>
      </c>
      <c r="DR106" s="89"/>
      <c r="DS106" s="89"/>
      <c r="DT106" s="89"/>
      <c r="DU106" s="89"/>
      <c r="DV106" s="89">
        <f>IF(DU105+DV105&gt;0,DU105+DV105," ")</f>
        <v>76.900000000000006</v>
      </c>
      <c r="DW106" s="89"/>
      <c r="DX106" s="89"/>
      <c r="DY106" s="89"/>
      <c r="DZ106" s="89"/>
      <c r="EA106" s="89">
        <f>IF(DZ105+EA105&gt;0,DZ105+EA105," ")</f>
        <v>93.7</v>
      </c>
      <c r="EB106" s="89"/>
      <c r="EC106" s="89"/>
      <c r="EE106" s="89"/>
      <c r="EF106" s="89">
        <f>IF(EE105+EF105&gt;0,EE105+EF105," ")</f>
        <v>96.5</v>
      </c>
      <c r="EG106" s="89"/>
      <c r="EH106" s="89"/>
      <c r="EJ106" s="89"/>
      <c r="EK106" s="89"/>
      <c r="EL106" s="89"/>
      <c r="EM106" s="89"/>
      <c r="EN106" s="89"/>
      <c r="EO106" s="89"/>
      <c r="EP106" s="89"/>
      <c r="EQ106" s="89"/>
      <c r="ER106" s="89"/>
      <c r="ES106" s="89"/>
      <c r="ET106" s="89"/>
      <c r="EU106" s="89"/>
      <c r="EW106" s="89"/>
      <c r="EX106" s="89" t="str">
        <f>IF(EW105+EX105&gt;0,EW105+EX105," ")</f>
        <v xml:space="preserve"> </v>
      </c>
      <c r="FG106" s="89"/>
      <c r="FH106" s="89"/>
      <c r="FI106" s="89"/>
      <c r="FJ106" s="89"/>
      <c r="FK106" s="89"/>
    </row>
    <row r="107" spans="2:167" s="321" customFormat="1" x14ac:dyDescent="0.2">
      <c r="C107" s="321" t="s">
        <v>210</v>
      </c>
      <c r="F107" s="321">
        <f>MIN('Løp 1'!$L10:$L80)</f>
        <v>8.0739144316730529E-3</v>
      </c>
      <c r="K107" s="321" t="e">
        <f>MIN(#REF!)</f>
        <v>#REF!</v>
      </c>
      <c r="P107" s="321" t="e">
        <f>MIN(#REF!)</f>
        <v>#REF!</v>
      </c>
      <c r="U107" s="321" t="e">
        <f>MIN('Løp 4'!#REF!)</f>
        <v>#REF!</v>
      </c>
      <c r="Z107" s="321" t="e">
        <f>MIN('Løp 5'!#REF!)</f>
        <v>#REF!</v>
      </c>
      <c r="AE107" s="321" t="e">
        <f>MIN('Løp 6'!#REF!)</f>
        <v>#REF!</v>
      </c>
      <c r="AJ107" s="321" t="e">
        <f>MIN('Løp 7'!#REF!)</f>
        <v>#REF!</v>
      </c>
      <c r="AO107" s="321" t="e">
        <f>MIN('Løp 8'!#REF!)</f>
        <v>#REF!</v>
      </c>
      <c r="AT107" s="321" t="e">
        <f>MIN('Løp 9'!#REF!)</f>
        <v>#REF!</v>
      </c>
      <c r="AY107" s="321" t="e">
        <f>MIN('Løp 10'!#REF!)</f>
        <v>#REF!</v>
      </c>
      <c r="BD107" s="321" t="e">
        <f>MIN('Løp 11'!#REF!)</f>
        <v>#REF!</v>
      </c>
      <c r="BI107" s="321" t="e">
        <f>MIN('Løp 12'!#REF!)</f>
        <v>#REF!</v>
      </c>
      <c r="BN107" s="321" t="e">
        <f>MIN('Løp 13'!#REF!)</f>
        <v>#REF!</v>
      </c>
      <c r="BS107" s="321" t="e">
        <f>MIN('Løp 14'!#REF!)</f>
        <v>#REF!</v>
      </c>
      <c r="BX107" s="321" t="e">
        <f>MIN('Løp 15'!#REF!)</f>
        <v>#REF!</v>
      </c>
      <c r="CC107" s="321" t="e">
        <f>MIN('Løp 16'!#REF!)</f>
        <v>#REF!</v>
      </c>
      <c r="CH107" s="321" t="e">
        <f>MIN('Løp 17'!#REF!)</f>
        <v>#REF!</v>
      </c>
      <c r="CM107" s="321" t="e">
        <f>MIN('Løp 18'!#REF!)</f>
        <v>#REF!</v>
      </c>
      <c r="CR107" s="321" t="e">
        <f>MIN('Løp 19'!#REF!)</f>
        <v>#REF!</v>
      </c>
      <c r="CW107" s="321" t="e">
        <f>MIN('Løp 20'!#REF!)</f>
        <v>#REF!</v>
      </c>
      <c r="DB107" s="321" t="e">
        <f>MIN('Løp 21'!#REF!)</f>
        <v>#REF!</v>
      </c>
      <c r="DG107" s="321" t="e">
        <f>MIN('Løp 22'!#REF!)</f>
        <v>#REF!</v>
      </c>
      <c r="DL107" s="321" t="e">
        <f>MIN('Løp 23'!#REF!)</f>
        <v>#REF!</v>
      </c>
      <c r="DQ107" s="321" t="e">
        <f>MIN('Løp 24'!#REF!)</f>
        <v>#REF!</v>
      </c>
      <c r="DV107" s="321" t="e">
        <f>MIN('Løp 25'!#REF!)</f>
        <v>#REF!</v>
      </c>
      <c r="EA107" s="321" t="e">
        <f>MIN('Løp 26'!#REF!)</f>
        <v>#REF!</v>
      </c>
      <c r="EF107" s="321" t="e">
        <f>MIN('Løp 27'!#REF!)</f>
        <v>#REF!</v>
      </c>
    </row>
    <row r="108" spans="2:167" x14ac:dyDescent="0.2">
      <c r="E108" s="89"/>
      <c r="F108" s="89"/>
      <c r="G108" s="89"/>
      <c r="H108" s="89"/>
      <c r="I108" s="89"/>
      <c r="J108" s="89"/>
      <c r="K108" s="89"/>
      <c r="L108" s="89"/>
      <c r="M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D108" s="89"/>
      <c r="AE108" s="89"/>
      <c r="AF108" s="89"/>
      <c r="AG108" s="89"/>
      <c r="AI108" s="89"/>
      <c r="AJ108" s="89"/>
      <c r="AK108" s="89"/>
      <c r="AL108" s="89"/>
      <c r="AM108" s="89"/>
      <c r="AN108" s="89"/>
      <c r="AO108" s="89"/>
      <c r="AP108" s="89"/>
      <c r="AQ108" s="89"/>
      <c r="AS108" s="89"/>
      <c r="AT108" s="89"/>
      <c r="AU108" s="89"/>
      <c r="AV108" s="89"/>
      <c r="AW108" s="89"/>
      <c r="AX108" s="89"/>
      <c r="AY108" s="89"/>
      <c r="AZ108" s="89"/>
      <c r="BA108" s="89"/>
      <c r="BB108" s="89"/>
      <c r="BC108" s="89"/>
      <c r="BD108" s="89"/>
      <c r="BE108" s="89"/>
      <c r="BF108" s="89"/>
      <c r="BH108" s="89"/>
      <c r="BI108" s="89"/>
      <c r="BJ108" s="89"/>
      <c r="BK108" s="89"/>
      <c r="BL108" s="89"/>
      <c r="BM108" s="89"/>
      <c r="BN108" s="89"/>
      <c r="BO108" s="89"/>
      <c r="BP108" s="89"/>
      <c r="BQ108" s="89"/>
      <c r="BR108" s="89"/>
      <c r="BS108" s="89"/>
      <c r="BT108" s="89"/>
      <c r="BU108" s="89"/>
      <c r="BW108" s="89"/>
      <c r="BX108" s="89"/>
      <c r="BY108" s="89"/>
      <c r="BZ108" s="89"/>
      <c r="CA108" s="89"/>
      <c r="CB108" s="89"/>
      <c r="CC108" s="89"/>
      <c r="CD108" s="89"/>
      <c r="CE108" s="89"/>
      <c r="CF108" s="89"/>
      <c r="CG108" s="89"/>
      <c r="CH108" s="89"/>
      <c r="CI108" s="89"/>
      <c r="CJ108" s="89"/>
      <c r="CL108" s="89"/>
      <c r="CM108" s="89"/>
      <c r="CN108" s="89"/>
      <c r="CO108" s="89"/>
      <c r="CQ108" s="89"/>
      <c r="CR108" s="89"/>
      <c r="CS108" s="89"/>
      <c r="CT108" s="89"/>
      <c r="CU108" s="89"/>
      <c r="CV108" s="89"/>
      <c r="CW108" s="89"/>
      <c r="CX108" s="89"/>
      <c r="CY108" s="89"/>
      <c r="DA108" s="89"/>
      <c r="DB108" s="89"/>
      <c r="DC108" s="89"/>
      <c r="DD108" s="89"/>
      <c r="DE108" s="89"/>
      <c r="DF108" s="89"/>
      <c r="DG108" s="89"/>
      <c r="DH108" s="89"/>
      <c r="DI108" s="89"/>
      <c r="DJ108" s="89"/>
      <c r="DK108" s="89"/>
      <c r="DL108" s="89"/>
      <c r="DM108" s="89"/>
      <c r="DN108" s="89"/>
      <c r="DP108" s="89"/>
      <c r="DQ108" s="89"/>
      <c r="DR108" s="89"/>
      <c r="DS108" s="89"/>
      <c r="DT108" s="89"/>
      <c r="DU108" s="89"/>
      <c r="DV108" s="89"/>
      <c r="DW108" s="89"/>
      <c r="DX108" s="89"/>
      <c r="DY108" s="89"/>
      <c r="DZ108" s="89"/>
      <c r="EA108" s="89"/>
      <c r="EB108" s="89"/>
      <c r="EC108" s="89"/>
      <c r="EJ108" s="89"/>
      <c r="EK108" s="89"/>
      <c r="EL108" s="89"/>
      <c r="EM108" s="89"/>
      <c r="EN108" s="89"/>
      <c r="EO108" s="89"/>
      <c r="EP108" s="89"/>
      <c r="EQ108" s="89"/>
      <c r="ER108" s="89"/>
      <c r="ES108" s="89"/>
      <c r="ET108" s="89"/>
      <c r="EU108" s="89"/>
      <c r="EW108" s="89"/>
      <c r="EX108" s="89"/>
      <c r="FG108" s="89"/>
      <c r="FH108" s="89"/>
      <c r="FI108" s="89"/>
      <c r="FJ108" s="89"/>
      <c r="FK108" s="89"/>
    </row>
    <row r="109" spans="2:167" ht="17" thickBot="1" x14ac:dyDescent="0.25">
      <c r="DK109" s="100"/>
      <c r="DL109" s="100"/>
      <c r="DM109" s="100"/>
      <c r="DN109" s="100"/>
      <c r="DO109" s="100"/>
      <c r="DP109" s="101"/>
      <c r="DQ109" s="101"/>
      <c r="DR109" s="101"/>
      <c r="DS109" s="101"/>
      <c r="DT109" s="101"/>
    </row>
    <row r="110" spans="2:167" ht="19" x14ac:dyDescent="0.25">
      <c r="F110" s="196" t="s">
        <v>177</v>
      </c>
      <c r="G110" s="207"/>
      <c r="H110" s="207"/>
      <c r="I110" s="197"/>
      <c r="J110" s="197"/>
      <c r="K110" s="197"/>
      <c r="L110" s="197"/>
      <c r="M110" s="197"/>
      <c r="N110" s="197"/>
      <c r="O110" s="197"/>
      <c r="P110" s="198"/>
      <c r="DB110" s="100"/>
      <c r="DC110" s="100"/>
      <c r="DD110" s="100"/>
      <c r="DE110" s="100"/>
      <c r="DF110" s="100"/>
      <c r="DG110" s="102"/>
      <c r="DH110" s="102"/>
      <c r="DI110" s="102"/>
      <c r="DJ110" s="102"/>
      <c r="DK110" s="102"/>
    </row>
    <row r="111" spans="2:167" x14ac:dyDescent="0.2">
      <c r="F111" s="199"/>
      <c r="P111" s="200"/>
      <c r="DB111" s="100"/>
      <c r="DC111" s="100"/>
      <c r="DD111" s="100"/>
      <c r="DE111" s="100"/>
      <c r="DF111" s="100"/>
      <c r="DG111" s="102"/>
      <c r="DH111" s="102"/>
      <c r="DI111" s="102"/>
      <c r="DJ111" s="102"/>
      <c r="DK111" s="102"/>
    </row>
    <row r="112" spans="2:167" x14ac:dyDescent="0.2">
      <c r="F112" s="199" t="s">
        <v>27</v>
      </c>
      <c r="K112">
        <f>EX20</f>
        <v>27</v>
      </c>
      <c r="P112" s="200"/>
    </row>
    <row r="113" spans="6:16" x14ac:dyDescent="0.2">
      <c r="F113" s="199" t="s">
        <v>273</v>
      </c>
      <c r="K113">
        <f>COUNTIF(EQ27:EQ97,"&gt;0")</f>
        <v>69</v>
      </c>
      <c r="P113" s="200"/>
    </row>
    <row r="114" spans="6:16" x14ac:dyDescent="0.2">
      <c r="F114" s="199" t="s">
        <v>277</v>
      </c>
      <c r="K114">
        <f>MIN(E103:EH103)</f>
        <v>14</v>
      </c>
      <c r="L114" s="569" t="s">
        <v>214</v>
      </c>
      <c r="M114">
        <v>12</v>
      </c>
      <c r="O114" t="s">
        <v>215</v>
      </c>
      <c r="P114" s="200"/>
    </row>
    <row r="115" spans="6:16" x14ac:dyDescent="0.2">
      <c r="F115" s="199" t="s">
        <v>278</v>
      </c>
      <c r="K115">
        <f>MAXA(E103:EH103)</f>
        <v>46</v>
      </c>
      <c r="L115" s="569" t="s">
        <v>214</v>
      </c>
      <c r="M115">
        <v>26</v>
      </c>
      <c r="O115" t="s">
        <v>117</v>
      </c>
      <c r="P115" s="200"/>
    </row>
    <row r="116" spans="6:16" x14ac:dyDescent="0.2">
      <c r="F116" s="199" t="s">
        <v>179</v>
      </c>
      <c r="K116" s="89">
        <f>AVERAGE(E103:EF103)</f>
        <v>29.444444444444443</v>
      </c>
      <c r="L116" s="89"/>
      <c r="M116" s="89"/>
      <c r="N116" s="89"/>
      <c r="O116" s="89"/>
      <c r="P116" s="200"/>
    </row>
    <row r="117" spans="6:16" x14ac:dyDescent="0.2">
      <c r="F117" s="199" t="s">
        <v>180</v>
      </c>
      <c r="K117" s="89">
        <f>AVERAGEIF(EJ27:EJ97,"&gt;0")</f>
        <v>11.521739130434783</v>
      </c>
      <c r="L117" s="89"/>
      <c r="M117" s="89"/>
      <c r="N117" s="89"/>
      <c r="O117" s="89"/>
      <c r="P117" s="200"/>
    </row>
    <row r="118" spans="6:16" x14ac:dyDescent="0.2">
      <c r="F118" s="199" t="s">
        <v>181</v>
      </c>
      <c r="K118" s="99">
        <f>COUNTIF(EM27:EM97,"&gt;0")</f>
        <v>30</v>
      </c>
      <c r="L118" s="99"/>
      <c r="M118" s="99"/>
      <c r="N118" s="99"/>
      <c r="O118" s="99"/>
      <c r="P118" s="200"/>
    </row>
    <row r="119" spans="6:16" x14ac:dyDescent="0.2">
      <c r="F119" s="199"/>
      <c r="K119" s="89"/>
      <c r="L119" s="89"/>
      <c r="M119" s="89"/>
      <c r="N119" s="89"/>
      <c r="O119" s="89"/>
      <c r="P119" s="200"/>
    </row>
    <row r="120" spans="6:16" x14ac:dyDescent="0.2">
      <c r="F120" s="199" t="s">
        <v>182</v>
      </c>
      <c r="K120">
        <f>EJ100</f>
        <v>27</v>
      </c>
      <c r="P120" s="200"/>
    </row>
    <row r="121" spans="6:16" x14ac:dyDescent="0.2">
      <c r="F121" s="199" t="s">
        <v>274</v>
      </c>
      <c r="K121">
        <f>COUNTIF(EJ27:EJ97,K112)</f>
        <v>4</v>
      </c>
      <c r="P121" s="200"/>
    </row>
    <row r="122" spans="6:16" x14ac:dyDescent="0.2">
      <c r="F122" s="199" t="s">
        <v>183</v>
      </c>
      <c r="K122">
        <f>EM100</f>
        <v>8</v>
      </c>
      <c r="P122" s="200"/>
    </row>
    <row r="123" spans="6:16" x14ac:dyDescent="0.2">
      <c r="F123" s="199"/>
      <c r="P123" s="200"/>
    </row>
    <row r="124" spans="6:16" x14ac:dyDescent="0.2">
      <c r="F124" s="199" t="s">
        <v>184</v>
      </c>
      <c r="K124" s="89">
        <f>AVERAGE(E23:EH24)</f>
        <v>2.259615384615385</v>
      </c>
      <c r="L124" s="89"/>
      <c r="M124" s="89"/>
      <c r="N124" s="89"/>
      <c r="O124" s="89"/>
      <c r="P124" s="200"/>
    </row>
    <row r="125" spans="6:16" x14ac:dyDescent="0.2">
      <c r="F125" s="199" t="s">
        <v>275</v>
      </c>
      <c r="K125" s="89">
        <f>AVERAGE(F106:EF106)</f>
        <v>66.133333333333326</v>
      </c>
      <c r="L125" s="89"/>
      <c r="M125" s="89"/>
      <c r="N125" s="89"/>
      <c r="O125" s="89"/>
      <c r="P125" s="200"/>
    </row>
    <row r="126" spans="6:16" x14ac:dyDescent="0.2">
      <c r="F126" s="199" t="s">
        <v>276</v>
      </c>
      <c r="K126" s="99">
        <f>SUM(E105:EF105)</f>
        <v>1785.6000000000001</v>
      </c>
      <c r="L126" s="99"/>
      <c r="M126" s="99"/>
      <c r="N126" s="99"/>
      <c r="O126" s="99"/>
      <c r="P126" s="200"/>
    </row>
    <row r="127" spans="6:16" x14ac:dyDescent="0.2">
      <c r="F127" s="199" t="s">
        <v>185</v>
      </c>
      <c r="K127" s="99">
        <f>K126*1.25</f>
        <v>2232</v>
      </c>
      <c r="L127" s="99"/>
      <c r="M127" s="99"/>
      <c r="N127" s="99"/>
      <c r="O127" s="99"/>
      <c r="P127" s="200"/>
    </row>
    <row r="128" spans="6:16" x14ac:dyDescent="0.2">
      <c r="F128" s="199"/>
      <c r="K128" s="99"/>
      <c r="L128" s="99"/>
      <c r="M128" s="99"/>
      <c r="N128" s="99"/>
      <c r="O128" s="99"/>
      <c r="P128" s="200"/>
    </row>
    <row r="129" spans="6:16" x14ac:dyDescent="0.2">
      <c r="F129" s="199" t="s">
        <v>212</v>
      </c>
      <c r="K129" s="321" t="e">
        <f>MIN(E107:EF107)</f>
        <v>#REF!</v>
      </c>
      <c r="L129" s="322" t="s">
        <v>214</v>
      </c>
      <c r="M129" s="322">
        <v>16</v>
      </c>
      <c r="N129" s="190"/>
      <c r="O129" s="99" t="s">
        <v>227</v>
      </c>
      <c r="P129" s="323"/>
    </row>
    <row r="130" spans="6:16" x14ac:dyDescent="0.2">
      <c r="F130" s="199" t="s">
        <v>213</v>
      </c>
      <c r="K130" s="321" t="e">
        <f>MAXA(E107:EF107)</f>
        <v>#REF!</v>
      </c>
      <c r="L130" s="322" t="s">
        <v>214</v>
      </c>
      <c r="M130" s="568">
        <v>13</v>
      </c>
      <c r="N130" s="567"/>
      <c r="O130" s="99" t="s">
        <v>218</v>
      </c>
      <c r="P130" s="323"/>
    </row>
    <row r="131" spans="6:16" x14ac:dyDescent="0.2">
      <c r="F131" s="199"/>
      <c r="L131" s="99"/>
      <c r="P131" s="200"/>
    </row>
    <row r="132" spans="6:16" x14ac:dyDescent="0.2">
      <c r="F132" s="199" t="s">
        <v>186</v>
      </c>
      <c r="K132" s="201" t="e">
        <f>AVERAGE('Løp 1'!K84,#REF!,#REF!,'Løp 4'!#REF!,'Løp 5'!#REF!,'Løp 6'!#REF!,'Løp 7'!#REF!,'Løp 8'!#REF!,'Løp 9'!#REF!,'Løp 10'!#REF!,'Løp 11'!#REF!,'Løp 12'!#REF!,'Løp 13'!#REF!,'Løp 14'!#REF!,'Løp 15'!#REF!,'Løp 16'!#REF!,'Løp 17'!#REF!,'Løp 18'!#REF!,'Løp 19'!#REF!,'Løp 20'!#REF!,'Løp 21'!#REF!,'Løp 22'!#REF!,'Løp 23'!#REF!,'Løp 24'!#REF!,'Løp 25'!#REF!,'Løp 26'!#REF!,'Løp 27'!#REF!)</f>
        <v>#REF!</v>
      </c>
      <c r="L132" s="88" t="e">
        <f>(HOUR(K132)+MINUTE(K132)/60+SECOND(K132)/3600)*60</f>
        <v>#REF!</v>
      </c>
      <c r="M132" s="88"/>
      <c r="N132" s="88"/>
      <c r="O132" s="201"/>
      <c r="P132" s="200"/>
    </row>
    <row r="133" spans="6:16" ht="17" thickBot="1" x14ac:dyDescent="0.25">
      <c r="F133" s="202" t="s">
        <v>187</v>
      </c>
      <c r="G133" s="203"/>
      <c r="H133" s="203"/>
      <c r="I133" s="203"/>
      <c r="J133" s="203"/>
      <c r="K133" s="204" t="e">
        <f>L132*(EJ99-EM99)/(60*24)</f>
        <v>#REF!</v>
      </c>
      <c r="L133" s="204"/>
      <c r="M133" s="204"/>
      <c r="N133" s="204"/>
      <c r="O133" s="204"/>
      <c r="P133" s="205"/>
    </row>
  </sheetData>
  <autoFilter ref="B26:FF97" xr:uid="{379A05B6-F91E-0F48-9E5E-939F8971BA45}">
    <sortState xmlns:xlrd2="http://schemas.microsoft.com/office/spreadsheetml/2017/richdata2" ref="B27:FF97">
      <sortCondition descending="1" ref="EM26:EM97"/>
    </sortState>
  </autoFilter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5532E-4CB3-1449-A3C6-9C90FECA08D4}">
  <dimension ref="B1:AC110"/>
  <sheetViews>
    <sheetView topLeftCell="A57" workbookViewId="0">
      <selection activeCell="G5" sqref="G1:G1048576"/>
    </sheetView>
  </sheetViews>
  <sheetFormatPr baseColWidth="10" defaultColWidth="10.83203125" defaultRowHeight="16" x14ac:dyDescent="0.2"/>
  <cols>
    <col min="3" max="3" width="14.5" customWidth="1"/>
    <col min="4" max="4" width="20.1640625" customWidth="1"/>
    <col min="5" max="5" width="20.1640625" hidden="1" customWidth="1"/>
    <col min="6" max="6" width="14.5" style="15" customWidth="1"/>
    <col min="7" max="7" width="14.5" style="15" hidden="1" customWidth="1"/>
    <col min="8" max="8" width="14" style="15" customWidth="1"/>
    <col min="9" max="10" width="19.1640625" style="15" customWidth="1"/>
    <col min="11" max="11" width="17.6640625" style="15" customWidth="1"/>
    <col min="12" max="12" width="10.83203125" style="15"/>
    <col min="14" max="14" width="10.83203125" style="15"/>
    <col min="18" max="18" width="12.5" customWidth="1"/>
    <col min="19" max="19" width="13.5" customWidth="1"/>
    <col min="22" max="22" width="1.83203125" customWidth="1"/>
    <col min="23" max="23" width="15.83203125" customWidth="1"/>
    <col min="24" max="24" width="11" customWidth="1"/>
  </cols>
  <sheetData>
    <row r="1" spans="2:29" ht="8" customHeight="1" x14ac:dyDescent="0.2"/>
    <row r="2" spans="2:29" ht="8" customHeight="1" x14ac:dyDescent="0.2"/>
    <row r="5" spans="2:29" ht="26" x14ac:dyDescent="0.3">
      <c r="B5" s="21" t="s">
        <v>201</v>
      </c>
      <c r="C5" s="245" t="s">
        <v>360</v>
      </c>
      <c r="F5" s="667"/>
      <c r="G5" s="667"/>
      <c r="H5" s="671" t="s">
        <v>189</v>
      </c>
      <c r="I5" s="670">
        <f>'Løp 4'!I5+7</f>
        <v>45965</v>
      </c>
    </row>
    <row r="6" spans="2:29" ht="17" thickBot="1" x14ac:dyDescent="0.25">
      <c r="B6" s="15"/>
    </row>
    <row r="7" spans="2:29" ht="59" customHeight="1" thickBot="1" x14ac:dyDescent="0.35">
      <c r="B7" s="12" t="s">
        <v>194</v>
      </c>
      <c r="C7" s="662" t="s">
        <v>57</v>
      </c>
      <c r="D7" s="391" t="s">
        <v>58</v>
      </c>
      <c r="E7" s="663"/>
      <c r="F7" s="663" t="s">
        <v>234</v>
      </c>
      <c r="G7" s="391" t="s">
        <v>280</v>
      </c>
      <c r="H7" s="391" t="s">
        <v>235</v>
      </c>
      <c r="I7" s="391" t="s">
        <v>302</v>
      </c>
      <c r="J7" s="391" t="s">
        <v>303</v>
      </c>
      <c r="K7" s="391" t="s">
        <v>192</v>
      </c>
      <c r="L7" s="194" t="s">
        <v>209</v>
      </c>
      <c r="M7" s="392" t="s">
        <v>55</v>
      </c>
      <c r="N7" s="393" t="s">
        <v>242</v>
      </c>
      <c r="O7" s="393" t="s">
        <v>240</v>
      </c>
      <c r="Q7" s="319"/>
      <c r="R7" s="319"/>
      <c r="S7" s="755" t="str">
        <f>B5</f>
        <v>Løp 5</v>
      </c>
      <c r="T7" s="754" t="str">
        <f>C5</f>
        <v>Hauken</v>
      </c>
      <c r="U7" s="730"/>
      <c r="V7" s="730"/>
      <c r="W7" s="941"/>
      <c r="X7" s="941"/>
    </row>
    <row r="8" spans="2:29" ht="23" customHeight="1" thickTop="1" thickBot="1" x14ac:dyDescent="0.35">
      <c r="B8" s="22"/>
      <c r="C8" s="394"/>
      <c r="D8" s="395"/>
      <c r="E8" s="597"/>
      <c r="F8" s="668"/>
      <c r="G8" s="668"/>
      <c r="H8" s="664"/>
      <c r="I8" s="391">
        <v>1.6</v>
      </c>
      <c r="J8" s="789">
        <v>2.7</v>
      </c>
      <c r="K8" s="391"/>
      <c r="N8" s="720"/>
      <c r="O8" s="390"/>
      <c r="S8" s="942" t="s">
        <v>312</v>
      </c>
      <c r="T8" s="943"/>
      <c r="U8" s="944"/>
      <c r="V8" s="779"/>
      <c r="W8" s="945" t="s">
        <v>313</v>
      </c>
      <c r="X8" s="940"/>
      <c r="AB8" s="836" t="s">
        <v>361</v>
      </c>
      <c r="AC8" s="827"/>
    </row>
    <row r="9" spans="2:29" ht="21" thickBot="1" x14ac:dyDescent="0.3">
      <c r="B9" s="22"/>
      <c r="C9" s="109"/>
      <c r="D9" s="105"/>
      <c r="E9" s="598"/>
      <c r="F9" s="669"/>
      <c r="G9" s="669"/>
      <c r="H9" s="665"/>
      <c r="I9" s="12"/>
      <c r="J9" s="12"/>
      <c r="K9" s="12"/>
      <c r="N9" s="722"/>
      <c r="O9" s="200"/>
      <c r="Q9" s="110"/>
      <c r="S9" s="731"/>
      <c r="T9" s="727" t="s">
        <v>311</v>
      </c>
      <c r="U9" s="750" t="s">
        <v>55</v>
      </c>
      <c r="V9" s="780"/>
      <c r="W9" s="774"/>
      <c r="X9" s="732" t="s">
        <v>55</v>
      </c>
      <c r="AB9" s="834" t="s">
        <v>234</v>
      </c>
      <c r="AC9" s="835" t="s">
        <v>362</v>
      </c>
    </row>
    <row r="10" spans="2:29" ht="21" thickBot="1" x14ac:dyDescent="0.3">
      <c r="B10" s="16">
        <f>B9+1</f>
        <v>1</v>
      </c>
      <c r="C10" s="106" t="s">
        <v>155</v>
      </c>
      <c r="D10" s="107" t="s">
        <v>156</v>
      </c>
      <c r="E10" s="599" t="str">
        <f t="shared" ref="E10:E41" si="0">_xlfn.CONCAT(C10:D10)</f>
        <v>KjellrunSporild</v>
      </c>
      <c r="F10" s="192">
        <f>YEAR(I$5)-_xlfn.XLOOKUP(E10,Deltakerliste!E$5:E$98,Deltakerliste!I$5:I$98)</f>
        <v>70</v>
      </c>
      <c r="G10" s="192">
        <f>_xlfn.XLOOKUP(E10,Deltakerliste!E$5:E$98,Deltakerliste!H$5:H$98)</f>
        <v>4</v>
      </c>
      <c r="H10" s="592">
        <f>VLOOKUP(F10,Deltakerliste!P$6:T$84,G10,FALSE)</f>
        <v>1.9490000000000012</v>
      </c>
      <c r="I10" s="18"/>
      <c r="J10" s="132">
        <v>2.3402777777777779E-2</v>
      </c>
      <c r="K10" s="18"/>
      <c r="L10" s="600">
        <f t="shared" ref="L10:L57" si="1">IF(OR(I10="Arr",J10="Arr",K10="Arr"),"Arr",IF(OR(I10="Brutt",J10="Brutt",K10="Brutt"),"Brutt",IF(OR(I10="Løype",J10="Løype",K10="Løype"),"Løype",IF(I10&gt;0,I10/I$8,J10/J$8))))</f>
        <v>8.6676954732510282E-3</v>
      </c>
      <c r="M10" s="594">
        <f>IF(L10="Løype",Poengsammendrag!$F$2,IF(L10="Arr",Poengsammendrag!$F$3,IF(L10="Brutt",50,IF(L10="Disk",50,ROUND(MAXA(100*(MIN(L$10:L$87)/L10),50),0)))))</f>
        <v>83</v>
      </c>
      <c r="N10" s="724">
        <f t="shared" ref="N10:N57" si="2">IF(L10="Arr","Arr",IF(L10="Brutt","Brutt",IF(L10="Løype","Løype",L10/H10)))</f>
        <v>4.4472526799646094E-3</v>
      </c>
      <c r="O10" s="596">
        <f>IF(N10="Løype",Poengsammendrag!$F$2,IF(N10="Arr",Poengsammendrag!$F$3,IF(N10="Brutt",50,IF(N10="Disk",50,ROUND(MAXA(100*(MIN(N$10:N$87)/N10),50),0)))))</f>
        <v>100</v>
      </c>
      <c r="Q10" s="672"/>
      <c r="R10" s="672"/>
      <c r="S10" s="802" t="s">
        <v>126</v>
      </c>
      <c r="T10" s="734">
        <v>7.2359396433470504E-3</v>
      </c>
      <c r="U10" s="751">
        <v>100</v>
      </c>
      <c r="V10" s="781"/>
      <c r="W10" s="775" t="s">
        <v>155</v>
      </c>
      <c r="X10" s="739">
        <v>100</v>
      </c>
      <c r="AB10" s="832">
        <v>55</v>
      </c>
      <c r="AC10" s="833">
        <f t="shared" ref="AC10:AC50" si="3">COUNTIFS(F$10:F$95,AB10,M$10:M$95,"&gt;0")</f>
        <v>0</v>
      </c>
    </row>
    <row r="11" spans="2:29" ht="21" customHeight="1" thickBot="1" x14ac:dyDescent="0.3">
      <c r="B11" s="16">
        <f>B10+1</f>
        <v>2</v>
      </c>
      <c r="C11" s="106" t="s">
        <v>364</v>
      </c>
      <c r="D11" s="107" t="s">
        <v>365</v>
      </c>
      <c r="E11" s="599" t="str">
        <f t="shared" si="0"/>
        <v>GerdBjørset</v>
      </c>
      <c r="F11" s="192">
        <f>YEAR(I$5)-_xlfn.XLOOKUP(E11,Deltakerliste!E$5:E$98,Deltakerliste!I$5:I$98)</f>
        <v>71</v>
      </c>
      <c r="G11" s="192">
        <f>_xlfn.XLOOKUP(E11,Deltakerliste!E$5:E$98,Deltakerliste!H$5:H$98)</f>
        <v>4</v>
      </c>
      <c r="H11" s="592">
        <f>VLOOKUP(F11,Deltakerliste!P$6:T$84,G11,FALSE)</f>
        <v>1.9926000000000013</v>
      </c>
      <c r="I11" s="13"/>
      <c r="J11" s="13">
        <v>2.5694444444444443E-2</v>
      </c>
      <c r="K11" s="13"/>
      <c r="L11" s="600">
        <f t="shared" si="1"/>
        <v>9.5164609053497926E-3</v>
      </c>
      <c r="M11" s="594">
        <f>IF(L11="Løype",Poengsammendrag!$F$2,IF(L11="Arr",Poengsammendrag!$F$3,IF(L11="Brutt",50,IF(L11="Disk",50,ROUND(MAXA(100*(MIN(L$10:L$87)/L11),50),0)))))</f>
        <v>76</v>
      </c>
      <c r="N11" s="724">
        <f t="shared" si="2"/>
        <v>4.775901287438415E-3</v>
      </c>
      <c r="O11" s="596">
        <f>IF(N11="Løype",Poengsammendrag!$F$2,IF(N11="Arr",Poengsammendrag!$F$3,IF(N11="Brutt",50,IF(N11="Disk",50,ROUND(MAXA(100*(MIN(N$10:N$87)/N11),50),0)))))</f>
        <v>93</v>
      </c>
      <c r="Q11" s="672"/>
      <c r="R11" s="672"/>
      <c r="S11" s="803" t="s">
        <v>134</v>
      </c>
      <c r="T11" s="736">
        <v>7.4931412894375859E-3</v>
      </c>
      <c r="U11" s="752">
        <v>97</v>
      </c>
      <c r="V11" s="781"/>
      <c r="W11" s="776" t="s">
        <v>364</v>
      </c>
      <c r="X11" s="740">
        <v>93</v>
      </c>
      <c r="AB11" s="828">
        <f>AB10+1</f>
        <v>56</v>
      </c>
      <c r="AC11" s="829">
        <f t="shared" si="3"/>
        <v>0</v>
      </c>
    </row>
    <row r="12" spans="2:29" ht="21" customHeight="1" thickBot="1" x14ac:dyDescent="0.3">
      <c r="B12" s="16">
        <f t="shared" ref="B12:B34" si="4">B11+1</f>
        <v>3</v>
      </c>
      <c r="C12" s="106" t="s">
        <v>126</v>
      </c>
      <c r="D12" s="107" t="s">
        <v>127</v>
      </c>
      <c r="E12" s="599" t="str">
        <f t="shared" si="0"/>
        <v>ArneMikkelsen</v>
      </c>
      <c r="F12" s="192">
        <f>YEAR(I$5)-_xlfn.XLOOKUP(E12,Deltakerliste!E$5:E$98,Deltakerliste!I$5:I$98)</f>
        <v>72</v>
      </c>
      <c r="G12" s="192">
        <f>_xlfn.XLOOKUP(E12,Deltakerliste!E$5:E$98,Deltakerliste!H$5:H$98)</f>
        <v>2</v>
      </c>
      <c r="H12" s="592">
        <f>VLOOKUP(F12,Deltakerliste!P$6:T$84,G12,FALSE)</f>
        <v>1.4969999999999999</v>
      </c>
      <c r="I12" s="13"/>
      <c r="J12" s="13">
        <v>1.9537037037037037E-2</v>
      </c>
      <c r="K12" s="13"/>
      <c r="L12" s="600">
        <f t="shared" si="1"/>
        <v>7.2359396433470504E-3</v>
      </c>
      <c r="M12" s="594">
        <f>IF(L12="Løype",Poengsammendrag!$F$2,IF(L12="Arr",Poengsammendrag!$F$3,IF(L12="Brutt",50,IF(L12="Disk",50,ROUND(MAXA(100*(MIN(L$10:L$87)/L12),50),0)))))</f>
        <v>100</v>
      </c>
      <c r="N12" s="724">
        <f t="shared" si="2"/>
        <v>4.8336270162638948E-3</v>
      </c>
      <c r="O12" s="596">
        <f>IF(N12="Løype",Poengsammendrag!$F$2,IF(N12="Arr",Poengsammendrag!$F$3,IF(N12="Brutt",50,IF(N12="Disk",50,ROUND(MAXA(100*(MIN(N$10:N$87)/N12),50),0)))))</f>
        <v>92</v>
      </c>
      <c r="Q12" s="672"/>
      <c r="R12" s="672"/>
      <c r="S12" s="803" t="s">
        <v>307</v>
      </c>
      <c r="T12" s="736">
        <v>7.8789437585733875E-3</v>
      </c>
      <c r="U12" s="752">
        <v>92</v>
      </c>
      <c r="V12" s="781"/>
      <c r="W12" s="776" t="s">
        <v>126</v>
      </c>
      <c r="X12" s="740">
        <v>92</v>
      </c>
      <c r="AB12" s="828">
        <f t="shared" ref="AB12:AB50" si="5">AB11+1</f>
        <v>57</v>
      </c>
      <c r="AC12" s="829">
        <f t="shared" si="3"/>
        <v>0</v>
      </c>
    </row>
    <row r="13" spans="2:29" ht="21" customHeight="1" thickBot="1" x14ac:dyDescent="0.3">
      <c r="B13" s="16">
        <f t="shared" si="4"/>
        <v>4</v>
      </c>
      <c r="C13" s="106" t="s">
        <v>307</v>
      </c>
      <c r="D13" s="107" t="s">
        <v>308</v>
      </c>
      <c r="E13" s="599" t="str">
        <f t="shared" si="0"/>
        <v>RolfWærnes</v>
      </c>
      <c r="F13" s="192">
        <f>YEAR(I$5)-_xlfn.XLOOKUP(E13,Deltakerliste!E$5:E$98,Deltakerliste!I$5:I$98)</f>
        <v>74</v>
      </c>
      <c r="G13" s="192">
        <f>_xlfn.XLOOKUP(E13,Deltakerliste!E$5:E$98,Deltakerliste!H$5:H$98)</f>
        <v>2</v>
      </c>
      <c r="H13" s="592">
        <f>VLOOKUP(F13,Deltakerliste!P$6:T$84,G13,FALSE)</f>
        <v>1.569</v>
      </c>
      <c r="I13" s="18"/>
      <c r="J13" s="132">
        <v>2.1273148148148149E-2</v>
      </c>
      <c r="K13" s="18"/>
      <c r="L13" s="600">
        <f t="shared" si="1"/>
        <v>7.8789437585733875E-3</v>
      </c>
      <c r="M13" s="594">
        <f>IF(L13="Løype",Poengsammendrag!$F$2,IF(L13="Arr",Poengsammendrag!$F$3,IF(L13="Brutt",50,IF(L13="Disk",50,ROUND(MAXA(100*(MIN(L$10:L$87)/L13),50),0)))))</f>
        <v>92</v>
      </c>
      <c r="N13" s="724">
        <f t="shared" si="2"/>
        <v>5.0216340080136311E-3</v>
      </c>
      <c r="O13" s="596">
        <f>IF(N13="Løype",Poengsammendrag!$F$2,IF(N13="Arr",Poengsammendrag!$F$3,IF(N13="Brutt",50,IF(N13="Disk",50,ROUND(MAXA(100*(MIN(N$10:N$87)/N13),50),0)))))</f>
        <v>89</v>
      </c>
      <c r="Q13" s="672"/>
      <c r="R13" s="672"/>
      <c r="S13" s="803" t="s">
        <v>368</v>
      </c>
      <c r="T13" s="736">
        <v>8.5133744855967076E-3</v>
      </c>
      <c r="U13" s="752">
        <v>85</v>
      </c>
      <c r="V13" s="781"/>
      <c r="W13" s="776" t="s">
        <v>307</v>
      </c>
      <c r="X13" s="740">
        <v>89</v>
      </c>
      <c r="AB13" s="828">
        <f t="shared" si="5"/>
        <v>58</v>
      </c>
      <c r="AC13" s="829">
        <f t="shared" si="3"/>
        <v>0</v>
      </c>
    </row>
    <row r="14" spans="2:29" ht="21" customHeight="1" thickBot="1" x14ac:dyDescent="0.3">
      <c r="B14" s="16">
        <f t="shared" si="4"/>
        <v>5</v>
      </c>
      <c r="C14" s="106" t="s">
        <v>116</v>
      </c>
      <c r="D14" s="107" t="s">
        <v>165</v>
      </c>
      <c r="E14" s="599" t="str">
        <f t="shared" si="0"/>
        <v>AndersWaage</v>
      </c>
      <c r="F14" s="192">
        <f>YEAR(I$5)-_xlfn.XLOOKUP(E14,Deltakerliste!E$5:E$98,Deltakerliste!I$5:I$98)</f>
        <v>77</v>
      </c>
      <c r="G14" s="192">
        <f>_xlfn.XLOOKUP(E14,Deltakerliste!E$5:E$98,Deltakerliste!H$5:H$98)</f>
        <v>2</v>
      </c>
      <c r="H14" s="592">
        <f>VLOOKUP(F14,Deltakerliste!P$6:T$84,G14,FALSE)</f>
        <v>1.7050000000000001</v>
      </c>
      <c r="I14" s="18"/>
      <c r="J14" s="132">
        <v>2.3773148148148147E-2</v>
      </c>
      <c r="K14" s="18"/>
      <c r="L14" s="600">
        <f t="shared" si="1"/>
        <v>8.804869684499313E-3</v>
      </c>
      <c r="M14" s="594">
        <f>IF(L14="Løype",Poengsammendrag!$F$2,IF(L14="Arr",Poengsammendrag!$F$3,IF(L14="Brutt",50,IF(L14="Disk",50,ROUND(MAXA(100*(MIN(L$10:L$87)/L14),50),0)))))</f>
        <v>82</v>
      </c>
      <c r="N14" s="724">
        <f t="shared" si="2"/>
        <v>5.1641464425215911E-3</v>
      </c>
      <c r="O14" s="596">
        <f>IF(N14="Løype",Poengsammendrag!$F$2,IF(N14="Arr",Poengsammendrag!$F$3,IF(N14="Brutt",50,IF(N14="Disk",50,ROUND(MAXA(100*(MIN(N$10:N$87)/N14),50),0)))))</f>
        <v>86</v>
      </c>
      <c r="Q14" s="672"/>
      <c r="R14" s="672"/>
      <c r="S14" s="803" t="s">
        <v>222</v>
      </c>
      <c r="T14" s="736">
        <v>8.6591220850480103E-3</v>
      </c>
      <c r="U14" s="752">
        <v>84</v>
      </c>
      <c r="V14" s="781"/>
      <c r="W14" s="776" t="s">
        <v>314</v>
      </c>
      <c r="X14" s="740">
        <v>86</v>
      </c>
      <c r="AB14" s="828">
        <f t="shared" si="5"/>
        <v>59</v>
      </c>
      <c r="AC14" s="829">
        <f t="shared" si="3"/>
        <v>1</v>
      </c>
    </row>
    <row r="15" spans="2:29" ht="21" customHeight="1" thickBot="1" x14ac:dyDescent="0.3">
      <c r="B15" s="16">
        <f t="shared" si="4"/>
        <v>6</v>
      </c>
      <c r="C15" s="106" t="s">
        <v>88</v>
      </c>
      <c r="D15" s="107" t="s">
        <v>89</v>
      </c>
      <c r="E15" s="599" t="str">
        <f t="shared" si="0"/>
        <v>EdgarFuruholt</v>
      </c>
      <c r="F15" s="192">
        <f>YEAR(I$5)-_xlfn.XLOOKUP(E15,Deltakerliste!E$5:E$98,Deltakerliste!I$5:I$98)</f>
        <v>78</v>
      </c>
      <c r="G15" s="192">
        <f>_xlfn.XLOOKUP(E15,Deltakerliste!E$5:E$98,Deltakerliste!H$5:H$98)</f>
        <v>2</v>
      </c>
      <c r="H15" s="592">
        <f>VLOOKUP(F15,Deltakerliste!P$6:T$84,G15,FALSE)</f>
        <v>1.7550000000000001</v>
      </c>
      <c r="I15" s="18"/>
      <c r="J15" s="132">
        <v>2.4502314814814814E-2</v>
      </c>
      <c r="K15" s="18"/>
      <c r="L15" s="600">
        <f t="shared" si="1"/>
        <v>9.0749314128943746E-3</v>
      </c>
      <c r="M15" s="594">
        <f>IF(L15="Løype",Poengsammendrag!$F$2,IF(L15="Arr",Poengsammendrag!$F$3,IF(L15="Brutt",50,IF(L15="Disk",50,ROUND(MAXA(100*(MIN(L$10:L$87)/L15),50),0)))))</f>
        <v>80</v>
      </c>
      <c r="N15" s="724">
        <f t="shared" si="2"/>
        <v>5.170901089968304E-3</v>
      </c>
      <c r="O15" s="596">
        <f>IF(N15="Løype",Poengsammendrag!$F$2,IF(N15="Arr",Poengsammendrag!$F$3,IF(N15="Brutt",50,IF(N15="Disk",50,ROUND(MAXA(100*(MIN(N$10:N$87)/N15),50),0)))))</f>
        <v>86</v>
      </c>
      <c r="Q15" s="672"/>
      <c r="R15" s="672"/>
      <c r="S15" s="803" t="s">
        <v>155</v>
      </c>
      <c r="T15" s="736">
        <v>8.6676954732510282E-3</v>
      </c>
      <c r="U15" s="752">
        <v>83</v>
      </c>
      <c r="V15" s="781"/>
      <c r="W15" s="776" t="s">
        <v>88</v>
      </c>
      <c r="X15" s="740">
        <v>86</v>
      </c>
      <c r="AB15" s="828">
        <f t="shared" si="5"/>
        <v>60</v>
      </c>
      <c r="AC15" s="829">
        <f t="shared" si="3"/>
        <v>0</v>
      </c>
    </row>
    <row r="16" spans="2:29" ht="21" customHeight="1" thickBot="1" x14ac:dyDescent="0.3">
      <c r="B16" s="16">
        <f t="shared" si="4"/>
        <v>7</v>
      </c>
      <c r="C16" s="106" t="s">
        <v>134</v>
      </c>
      <c r="D16" s="107" t="s">
        <v>135</v>
      </c>
      <c r="E16" s="599" t="str">
        <f t="shared" si="0"/>
        <v>IngeNørstebø</v>
      </c>
      <c r="F16" s="192">
        <f>YEAR(I$5)-_xlfn.XLOOKUP(E16,Deltakerliste!E$5:E$98,Deltakerliste!I$5:I$98)</f>
        <v>69</v>
      </c>
      <c r="G16" s="192">
        <f>_xlfn.XLOOKUP(E16,Deltakerliste!E$5:E$98,Deltakerliste!H$5:H$98)</f>
        <v>2</v>
      </c>
      <c r="H16" s="592">
        <f>VLOOKUP(F16,Deltakerliste!P$6:T$84,G16,FALSE)</f>
        <v>1.3989999999999998</v>
      </c>
      <c r="I16" s="13"/>
      <c r="J16" s="13">
        <v>2.0231481481481482E-2</v>
      </c>
      <c r="K16" s="13"/>
      <c r="L16" s="600">
        <f t="shared" si="1"/>
        <v>7.4931412894375859E-3</v>
      </c>
      <c r="M16" s="594">
        <f>IF(L16="Løype",Poengsammendrag!$F$2,IF(L16="Arr",Poengsammendrag!$F$3,IF(L16="Brutt",50,IF(L16="Disk",50,ROUND(MAXA(100*(MIN(L$10:L$87)/L16),50),0)))))</f>
        <v>97</v>
      </c>
      <c r="N16" s="724">
        <f t="shared" si="2"/>
        <v>5.356069542128368E-3</v>
      </c>
      <c r="O16" s="596">
        <f>IF(N16="Løype",Poengsammendrag!$F$2,IF(N16="Arr",Poengsammendrag!$F$3,IF(N16="Brutt",50,IF(N16="Disk",50,ROUND(MAXA(100*(MIN(N$10:N$87)/N16),50),0)))))</f>
        <v>83</v>
      </c>
      <c r="Q16" s="672"/>
      <c r="R16" s="672"/>
      <c r="S16" s="803" t="s">
        <v>314</v>
      </c>
      <c r="T16" s="736">
        <v>8.804869684499313E-3</v>
      </c>
      <c r="U16" s="752">
        <v>82</v>
      </c>
      <c r="V16" s="781"/>
      <c r="W16" s="776" t="s">
        <v>134</v>
      </c>
      <c r="X16" s="740">
        <v>83</v>
      </c>
      <c r="AB16" s="828">
        <f t="shared" si="5"/>
        <v>61</v>
      </c>
      <c r="AC16" s="829">
        <f t="shared" si="3"/>
        <v>0</v>
      </c>
    </row>
    <row r="17" spans="2:29" ht="21" customHeight="1" thickBot="1" x14ac:dyDescent="0.3">
      <c r="B17" s="16">
        <f t="shared" si="4"/>
        <v>8</v>
      </c>
      <c r="C17" s="106" t="s">
        <v>159</v>
      </c>
      <c r="D17" s="107" t="s">
        <v>160</v>
      </c>
      <c r="E17" s="599" t="str">
        <f t="shared" si="0"/>
        <v>EigilSørli</v>
      </c>
      <c r="F17" s="192">
        <f>YEAR(I$5)-_xlfn.XLOOKUP(E17,Deltakerliste!E$5:E$98,Deltakerliste!I$5:I$98)</f>
        <v>85</v>
      </c>
      <c r="G17" s="192">
        <f>_xlfn.XLOOKUP(E17,Deltakerliste!E$5:E$98,Deltakerliste!H$5:H$98)</f>
        <v>2</v>
      </c>
      <c r="H17" s="592">
        <f>VLOOKUP(F17,Deltakerliste!P$6:T$84,G17,FALSE)</f>
        <v>2.2249999999999996</v>
      </c>
      <c r="I17" s="132">
        <v>2.0034722222222221E-2</v>
      </c>
      <c r="J17" s="18"/>
      <c r="K17" s="18"/>
      <c r="L17" s="600">
        <f t="shared" si="1"/>
        <v>1.2521701388888888E-2</v>
      </c>
      <c r="M17" s="594">
        <f>IF(L17="Løype",Poengsammendrag!$F$2,IF(L17="Arr",Poengsammendrag!$F$3,IF(L17="Brutt",50,IF(L17="Disk",50,ROUND(MAXA(100*(MIN(L$10:L$87)/L17),50),0)))))</f>
        <v>58</v>
      </c>
      <c r="N17" s="724">
        <f t="shared" si="2"/>
        <v>5.6277309612983778E-3</v>
      </c>
      <c r="O17" s="596">
        <f>IF(N17="Løype",Poengsammendrag!$F$2,IF(N17="Arr",Poengsammendrag!$F$3,IF(N17="Brutt",50,IF(N17="Disk",50,ROUND(MAXA(100*(MIN(N$10:N$87)/N17),50),0)))))</f>
        <v>79</v>
      </c>
      <c r="Q17" s="672"/>
      <c r="R17" s="672"/>
      <c r="S17" s="803" t="s">
        <v>345</v>
      </c>
      <c r="T17" s="736">
        <v>8.9977709190672151E-3</v>
      </c>
      <c r="U17" s="752">
        <v>80</v>
      </c>
      <c r="V17" s="781"/>
      <c r="W17" s="776" t="s">
        <v>357</v>
      </c>
      <c r="X17" s="740">
        <v>79</v>
      </c>
      <c r="AB17" s="828">
        <f t="shared" si="5"/>
        <v>62</v>
      </c>
      <c r="AC17" s="829">
        <f t="shared" si="3"/>
        <v>0</v>
      </c>
    </row>
    <row r="18" spans="2:29" ht="21" customHeight="1" thickBot="1" x14ac:dyDescent="0.3">
      <c r="B18" s="16">
        <f t="shared" si="4"/>
        <v>9</v>
      </c>
      <c r="C18" s="106" t="s">
        <v>114</v>
      </c>
      <c r="D18" s="107" t="s">
        <v>115</v>
      </c>
      <c r="E18" s="599" t="str">
        <f t="shared" si="0"/>
        <v>MagnusLandstad</v>
      </c>
      <c r="F18" s="192">
        <f>YEAR(I$5)-_xlfn.XLOOKUP(E18,Deltakerliste!E$5:E$98,Deltakerliste!I$5:I$98)</f>
        <v>82</v>
      </c>
      <c r="G18" s="192">
        <f>_xlfn.XLOOKUP(E18,Deltakerliste!E$5:E$98,Deltakerliste!H$5:H$98)</f>
        <v>2</v>
      </c>
      <c r="H18" s="592">
        <f>VLOOKUP(F18,Deltakerliste!P$6:T$84,G18,FALSE)</f>
        <v>2.0030000000000001</v>
      </c>
      <c r="I18" s="86"/>
      <c r="J18" s="86">
        <v>3.1875000000000001E-2</v>
      </c>
      <c r="K18" s="13"/>
      <c r="L18" s="600">
        <f t="shared" si="1"/>
        <v>1.1805555555555555E-2</v>
      </c>
      <c r="M18" s="594">
        <f>IF(L18="Løype",Poengsammendrag!$F$2,IF(L18="Arr",Poengsammendrag!$F$3,IF(L18="Brutt",50,IF(L18="Disk",50,ROUND(MAXA(100*(MIN(L$10:L$87)/L18),50),0)))))</f>
        <v>61</v>
      </c>
      <c r="N18" s="724">
        <f t="shared" si="2"/>
        <v>5.8939368724690733E-3</v>
      </c>
      <c r="O18" s="596">
        <f>IF(N18="Løype",Poengsammendrag!$F$2,IF(N18="Arr",Poengsammendrag!$F$3,IF(N18="Brutt",50,IF(N18="Disk",50,ROUND(MAXA(100*(MIN(N$10:N$87)/N18),50),0)))))</f>
        <v>75</v>
      </c>
      <c r="Q18" s="672"/>
      <c r="R18" s="672"/>
      <c r="S18" s="803" t="s">
        <v>88</v>
      </c>
      <c r="T18" s="736">
        <v>9.0749314128943746E-3</v>
      </c>
      <c r="U18" s="752">
        <v>80</v>
      </c>
      <c r="V18" s="781"/>
      <c r="W18" s="776" t="s">
        <v>114</v>
      </c>
      <c r="X18" s="740">
        <v>75</v>
      </c>
      <c r="AB18" s="828">
        <f t="shared" si="5"/>
        <v>63</v>
      </c>
      <c r="AC18" s="829">
        <f t="shared" si="3"/>
        <v>0</v>
      </c>
    </row>
    <row r="19" spans="2:29" ht="21" thickBot="1" x14ac:dyDescent="0.3">
      <c r="B19" s="16">
        <f t="shared" si="4"/>
        <v>10</v>
      </c>
      <c r="C19" s="106" t="s">
        <v>106</v>
      </c>
      <c r="D19" s="107" t="s">
        <v>107</v>
      </c>
      <c r="E19" s="599" t="str">
        <f t="shared" si="0"/>
        <v>Jon ArneKlemetsaune</v>
      </c>
      <c r="F19" s="192">
        <f>YEAR(I$5)-_xlfn.XLOOKUP(E19,Deltakerliste!E$5:E$98,Deltakerliste!I$5:I$98)</f>
        <v>76</v>
      </c>
      <c r="G19" s="192">
        <f>_xlfn.XLOOKUP(E19,Deltakerliste!E$5:E$98,Deltakerliste!H$5:H$98)</f>
        <v>2</v>
      </c>
      <c r="H19" s="592">
        <f>VLOOKUP(F19,Deltakerliste!P$6:T$84,G19,FALSE)</f>
        <v>1.655</v>
      </c>
      <c r="I19" s="86"/>
      <c r="J19" s="86">
        <v>2.6516203703703705E-2</v>
      </c>
      <c r="K19" s="17"/>
      <c r="L19" s="600">
        <f t="shared" si="1"/>
        <v>9.8208161865569275E-3</v>
      </c>
      <c r="M19" s="594">
        <f>IF(L19="Løype",Poengsammendrag!$F$2,IF(L19="Arr",Poengsammendrag!$F$3,IF(L19="Brutt",50,IF(L19="Disk",50,ROUND(MAXA(100*(MIN(L$10:L$87)/L19),50),0)))))</f>
        <v>74</v>
      </c>
      <c r="N19" s="724">
        <f t="shared" si="2"/>
        <v>5.9340279072851521E-3</v>
      </c>
      <c r="O19" s="596">
        <f>IF(N19="Løype",Poengsammendrag!$F$2,IF(N19="Arr",Poengsammendrag!$F$3,IF(N19="Brutt",50,IF(N19="Disk",50,ROUND(MAXA(100*(MIN(N$10:N$87)/N19),50),0)))))</f>
        <v>75</v>
      </c>
      <c r="Q19" s="672"/>
      <c r="R19" s="672"/>
      <c r="S19" s="803" t="s">
        <v>340</v>
      </c>
      <c r="T19" s="736">
        <v>9.113511659807956E-3</v>
      </c>
      <c r="U19" s="752">
        <v>79</v>
      </c>
      <c r="V19" s="781"/>
      <c r="W19" s="776" t="s">
        <v>106</v>
      </c>
      <c r="X19" s="740">
        <v>75</v>
      </c>
      <c r="AB19" s="828">
        <f t="shared" si="5"/>
        <v>64</v>
      </c>
      <c r="AC19" s="829">
        <f t="shared" si="3"/>
        <v>0</v>
      </c>
    </row>
    <row r="20" spans="2:29" ht="21" thickBot="1" x14ac:dyDescent="0.3">
      <c r="B20" s="16">
        <f t="shared" si="4"/>
        <v>11</v>
      </c>
      <c r="C20" s="106" t="s">
        <v>63</v>
      </c>
      <c r="D20" s="107" t="s">
        <v>98</v>
      </c>
      <c r="E20" s="599" t="str">
        <f t="shared" si="0"/>
        <v>ToreHeggem</v>
      </c>
      <c r="F20" s="192">
        <f>YEAR(I$5)-_xlfn.XLOOKUP(E20,Deltakerliste!E$5:E$98,Deltakerliste!I$5:I$98)</f>
        <v>72</v>
      </c>
      <c r="G20" s="192">
        <f>_xlfn.XLOOKUP(E20,Deltakerliste!E$5:E$98,Deltakerliste!H$5:H$98)</f>
        <v>2</v>
      </c>
      <c r="H20" s="592">
        <f>VLOOKUP(F20,Deltakerliste!P$6:T$84,G20,FALSE)</f>
        <v>1.4969999999999999</v>
      </c>
      <c r="I20" s="86"/>
      <c r="J20" s="86">
        <v>2.4606481481481483E-2</v>
      </c>
      <c r="K20" s="13"/>
      <c r="L20" s="600">
        <f t="shared" si="1"/>
        <v>9.113511659807956E-3</v>
      </c>
      <c r="M20" s="594">
        <f>IF(L20="Løype",Poengsammendrag!$F$2,IF(L20="Arr",Poengsammendrag!$F$3,IF(L20="Brutt",50,IF(L20="Disk",50,ROUND(MAXA(100*(MIN(L$10:L$87)/L20),50),0)))))</f>
        <v>79</v>
      </c>
      <c r="N20" s="724">
        <f t="shared" si="2"/>
        <v>6.0878501401522758E-3</v>
      </c>
      <c r="O20" s="596">
        <f>IF(N20="Løype",Poengsammendrag!$F$2,IF(N20="Arr",Poengsammendrag!$F$3,IF(N20="Brutt",50,IF(N20="Disk",50,ROUND(MAXA(100*(MIN(N$10:N$87)/N20),50),0)))))</f>
        <v>73</v>
      </c>
      <c r="Q20" s="672"/>
      <c r="R20" s="672"/>
      <c r="S20" s="803" t="s">
        <v>364</v>
      </c>
      <c r="T20" s="736">
        <v>9.5164609053497926E-3</v>
      </c>
      <c r="U20" s="752">
        <v>76</v>
      </c>
      <c r="V20" s="781"/>
      <c r="W20" s="776" t="s">
        <v>340</v>
      </c>
      <c r="X20" s="740">
        <v>73</v>
      </c>
      <c r="AB20" s="828">
        <f t="shared" si="5"/>
        <v>65</v>
      </c>
      <c r="AC20" s="829">
        <f t="shared" si="3"/>
        <v>1</v>
      </c>
    </row>
    <row r="21" spans="2:29" ht="21" customHeight="1" thickBot="1" x14ac:dyDescent="0.3">
      <c r="B21" s="16">
        <f t="shared" si="4"/>
        <v>12</v>
      </c>
      <c r="C21" s="106" t="s">
        <v>222</v>
      </c>
      <c r="D21" s="107" t="s">
        <v>221</v>
      </c>
      <c r="E21" s="599" t="str">
        <f t="shared" si="0"/>
        <v>Kjell Maroni</v>
      </c>
      <c r="F21" s="192">
        <f>YEAR(I$5)-_xlfn.XLOOKUP(E21,Deltakerliste!E$5:E$98,Deltakerliste!I$5:I$98)</f>
        <v>69</v>
      </c>
      <c r="G21" s="192">
        <f>_xlfn.XLOOKUP(E21,Deltakerliste!E$5:E$98,Deltakerliste!H$5:H$98)</f>
        <v>2</v>
      </c>
      <c r="H21" s="592">
        <f>VLOOKUP(F21,Deltakerliste!P$6:T$84,G21,FALSE)</f>
        <v>1.3989999999999998</v>
      </c>
      <c r="I21" s="13"/>
      <c r="J21" s="13">
        <v>2.3379629629629629E-2</v>
      </c>
      <c r="K21" s="13"/>
      <c r="L21" s="600">
        <f t="shared" si="1"/>
        <v>8.6591220850480103E-3</v>
      </c>
      <c r="M21" s="594">
        <f>IF(L21="Løype",Poengsammendrag!$F$2,IF(L21="Arr",Poengsammendrag!$F$3,IF(L21="Brutt",50,IF(L21="Disk",50,ROUND(MAXA(100*(MIN(L$10:L$87)/L21),50),0)))))</f>
        <v>84</v>
      </c>
      <c r="N21" s="724">
        <f t="shared" si="2"/>
        <v>6.1895082809492576E-3</v>
      </c>
      <c r="O21" s="596">
        <f>IF(N21="Løype",Poengsammendrag!$F$2,IF(N21="Arr",Poengsammendrag!$F$3,IF(N21="Brutt",50,IF(N21="Disk",50,ROUND(MAXA(100*(MIN(N$10:N$87)/N21),50),0)))))</f>
        <v>72</v>
      </c>
      <c r="Q21" s="672"/>
      <c r="R21" s="672"/>
      <c r="S21" s="803" t="s">
        <v>106</v>
      </c>
      <c r="T21" s="736">
        <v>9.8208161865569275E-3</v>
      </c>
      <c r="U21" s="752">
        <v>74</v>
      </c>
      <c r="V21" s="781"/>
      <c r="W21" s="776" t="s">
        <v>222</v>
      </c>
      <c r="X21" s="740">
        <v>72</v>
      </c>
      <c r="AB21" s="828">
        <f t="shared" si="5"/>
        <v>66</v>
      </c>
      <c r="AC21" s="829">
        <f t="shared" si="3"/>
        <v>2</v>
      </c>
    </row>
    <row r="22" spans="2:29" ht="21" customHeight="1" thickBot="1" x14ac:dyDescent="0.3">
      <c r="B22" s="16">
        <f t="shared" si="4"/>
        <v>13</v>
      </c>
      <c r="C22" s="106" t="s">
        <v>96</v>
      </c>
      <c r="D22" s="107" t="s">
        <v>97</v>
      </c>
      <c r="E22" s="599" t="str">
        <f t="shared" si="0"/>
        <v>StigHaugskott</v>
      </c>
      <c r="F22" s="192">
        <f>YEAR(I$5)-_xlfn.XLOOKUP(E22,Deltakerliste!E$5:E$98,Deltakerliste!I$5:I$98)</f>
        <v>86</v>
      </c>
      <c r="G22" s="192">
        <f>_xlfn.XLOOKUP(E22,Deltakerliste!E$5:E$98,Deltakerliste!H$5:H$98)</f>
        <v>2</v>
      </c>
      <c r="H22" s="592">
        <f>VLOOKUP(F22,Deltakerliste!P$6:T$84,G22,FALSE)</f>
        <v>2.3089999999999997</v>
      </c>
      <c r="I22" s="86">
        <v>2.3229166666666665E-2</v>
      </c>
      <c r="J22" s="86"/>
      <c r="K22" s="86"/>
      <c r="L22" s="600">
        <f t="shared" si="1"/>
        <v>1.4518229166666665E-2</v>
      </c>
      <c r="M22" s="594">
        <f>IF(L22="Løype",Poengsammendrag!$F$2,IF(L22="Arr",Poengsammendrag!$F$3,IF(L22="Brutt",50,IF(L22="Disk",50,ROUND(MAXA(100*(MIN(L$10:L$87)/L22),50),0)))))</f>
        <v>50</v>
      </c>
      <c r="N22" s="724">
        <f t="shared" si="2"/>
        <v>6.2876696261007651E-3</v>
      </c>
      <c r="O22" s="596">
        <f>IF(N22="Løype",Poengsammendrag!$F$2,IF(N22="Arr",Poengsammendrag!$F$3,IF(N22="Brutt",50,IF(N22="Disk",50,ROUND(MAXA(100*(MIN(N$10:N$87)/N22),50),0)))))</f>
        <v>71</v>
      </c>
      <c r="Q22" s="672"/>
      <c r="R22" s="672"/>
      <c r="S22" s="803" t="s">
        <v>346</v>
      </c>
      <c r="T22" s="736">
        <v>1.0026577503429356E-2</v>
      </c>
      <c r="U22" s="752">
        <v>72</v>
      </c>
      <c r="V22" s="781"/>
      <c r="W22" s="776" t="s">
        <v>96</v>
      </c>
      <c r="X22" s="740">
        <v>71</v>
      </c>
      <c r="AB22" s="828">
        <f t="shared" si="5"/>
        <v>67</v>
      </c>
      <c r="AC22" s="829">
        <f t="shared" si="3"/>
        <v>1</v>
      </c>
    </row>
    <row r="23" spans="2:29" ht="21" customHeight="1" thickBot="1" x14ac:dyDescent="0.3">
      <c r="B23" s="16">
        <f t="shared" si="4"/>
        <v>14</v>
      </c>
      <c r="C23" s="106" t="s">
        <v>138</v>
      </c>
      <c r="D23" s="107" t="s">
        <v>137</v>
      </c>
      <c r="E23" s="599" t="str">
        <f t="shared" si="0"/>
        <v>GunnhildOftedal</v>
      </c>
      <c r="F23" s="192">
        <f>YEAR(I$5)-_xlfn.XLOOKUP(E23,Deltakerliste!E$5:E$98,Deltakerliste!I$5:I$98)</f>
        <v>72</v>
      </c>
      <c r="G23" s="192">
        <f>_xlfn.XLOOKUP(E23,Deltakerliste!E$5:E$98,Deltakerliste!H$5:H$98)</f>
        <v>4</v>
      </c>
      <c r="H23" s="592">
        <f>VLOOKUP(F23,Deltakerliste!P$6:T$84,G23,FALSE)</f>
        <v>2.0362000000000013</v>
      </c>
      <c r="I23" s="13"/>
      <c r="J23" s="13">
        <v>3.528935185185185E-2</v>
      </c>
      <c r="K23" s="13"/>
      <c r="L23" s="600">
        <f t="shared" si="1"/>
        <v>1.3070130315500684E-2</v>
      </c>
      <c r="M23" s="594">
        <f>IF(L23="Løype",Poengsammendrag!$F$2,IF(L23="Arr",Poengsammendrag!$F$3,IF(L23="Brutt",50,IF(L23="Disk",50,ROUND(MAXA(100*(MIN(L$10:L$87)/L23),50),0)))))</f>
        <v>55</v>
      </c>
      <c r="N23" s="724">
        <f t="shared" si="2"/>
        <v>6.4188833687755008E-3</v>
      </c>
      <c r="O23" s="596">
        <f>IF(N23="Løype",Poengsammendrag!$F$2,IF(N23="Arr",Poengsammendrag!$F$3,IF(N23="Brutt",50,IF(N23="Disk",50,ROUND(MAXA(100*(MIN(N$10:N$87)/N23),50),0)))))</f>
        <v>69</v>
      </c>
      <c r="Q23" s="672"/>
      <c r="R23" s="672"/>
      <c r="S23" s="803" t="s">
        <v>101</v>
      </c>
      <c r="T23" s="736">
        <v>1.0296639231824417E-2</v>
      </c>
      <c r="U23" s="752">
        <v>70</v>
      </c>
      <c r="V23" s="781"/>
      <c r="W23" s="776" t="s">
        <v>138</v>
      </c>
      <c r="X23" s="740">
        <v>69</v>
      </c>
      <c r="AB23" s="828">
        <f t="shared" si="5"/>
        <v>68</v>
      </c>
      <c r="AC23" s="829">
        <f t="shared" si="3"/>
        <v>1</v>
      </c>
    </row>
    <row r="24" spans="2:29" ht="21" thickBot="1" x14ac:dyDescent="0.3">
      <c r="B24" s="16">
        <f t="shared" si="4"/>
        <v>15</v>
      </c>
      <c r="C24" s="106" t="s">
        <v>124</v>
      </c>
      <c r="D24" s="107" t="s">
        <v>125</v>
      </c>
      <c r="E24" s="599" t="str">
        <f t="shared" si="0"/>
        <v>Heidi Midttun</v>
      </c>
      <c r="F24" s="192">
        <f>YEAR(I$5)-_xlfn.XLOOKUP(E24,Deltakerliste!E$5:E$98,Deltakerliste!I$5:I$98)</f>
        <v>70</v>
      </c>
      <c r="G24" s="192">
        <f>_xlfn.XLOOKUP(E24,Deltakerliste!E$5:E$98,Deltakerliste!H$5:H$98)</f>
        <v>4</v>
      </c>
      <c r="H24" s="592">
        <f>VLOOKUP(F24,Deltakerliste!P$6:T$84,G24,FALSE)</f>
        <v>1.9490000000000012</v>
      </c>
      <c r="I24" s="13"/>
      <c r="J24" s="13">
        <v>3.4143518518518517E-2</v>
      </c>
      <c r="K24" s="13"/>
      <c r="L24" s="600">
        <f t="shared" si="1"/>
        <v>1.2645747599451302E-2</v>
      </c>
      <c r="M24" s="594">
        <f>IF(L24="Løype",Poengsammendrag!$F$2,IF(L24="Arr",Poengsammendrag!$F$3,IF(L24="Brutt",50,IF(L24="Disk",50,ROUND(MAXA(100*(MIN(L$10:L$87)/L24),50),0)))))</f>
        <v>57</v>
      </c>
      <c r="N24" s="724">
        <f t="shared" si="2"/>
        <v>6.4883261156753686E-3</v>
      </c>
      <c r="O24" s="596">
        <f>IF(N24="Løype",Poengsammendrag!$F$2,IF(N24="Arr",Poengsammendrag!$F$3,IF(N24="Brutt",50,IF(N24="Disk",50,ROUND(MAXA(100*(MIN(N$10:N$87)/N24),50),0)))))</f>
        <v>69</v>
      </c>
      <c r="Q24" s="672"/>
      <c r="R24" s="672"/>
      <c r="S24" s="803" t="s">
        <v>269</v>
      </c>
      <c r="T24" s="736">
        <v>1.0566700960219479E-2</v>
      </c>
      <c r="U24" s="752">
        <v>68</v>
      </c>
      <c r="V24" s="781"/>
      <c r="W24" s="776" t="s">
        <v>124</v>
      </c>
      <c r="X24" s="740">
        <v>69</v>
      </c>
      <c r="AB24" s="828">
        <f t="shared" si="5"/>
        <v>69</v>
      </c>
      <c r="AC24" s="829">
        <f t="shared" si="3"/>
        <v>2</v>
      </c>
    </row>
    <row r="25" spans="2:29" ht="21" thickBot="1" x14ac:dyDescent="0.3">
      <c r="B25" s="16">
        <f t="shared" si="4"/>
        <v>16</v>
      </c>
      <c r="C25" s="106" t="s">
        <v>309</v>
      </c>
      <c r="D25" s="107" t="s">
        <v>310</v>
      </c>
      <c r="E25" s="599" t="str">
        <f t="shared" si="0"/>
        <v>VigdisHeimly</v>
      </c>
      <c r="F25" s="192">
        <f>YEAR(I$5)-_xlfn.XLOOKUP(E25,Deltakerliste!E$5:E$98,Deltakerliste!I$5:I$98)</f>
        <v>66</v>
      </c>
      <c r="G25" s="192">
        <f>_xlfn.XLOOKUP(E25,Deltakerliste!E$5:E$98,Deltakerliste!H$5:H$98)</f>
        <v>4</v>
      </c>
      <c r="H25" s="592">
        <f>VLOOKUP(F25,Deltakerliste!P$6:T$84,G25,FALSE)</f>
        <v>1.8066000000000009</v>
      </c>
      <c r="I25" s="86"/>
      <c r="J25" s="86">
        <v>3.3622685185185186E-2</v>
      </c>
      <c r="K25" s="17"/>
      <c r="L25" s="600">
        <f t="shared" si="1"/>
        <v>1.2452846364883401E-2</v>
      </c>
      <c r="M25" s="594">
        <f>IF(L25="Løype",Poengsammendrag!$F$2,IF(L25="Arr",Poengsammendrag!$F$3,IF(L25="Brutt",50,IF(L25="Disk",50,ROUND(MAXA(100*(MIN(L$10:L$87)/L25),50),0)))))</f>
        <v>58</v>
      </c>
      <c r="N25" s="724">
        <f t="shared" si="2"/>
        <v>6.8929737434315266E-3</v>
      </c>
      <c r="O25" s="596">
        <f>IF(N25="Løype",Poengsammendrag!$F$2,IF(N25="Arr",Poengsammendrag!$F$3,IF(N25="Brutt",50,IF(N25="Disk",50,ROUND(MAXA(100*(MIN(N$10:N$87)/N25),50),0)))))</f>
        <v>65</v>
      </c>
      <c r="Q25" s="672"/>
      <c r="R25" s="672"/>
      <c r="S25" s="803" t="s">
        <v>136</v>
      </c>
      <c r="T25" s="736">
        <v>1.0721021947873799E-2</v>
      </c>
      <c r="U25" s="752">
        <v>67</v>
      </c>
      <c r="V25" s="781"/>
      <c r="W25" s="776" t="s">
        <v>309</v>
      </c>
      <c r="X25" s="740">
        <v>65</v>
      </c>
      <c r="AB25" s="828">
        <f t="shared" si="5"/>
        <v>70</v>
      </c>
      <c r="AC25" s="829">
        <f t="shared" si="3"/>
        <v>2</v>
      </c>
    </row>
    <row r="26" spans="2:29" ht="21" customHeight="1" thickBot="1" x14ac:dyDescent="0.3">
      <c r="B26" s="16">
        <f t="shared" si="4"/>
        <v>17</v>
      </c>
      <c r="C26" s="106" t="s">
        <v>80</v>
      </c>
      <c r="D26" s="107" t="s">
        <v>81</v>
      </c>
      <c r="E26" s="599" t="str">
        <f t="shared" si="0"/>
        <v>HalvorFlatberg</v>
      </c>
      <c r="F26" s="192">
        <f>YEAR(I$5)-_xlfn.XLOOKUP(E26,Deltakerliste!E$5:E$98,Deltakerliste!I$5:I$98)</f>
        <v>79</v>
      </c>
      <c r="G26" s="192">
        <f>_xlfn.XLOOKUP(E26,Deltakerliste!E$5:E$98,Deltakerliste!H$5:H$98)</f>
        <v>2</v>
      </c>
      <c r="H26" s="592">
        <f>VLOOKUP(F26,Deltakerliste!P$6:T$84,G26,FALSE)</f>
        <v>1.8050000000000002</v>
      </c>
      <c r="I26" s="86">
        <v>0.02</v>
      </c>
      <c r="J26" s="86"/>
      <c r="K26" s="13"/>
      <c r="L26" s="600">
        <f t="shared" si="1"/>
        <v>1.2499999999999999E-2</v>
      </c>
      <c r="M26" s="594">
        <f>IF(L26="Løype",Poengsammendrag!$F$2,IF(L26="Arr",Poengsammendrag!$F$3,IF(L26="Brutt",50,IF(L26="Disk",50,ROUND(MAXA(100*(MIN(L$10:L$87)/L26),50),0)))))</f>
        <v>58</v>
      </c>
      <c r="N26" s="724">
        <f t="shared" si="2"/>
        <v>6.9252077562326859E-3</v>
      </c>
      <c r="O26" s="596">
        <f>IF(N26="Løype",Poengsammendrag!$F$2,IF(N26="Arr",Poengsammendrag!$F$3,IF(N26="Brutt",50,IF(N26="Disk",50,ROUND(MAXA(100*(MIN(N$10:N$87)/N26),50),0)))))</f>
        <v>64</v>
      </c>
      <c r="Q26" s="672"/>
      <c r="R26" s="672"/>
      <c r="S26" s="803" t="s">
        <v>350</v>
      </c>
      <c r="T26" s="736">
        <v>1.1063957475994512E-2</v>
      </c>
      <c r="U26" s="752">
        <v>65</v>
      </c>
      <c r="V26" s="781"/>
      <c r="W26" s="776" t="s">
        <v>80</v>
      </c>
      <c r="X26" s="740">
        <v>64</v>
      </c>
      <c r="AB26" s="828">
        <f t="shared" si="5"/>
        <v>71</v>
      </c>
      <c r="AC26" s="829">
        <f t="shared" si="3"/>
        <v>3</v>
      </c>
    </row>
    <row r="27" spans="2:29" ht="21" thickBot="1" x14ac:dyDescent="0.3">
      <c r="B27" s="16">
        <f t="shared" si="4"/>
        <v>18</v>
      </c>
      <c r="C27" s="106" t="s">
        <v>265</v>
      </c>
      <c r="D27" s="107" t="s">
        <v>344</v>
      </c>
      <c r="E27" s="599" t="str">
        <f t="shared" si="0"/>
        <v>ØysteinNytrø</v>
      </c>
      <c r="F27" s="192">
        <f>YEAR(I$5)-_xlfn.XLOOKUP(E27,Deltakerliste!E$5:E$98,Deltakerliste!I$5:I$98)</f>
        <v>65</v>
      </c>
      <c r="G27" s="192">
        <f>_xlfn.XLOOKUP(E27,Deltakerliste!E$5:E$98,Deltakerliste!H$5:H$98)</f>
        <v>2</v>
      </c>
      <c r="H27" s="592">
        <f>VLOOKUP(F27,Deltakerliste!P$6:T$84,G27,FALSE)</f>
        <v>1.2949999999999997</v>
      </c>
      <c r="I27" s="18"/>
      <c r="J27" s="132">
        <v>2.4293981481481482E-2</v>
      </c>
      <c r="K27" s="18"/>
      <c r="L27" s="600">
        <f t="shared" si="1"/>
        <v>8.9977709190672151E-3</v>
      </c>
      <c r="M27" s="594">
        <f>IF(L27="Løype",Poengsammendrag!$F$2,IF(L27="Arr",Poengsammendrag!$F$3,IF(L27="Brutt",50,IF(L27="Disk",50,ROUND(MAXA(100*(MIN(L$10:L$87)/L27),50),0)))))</f>
        <v>80</v>
      </c>
      <c r="N27" s="724">
        <f t="shared" si="2"/>
        <v>6.9480856517893565E-3</v>
      </c>
      <c r="O27" s="596">
        <f>IF(N27="Løype",Poengsammendrag!$F$2,IF(N27="Arr",Poengsammendrag!$F$3,IF(N27="Brutt",50,IF(N27="Disk",50,ROUND(MAXA(100*(MIN(N$10:N$87)/N27),50),0)))))</f>
        <v>64</v>
      </c>
      <c r="Q27" s="672"/>
      <c r="R27" s="672"/>
      <c r="S27" s="803" t="s">
        <v>163</v>
      </c>
      <c r="T27" s="736">
        <v>1.1063957475994512E-2</v>
      </c>
      <c r="U27" s="752">
        <v>65</v>
      </c>
      <c r="V27" s="781"/>
      <c r="W27" s="776" t="s">
        <v>345</v>
      </c>
      <c r="X27" s="740">
        <v>64</v>
      </c>
      <c r="AB27" s="828">
        <f t="shared" si="5"/>
        <v>72</v>
      </c>
      <c r="AC27" s="829">
        <f t="shared" si="3"/>
        <v>5</v>
      </c>
    </row>
    <row r="28" spans="2:29" ht="21" customHeight="1" thickBot="1" x14ac:dyDescent="0.3">
      <c r="B28" s="16">
        <f t="shared" si="4"/>
        <v>19</v>
      </c>
      <c r="C28" s="106" t="s">
        <v>136</v>
      </c>
      <c r="D28" s="107" t="s">
        <v>137</v>
      </c>
      <c r="E28" s="599" t="str">
        <f t="shared" si="0"/>
        <v>HaraldOftedal</v>
      </c>
      <c r="F28" s="192">
        <f>YEAR(I$5)-_xlfn.XLOOKUP(E28,Deltakerliste!E$5:E$98,Deltakerliste!I$5:I$98)</f>
        <v>73</v>
      </c>
      <c r="G28" s="192">
        <f>_xlfn.XLOOKUP(E28,Deltakerliste!E$5:E$98,Deltakerliste!H$5:H$98)</f>
        <v>2</v>
      </c>
      <c r="H28" s="592">
        <f>VLOOKUP(F28,Deltakerliste!P$6:T$84,G28,FALSE)</f>
        <v>1.5329999999999999</v>
      </c>
      <c r="I28" s="134"/>
      <c r="J28" s="132">
        <v>2.8946759259259259E-2</v>
      </c>
      <c r="K28" s="134"/>
      <c r="L28" s="600">
        <f t="shared" si="1"/>
        <v>1.0721021947873799E-2</v>
      </c>
      <c r="M28" s="594">
        <f>IF(L28="Løype",Poengsammendrag!$F$2,IF(L28="Arr",Poengsammendrag!$F$3,IF(L28="Brutt",50,IF(L28="Disk",50,ROUND(MAXA(100*(MIN(L$10:L$87)/L28),50),0)))))</f>
        <v>67</v>
      </c>
      <c r="N28" s="724">
        <f t="shared" si="2"/>
        <v>6.9934911597350291E-3</v>
      </c>
      <c r="O28" s="596">
        <f>IF(N28="Løype",Poengsammendrag!$F$2,IF(N28="Arr",Poengsammendrag!$F$3,IF(N28="Brutt",50,IF(N28="Disk",50,ROUND(MAXA(100*(MIN(N$10:N$87)/N28),50),0)))))</f>
        <v>64</v>
      </c>
      <c r="Q28" s="672"/>
      <c r="R28" s="672"/>
      <c r="S28" s="803" t="s">
        <v>147</v>
      </c>
      <c r="T28" s="736">
        <v>1.1201131687242797E-2</v>
      </c>
      <c r="U28" s="752">
        <v>65</v>
      </c>
      <c r="V28" s="781"/>
      <c r="W28" s="776" t="s">
        <v>136</v>
      </c>
      <c r="X28" s="740">
        <v>64</v>
      </c>
      <c r="AB28" s="828">
        <f t="shared" si="5"/>
        <v>73</v>
      </c>
      <c r="AC28" s="829">
        <f t="shared" si="3"/>
        <v>2</v>
      </c>
    </row>
    <row r="29" spans="2:29" ht="21" thickBot="1" x14ac:dyDescent="0.3">
      <c r="B29" s="16">
        <f t="shared" si="4"/>
        <v>20</v>
      </c>
      <c r="C29" s="106" t="s">
        <v>64</v>
      </c>
      <c r="D29" s="107" t="s">
        <v>366</v>
      </c>
      <c r="E29" s="599" t="str">
        <f t="shared" si="0"/>
        <v>BjørnHafskjold</v>
      </c>
      <c r="F29" s="192">
        <f>YEAR(I$5)-_xlfn.XLOOKUP(E29,Deltakerliste!E$5:E$98,Deltakerliste!I$5:I$98)</f>
        <v>78</v>
      </c>
      <c r="G29" s="192">
        <f>_xlfn.XLOOKUP(E29,Deltakerliste!E$5:E$98,Deltakerliste!H$5:H$98)</f>
        <v>2</v>
      </c>
      <c r="H29" s="592">
        <f>VLOOKUP(F29,Deltakerliste!P$6:T$84,G29,FALSE)</f>
        <v>1.7550000000000001</v>
      </c>
      <c r="I29" s="14">
        <v>1.9780092592592592E-2</v>
      </c>
      <c r="J29" s="14"/>
      <c r="K29" s="18"/>
      <c r="L29" s="600">
        <f t="shared" si="1"/>
        <v>1.2362557870370369E-2</v>
      </c>
      <c r="M29" s="594">
        <f>IF(L29="Løype",Poengsammendrag!$F$2,IF(L29="Arr",Poengsammendrag!$F$3,IF(L29="Brutt",50,IF(L29="Disk",50,ROUND(MAXA(100*(MIN(L$10:L$87)/L29),50),0)))))</f>
        <v>59</v>
      </c>
      <c r="N29" s="724">
        <f t="shared" si="2"/>
        <v>7.0441925187295544E-3</v>
      </c>
      <c r="O29" s="596">
        <f>IF(N29="Løype",Poengsammendrag!$F$2,IF(N29="Arr",Poengsammendrag!$F$3,IF(N29="Brutt",50,IF(N29="Disk",50,ROUND(MAXA(100*(MIN(N$10:N$87)/N29),50),0)))))</f>
        <v>63</v>
      </c>
      <c r="Q29" s="672"/>
      <c r="R29" s="672"/>
      <c r="S29" s="803" t="s">
        <v>114</v>
      </c>
      <c r="T29" s="736">
        <v>1.1805555555555555E-2</v>
      </c>
      <c r="U29" s="752">
        <v>61</v>
      </c>
      <c r="V29" s="781"/>
      <c r="W29" s="776" t="s">
        <v>367</v>
      </c>
      <c r="X29" s="740">
        <v>63</v>
      </c>
      <c r="AB29" s="828">
        <f t="shared" si="5"/>
        <v>74</v>
      </c>
      <c r="AC29" s="829">
        <f t="shared" si="3"/>
        <v>6</v>
      </c>
    </row>
    <row r="30" spans="2:29" ht="21" thickBot="1" x14ac:dyDescent="0.3">
      <c r="B30" s="16">
        <f t="shared" si="4"/>
        <v>21</v>
      </c>
      <c r="C30" s="106" t="s">
        <v>101</v>
      </c>
      <c r="D30" s="107" t="s">
        <v>102</v>
      </c>
      <c r="E30" s="599" t="str">
        <f t="shared" si="0"/>
        <v>EvenHofstad</v>
      </c>
      <c r="F30" s="192">
        <f>YEAR(I$5)-_xlfn.XLOOKUP(E30,Deltakerliste!E$5:E$98,Deltakerliste!I$5:I$98)</f>
        <v>71</v>
      </c>
      <c r="G30" s="192">
        <f>_xlfn.XLOOKUP(E30,Deltakerliste!E$5:E$98,Deltakerliste!H$5:H$98)</f>
        <v>2</v>
      </c>
      <c r="H30" s="592">
        <f>VLOOKUP(F30,Deltakerliste!P$6:T$84,G30,FALSE)</f>
        <v>1.4609999999999999</v>
      </c>
      <c r="I30" s="86"/>
      <c r="J30" s="86">
        <v>2.7800925925925927E-2</v>
      </c>
      <c r="K30" s="13"/>
      <c r="L30" s="600">
        <f t="shared" si="1"/>
        <v>1.0296639231824417E-2</v>
      </c>
      <c r="M30" s="594">
        <f>IF(L30="Løype",Poengsammendrag!$F$2,IF(L30="Arr",Poengsammendrag!$F$3,IF(L30="Brutt",50,IF(L30="Disk",50,ROUND(MAXA(100*(MIN(L$10:L$87)/L30),50),0)))))</f>
        <v>70</v>
      </c>
      <c r="N30" s="724">
        <f t="shared" si="2"/>
        <v>7.0476654564164392E-3</v>
      </c>
      <c r="O30" s="596">
        <f>IF(N30="Løype",Poengsammendrag!$F$2,IF(N30="Arr",Poengsammendrag!$F$3,IF(N30="Brutt",50,IF(N30="Disk",50,ROUND(MAXA(100*(MIN(N$10:N$87)/N30),50),0)))))</f>
        <v>63</v>
      </c>
      <c r="Q30" s="672"/>
      <c r="R30" s="672"/>
      <c r="S30" s="803" t="s">
        <v>367</v>
      </c>
      <c r="T30" s="736">
        <v>1.2362557870370369E-2</v>
      </c>
      <c r="U30" s="752">
        <v>59</v>
      </c>
      <c r="V30" s="781"/>
      <c r="W30" s="776" t="s">
        <v>101</v>
      </c>
      <c r="X30" s="740">
        <v>63</v>
      </c>
      <c r="AB30" s="828">
        <f t="shared" si="5"/>
        <v>75</v>
      </c>
      <c r="AC30" s="829">
        <f t="shared" si="3"/>
        <v>2</v>
      </c>
    </row>
    <row r="31" spans="2:29" ht="21" customHeight="1" thickBot="1" x14ac:dyDescent="0.3">
      <c r="B31" s="16">
        <f t="shared" si="4"/>
        <v>22</v>
      </c>
      <c r="C31" s="106" t="s">
        <v>72</v>
      </c>
      <c r="D31" s="107" t="s">
        <v>73</v>
      </c>
      <c r="E31" s="599" t="str">
        <f t="shared" si="0"/>
        <v>KåreEggereide</v>
      </c>
      <c r="F31" s="192">
        <f>YEAR(I$5)-_xlfn.XLOOKUP(E31,Deltakerliste!E$5:E$98,Deltakerliste!I$5:I$98)</f>
        <v>74</v>
      </c>
      <c r="G31" s="192">
        <f>_xlfn.XLOOKUP(E31,Deltakerliste!E$5:E$98,Deltakerliste!H$5:H$98)</f>
        <v>2</v>
      </c>
      <c r="H31" s="592">
        <f>VLOOKUP(F31,Deltakerliste!P$6:T$84,G31,FALSE)</f>
        <v>1.569</v>
      </c>
      <c r="I31" s="593"/>
      <c r="J31" s="13">
        <v>2.9872685185185186E-2</v>
      </c>
      <c r="K31" s="13"/>
      <c r="L31" s="600">
        <f t="shared" si="1"/>
        <v>1.1063957475994512E-2</v>
      </c>
      <c r="M31" s="594">
        <f>IF(L31="Løype",Poengsammendrag!$F$2,IF(L31="Arr",Poengsammendrag!$F$3,IF(L31="Brutt",50,IF(L31="Disk",50,ROUND(MAXA(100*(MIN(L$10:L$87)/L31),50),0)))))</f>
        <v>65</v>
      </c>
      <c r="N31" s="724">
        <f t="shared" si="2"/>
        <v>7.0515981363891093E-3</v>
      </c>
      <c r="O31" s="596">
        <f>IF(N31="Løype",Poengsammendrag!$F$2,IF(N31="Arr",Poengsammendrag!$F$3,IF(N31="Brutt",50,IF(N31="Disk",50,ROUND(MAXA(100*(MIN(N$10:N$87)/N31),50),0)))))</f>
        <v>63</v>
      </c>
      <c r="Q31" s="672"/>
      <c r="R31" s="672"/>
      <c r="S31" s="803" t="s">
        <v>309</v>
      </c>
      <c r="T31" s="736">
        <v>1.2499999999999999E-2</v>
      </c>
      <c r="U31" s="752">
        <v>58</v>
      </c>
      <c r="V31" s="781"/>
      <c r="W31" s="776" t="s">
        <v>350</v>
      </c>
      <c r="X31" s="740">
        <v>63</v>
      </c>
      <c r="AB31" s="828">
        <f t="shared" si="5"/>
        <v>76</v>
      </c>
      <c r="AC31" s="829">
        <f t="shared" si="3"/>
        <v>2</v>
      </c>
    </row>
    <row r="32" spans="2:29" ht="21" customHeight="1" thickBot="1" x14ac:dyDescent="0.3">
      <c r="B32" s="16">
        <f t="shared" si="4"/>
        <v>23</v>
      </c>
      <c r="C32" s="106" t="s">
        <v>147</v>
      </c>
      <c r="D32" s="107" t="s">
        <v>148</v>
      </c>
      <c r="E32" s="599" t="str">
        <f t="shared" si="0"/>
        <v>ViggoSchei</v>
      </c>
      <c r="F32" s="192">
        <f>YEAR(I$5)-_xlfn.XLOOKUP(E32,Deltakerliste!E$5:E$98,Deltakerliste!I$5:I$98)</f>
        <v>74</v>
      </c>
      <c r="G32" s="192">
        <f>_xlfn.XLOOKUP(E32,Deltakerliste!E$5:E$98,Deltakerliste!H$5:H$98)</f>
        <v>2</v>
      </c>
      <c r="H32" s="592">
        <f>VLOOKUP(F32,Deltakerliste!P$6:T$84,G32,FALSE)</f>
        <v>1.569</v>
      </c>
      <c r="I32" s="18"/>
      <c r="J32" s="132">
        <v>3.0243055555555554E-2</v>
      </c>
      <c r="K32" s="18"/>
      <c r="L32" s="600">
        <f t="shared" si="1"/>
        <v>1.1201131687242797E-2</v>
      </c>
      <c r="M32" s="594">
        <f>IF(L32="Løype",Poengsammendrag!$F$2,IF(L32="Arr",Poengsammendrag!$F$3,IF(L32="Brutt",50,IF(L32="Disk",50,ROUND(MAXA(100*(MIN(L$10:L$87)/L32),50),0)))))</f>
        <v>65</v>
      </c>
      <c r="N32" s="724">
        <f t="shared" si="2"/>
        <v>7.1390259319584429E-3</v>
      </c>
      <c r="O32" s="596">
        <f>IF(N32="Løype",Poengsammendrag!$F$2,IF(N32="Arr",Poengsammendrag!$F$3,IF(N32="Brutt",50,IF(N32="Disk",50,ROUND(MAXA(100*(MIN(N$10:N$87)/N32),50),0)))))</f>
        <v>62</v>
      </c>
      <c r="S32" s="803" t="s">
        <v>80</v>
      </c>
      <c r="T32" s="736">
        <v>1.2521701388888888E-2</v>
      </c>
      <c r="U32" s="752">
        <v>58</v>
      </c>
      <c r="V32" s="781"/>
      <c r="W32" s="776" t="s">
        <v>147</v>
      </c>
      <c r="X32" s="740">
        <v>62</v>
      </c>
      <c r="AB32" s="828">
        <f t="shared" si="5"/>
        <v>77</v>
      </c>
      <c r="AC32" s="829">
        <f t="shared" si="3"/>
        <v>4</v>
      </c>
    </row>
    <row r="33" spans="2:29" ht="21" customHeight="1" thickBot="1" x14ac:dyDescent="0.3">
      <c r="B33" s="16">
        <f t="shared" si="4"/>
        <v>24</v>
      </c>
      <c r="C33" s="106" t="s">
        <v>265</v>
      </c>
      <c r="D33" s="107" t="s">
        <v>266</v>
      </c>
      <c r="E33" s="599" t="str">
        <f t="shared" si="0"/>
        <v>ØysteinWiggen</v>
      </c>
      <c r="F33" s="192">
        <f>YEAR(I$5)-_xlfn.XLOOKUP(E33,Deltakerliste!E$5:E$98,Deltakerliste!I$5:I$98)</f>
        <v>59</v>
      </c>
      <c r="G33" s="192">
        <f>_xlfn.XLOOKUP(E33,Deltakerliste!E$5:E$98,Deltakerliste!H$5:H$98)</f>
        <v>2</v>
      </c>
      <c r="H33" s="592">
        <f>VLOOKUP(F33,Deltakerliste!P$6:T$84,G33,FALSE)</f>
        <v>1.1860000000000002</v>
      </c>
      <c r="I33" s="18"/>
      <c r="J33" s="132">
        <v>2.298611111111111E-2</v>
      </c>
      <c r="K33" s="18"/>
      <c r="L33" s="600">
        <f t="shared" si="1"/>
        <v>8.5133744855967076E-3</v>
      </c>
      <c r="M33" s="594">
        <f>IF(L33="Løype",Poengsammendrag!$F$2,IF(L33="Arr",Poengsammendrag!$F$3,IF(L33="Brutt",50,IF(L33="Disk",50,ROUND(MAXA(100*(MIN(L$10:L$87)/L33),50),0)))))</f>
        <v>85</v>
      </c>
      <c r="N33" s="724">
        <f t="shared" si="2"/>
        <v>7.1782246927459582E-3</v>
      </c>
      <c r="O33" s="596">
        <f>IF(N33="Løype",Poengsammendrag!$F$2,IF(N33="Arr",Poengsammendrag!$F$3,IF(N33="Brutt",50,IF(N33="Disk",50,ROUND(MAXA(100*(MIN(N$10:N$87)/N33),50),0)))))</f>
        <v>62</v>
      </c>
      <c r="S33" s="803" t="s">
        <v>357</v>
      </c>
      <c r="T33" s="736">
        <v>1.2666377314814814E-2</v>
      </c>
      <c r="U33" s="752">
        <v>58</v>
      </c>
      <c r="V33" s="781"/>
      <c r="W33" s="776" t="s">
        <v>368</v>
      </c>
      <c r="X33" s="740">
        <v>62</v>
      </c>
      <c r="AB33" s="828">
        <f t="shared" si="5"/>
        <v>78</v>
      </c>
      <c r="AC33" s="829">
        <f t="shared" si="3"/>
        <v>3</v>
      </c>
    </row>
    <row r="34" spans="2:29" ht="21" customHeight="1" thickBot="1" x14ac:dyDescent="0.3">
      <c r="B34" s="16">
        <f t="shared" si="4"/>
        <v>25</v>
      </c>
      <c r="C34" s="106" t="s">
        <v>142</v>
      </c>
      <c r="D34" s="107" t="s">
        <v>143</v>
      </c>
      <c r="E34" s="599" t="str">
        <f t="shared" si="0"/>
        <v>EgilRepvik</v>
      </c>
      <c r="F34" s="192">
        <f>YEAR(I$5)-_xlfn.XLOOKUP(E34,Deltakerliste!E$5:E$98,Deltakerliste!I$5:I$98)</f>
        <v>79</v>
      </c>
      <c r="G34" s="192">
        <f>_xlfn.XLOOKUP(E34,Deltakerliste!E$5:E$98,Deltakerliste!H$5:H$98)</f>
        <v>2</v>
      </c>
      <c r="H34" s="592">
        <f>VLOOKUP(F34,Deltakerliste!P$6:T$84,G34,FALSE)</f>
        <v>1.8050000000000002</v>
      </c>
      <c r="I34" s="132">
        <v>2.0810185185185185E-2</v>
      </c>
      <c r="J34" s="18"/>
      <c r="K34" s="18"/>
      <c r="L34" s="600">
        <f t="shared" si="1"/>
        <v>1.300636574074074E-2</v>
      </c>
      <c r="M34" s="594">
        <f>IF(L34="Løype",Poengsammendrag!$F$2,IF(L34="Arr",Poengsammendrag!$F$3,IF(L34="Brutt",50,IF(L34="Disk",50,ROUND(MAXA(100*(MIN(L$10:L$87)/L34),50),0)))))</f>
        <v>56</v>
      </c>
      <c r="N34" s="724">
        <f t="shared" si="2"/>
        <v>7.2057427926541491E-3</v>
      </c>
      <c r="O34" s="596">
        <f>IF(N34="Løype",Poengsammendrag!$F$2,IF(N34="Arr",Poengsammendrag!$F$3,IF(N34="Brutt",50,IF(N34="Disk",50,ROUND(MAXA(100*(MIN(N$10:N$87)/N34),50),0)))))</f>
        <v>62</v>
      </c>
      <c r="S34" s="803" t="s">
        <v>124</v>
      </c>
      <c r="T34" s="736">
        <v>1.2847222222222222E-2</v>
      </c>
      <c r="U34" s="752">
        <v>57</v>
      </c>
      <c r="V34" s="781"/>
      <c r="W34" s="776" t="s">
        <v>356</v>
      </c>
      <c r="X34" s="740">
        <v>62</v>
      </c>
      <c r="AB34" s="828">
        <f t="shared" si="5"/>
        <v>79</v>
      </c>
      <c r="AC34" s="829">
        <f t="shared" si="3"/>
        <v>2</v>
      </c>
    </row>
    <row r="35" spans="2:29" ht="21" customHeight="1" thickBot="1" x14ac:dyDescent="0.3">
      <c r="B35" s="16">
        <f t="shared" ref="B35:B79" si="6">B34+1</f>
        <v>26</v>
      </c>
      <c r="C35" s="106" t="s">
        <v>163</v>
      </c>
      <c r="D35" s="107" t="s">
        <v>164</v>
      </c>
      <c r="E35" s="599" t="str">
        <f t="shared" si="0"/>
        <v>ArnulfVilmo</v>
      </c>
      <c r="F35" s="192">
        <f>YEAR(I$5)-_xlfn.XLOOKUP(E35,Deltakerliste!E$5:E$98,Deltakerliste!I$5:I$98)</f>
        <v>72</v>
      </c>
      <c r="G35" s="192">
        <f>_xlfn.XLOOKUP(E35,Deltakerliste!E$5:E$98,Deltakerliste!H$5:H$98)</f>
        <v>2</v>
      </c>
      <c r="H35" s="592">
        <f>VLOOKUP(F35,Deltakerliste!P$6:T$84,G35,FALSE)</f>
        <v>1.4969999999999999</v>
      </c>
      <c r="I35" s="18"/>
      <c r="J35" s="132">
        <v>2.9872685185185186E-2</v>
      </c>
      <c r="K35" s="18"/>
      <c r="L35" s="600">
        <f t="shared" si="1"/>
        <v>1.1063957475994512E-2</v>
      </c>
      <c r="M35" s="594">
        <f>IF(L35="Løype",Poengsammendrag!$F$2,IF(L35="Arr",Poengsammendrag!$F$3,IF(L35="Brutt",50,IF(L35="Disk",50,ROUND(MAXA(100*(MIN(L$10:L$87)/L35),50),0)))))</f>
        <v>65</v>
      </c>
      <c r="N35" s="724">
        <f t="shared" si="2"/>
        <v>7.3907531569769626E-3</v>
      </c>
      <c r="O35" s="596">
        <f>IF(N35="Løype",Poengsammendrag!$F$2,IF(N35="Arr",Poengsammendrag!$F$3,IF(N35="Brutt",50,IF(N35="Disk",50,ROUND(MAXA(100*(MIN(N$10:N$87)/N35),50),0)))))</f>
        <v>60</v>
      </c>
      <c r="S35" s="803" t="s">
        <v>161</v>
      </c>
      <c r="T35" s="736">
        <v>1.286892361111111E-2</v>
      </c>
      <c r="U35" s="752">
        <v>57</v>
      </c>
      <c r="V35" s="781"/>
      <c r="W35" s="776" t="s">
        <v>163</v>
      </c>
      <c r="X35" s="740">
        <v>60</v>
      </c>
      <c r="AB35" s="828">
        <f t="shared" si="5"/>
        <v>80</v>
      </c>
      <c r="AC35" s="829">
        <f t="shared" si="3"/>
        <v>1</v>
      </c>
    </row>
    <row r="36" spans="2:29" ht="21" thickBot="1" x14ac:dyDescent="0.3">
      <c r="B36" s="16">
        <f t="shared" si="6"/>
        <v>27</v>
      </c>
      <c r="C36" s="106" t="s">
        <v>161</v>
      </c>
      <c r="D36" s="107" t="s">
        <v>162</v>
      </c>
      <c r="E36" s="599" t="str">
        <f t="shared" si="0"/>
        <v>Nils OlavVennevik</v>
      </c>
      <c r="F36" s="192">
        <f>YEAR(I$5)-_xlfn.XLOOKUP(E36,Deltakerliste!E$5:E$98,Deltakerliste!I$5:I$98)</f>
        <v>77</v>
      </c>
      <c r="G36" s="192">
        <f>_xlfn.XLOOKUP(E36,Deltakerliste!E$5:E$98,Deltakerliste!H$5:H$98)</f>
        <v>2</v>
      </c>
      <c r="H36" s="592">
        <f>VLOOKUP(F36,Deltakerliste!P$6:T$84,G36,FALSE)</f>
        <v>1.7050000000000001</v>
      </c>
      <c r="I36" s="132">
        <v>2.0266203703703703E-2</v>
      </c>
      <c r="J36" s="18"/>
      <c r="K36" s="18"/>
      <c r="L36" s="600">
        <f t="shared" si="1"/>
        <v>1.2666377314814814E-2</v>
      </c>
      <c r="M36" s="594">
        <f>IF(L36="Løype",Poengsammendrag!$F$2,IF(L36="Arr",Poengsammendrag!$F$3,IF(L36="Brutt",50,IF(L36="Disk",50,ROUND(MAXA(100*(MIN(L$10:L$87)/L36),50),0)))))</f>
        <v>57</v>
      </c>
      <c r="N36" s="724">
        <f t="shared" si="2"/>
        <v>7.428960301944172E-3</v>
      </c>
      <c r="O36" s="596">
        <f>IF(N36="Løype",Poengsammendrag!$F$2,IF(N36="Arr",Poengsammendrag!$F$3,IF(N36="Brutt",50,IF(N36="Disk",50,ROUND(MAXA(100*(MIN(N$10:N$87)/N36),50),0)))))</f>
        <v>60</v>
      </c>
      <c r="S36" s="803" t="s">
        <v>94</v>
      </c>
      <c r="T36" s="736">
        <v>1.292679398148148E-2</v>
      </c>
      <c r="U36" s="752">
        <v>56</v>
      </c>
      <c r="V36" s="781"/>
      <c r="W36" s="776" t="s">
        <v>161</v>
      </c>
      <c r="X36" s="740">
        <v>60</v>
      </c>
      <c r="AB36" s="828">
        <f t="shared" si="5"/>
        <v>81</v>
      </c>
      <c r="AC36" s="829">
        <f t="shared" si="3"/>
        <v>1</v>
      </c>
    </row>
    <row r="37" spans="2:29" ht="21" customHeight="1" thickBot="1" x14ac:dyDescent="0.3">
      <c r="B37" s="16">
        <f t="shared" si="6"/>
        <v>28</v>
      </c>
      <c r="C37" s="106" t="s">
        <v>94</v>
      </c>
      <c r="D37" s="107" t="s">
        <v>95</v>
      </c>
      <c r="E37" s="599" t="str">
        <f t="shared" si="0"/>
        <v>TerjeHanssen</v>
      </c>
      <c r="F37" s="192">
        <f>YEAR(I$5)-_xlfn.XLOOKUP(E37,Deltakerliste!E$5:E$98,Deltakerliste!I$5:I$98)</f>
        <v>77</v>
      </c>
      <c r="G37" s="192">
        <f>_xlfn.XLOOKUP(E37,Deltakerliste!E$5:E$98,Deltakerliste!H$5:H$98)</f>
        <v>2</v>
      </c>
      <c r="H37" s="592">
        <f>VLOOKUP(F37,Deltakerliste!P$6:T$84,G37,FALSE)</f>
        <v>1.7050000000000001</v>
      </c>
      <c r="I37" s="86">
        <v>2.0555555555555556E-2</v>
      </c>
      <c r="J37" s="86"/>
      <c r="K37" s="17"/>
      <c r="L37" s="600">
        <f t="shared" si="1"/>
        <v>1.2847222222222222E-2</v>
      </c>
      <c r="M37" s="594">
        <f>IF(L37="Løype",Poengsammendrag!$F$2,IF(L37="Arr",Poengsammendrag!$F$3,IF(L37="Brutt",50,IF(L37="Disk",50,ROUND(MAXA(100*(MIN(L$10:L$87)/L37),50),0)))))</f>
        <v>56</v>
      </c>
      <c r="N37" s="724">
        <f t="shared" si="2"/>
        <v>7.5350276963180186E-3</v>
      </c>
      <c r="O37" s="596">
        <f>IF(N37="Løype",Poengsammendrag!$F$2,IF(N37="Arr",Poengsammendrag!$F$3,IF(N37="Brutt",50,IF(N37="Disk",50,ROUND(MAXA(100*(MIN(N$10:N$87)/N37),50),0)))))</f>
        <v>59</v>
      </c>
      <c r="S37" s="803" t="s">
        <v>90</v>
      </c>
      <c r="T37" s="736">
        <v>1.300636574074074E-2</v>
      </c>
      <c r="U37" s="752">
        <v>56</v>
      </c>
      <c r="V37" s="781"/>
      <c r="W37" s="776" t="s">
        <v>94</v>
      </c>
      <c r="X37" s="740">
        <v>59</v>
      </c>
      <c r="AB37" s="828">
        <f t="shared" si="5"/>
        <v>82</v>
      </c>
      <c r="AC37" s="829">
        <f t="shared" si="3"/>
        <v>2</v>
      </c>
    </row>
    <row r="38" spans="2:29" ht="21" customHeight="1" thickBot="1" x14ac:dyDescent="0.3">
      <c r="B38" s="16">
        <f t="shared" si="6"/>
        <v>29</v>
      </c>
      <c r="C38" s="106" t="s">
        <v>63</v>
      </c>
      <c r="D38" s="107" t="s">
        <v>336</v>
      </c>
      <c r="E38" s="599" t="str">
        <f t="shared" si="0"/>
        <v>ToreFornes</v>
      </c>
      <c r="F38" s="192">
        <f>YEAR(I$5)-_xlfn.XLOOKUP(E38,Deltakerliste!E$5:E$98,Deltakerliste!I$5:I$98)</f>
        <v>66</v>
      </c>
      <c r="G38" s="192">
        <f>_xlfn.XLOOKUP(E38,Deltakerliste!E$5:E$98,Deltakerliste!H$5:H$98)</f>
        <v>2</v>
      </c>
      <c r="H38" s="592">
        <f>VLOOKUP(F38,Deltakerliste!P$6:T$84,G38,FALSE)</f>
        <v>1.3209999999999997</v>
      </c>
      <c r="I38" s="86"/>
      <c r="J38" s="86">
        <v>2.7071759259259261E-2</v>
      </c>
      <c r="K38" s="13"/>
      <c r="L38" s="600">
        <f t="shared" si="1"/>
        <v>1.0026577503429356E-2</v>
      </c>
      <c r="M38" s="594">
        <f>IF(L38="Løype",Poengsammendrag!$F$2,IF(L38="Arr",Poengsammendrag!$F$3,IF(L38="Brutt",50,IF(L38="Disk",50,ROUND(MAXA(100*(MIN(L$10:L$87)/L38),50),0)))))</f>
        <v>72</v>
      </c>
      <c r="N38" s="724">
        <f t="shared" si="2"/>
        <v>7.5901419405218452E-3</v>
      </c>
      <c r="O38" s="596">
        <f>IF(N38="Løype",Poengsammendrag!$F$2,IF(N38="Arr",Poengsammendrag!$F$3,IF(N38="Brutt",50,IF(N38="Disk",50,ROUND(MAXA(100*(MIN(N$10:N$87)/N38),50),0)))))</f>
        <v>59</v>
      </c>
      <c r="S38" s="803" t="s">
        <v>76</v>
      </c>
      <c r="T38" s="736">
        <v>1.3070130315500684E-2</v>
      </c>
      <c r="U38" s="752">
        <v>56</v>
      </c>
      <c r="V38" s="781"/>
      <c r="W38" s="776" t="s">
        <v>346</v>
      </c>
      <c r="X38" s="740">
        <v>59</v>
      </c>
      <c r="AB38" s="828">
        <f t="shared" si="5"/>
        <v>83</v>
      </c>
      <c r="AC38" s="829">
        <f t="shared" si="3"/>
        <v>1</v>
      </c>
    </row>
    <row r="39" spans="2:29" ht="21" customHeight="1" thickBot="1" x14ac:dyDescent="0.3">
      <c r="B39" s="16">
        <f t="shared" si="6"/>
        <v>30</v>
      </c>
      <c r="C39" s="106" t="s">
        <v>254</v>
      </c>
      <c r="D39" s="107" t="s">
        <v>255</v>
      </c>
      <c r="E39" s="599" t="str">
        <f t="shared" si="0"/>
        <v>ArnfinnLangeland</v>
      </c>
      <c r="F39" s="192">
        <f>YEAR(I$5)-_xlfn.XLOOKUP(E39,Deltakerliste!E$5:E$98,Deltakerliste!I$5:I$98)</f>
        <v>89</v>
      </c>
      <c r="G39" s="192">
        <f>_xlfn.XLOOKUP(E39,Deltakerliste!E$5:E$98,Deltakerliste!H$5:H$98)</f>
        <v>2</v>
      </c>
      <c r="H39" s="592">
        <f>VLOOKUP(F39,Deltakerliste!P$6:T$84,G39,FALSE)</f>
        <v>2.5609999999999999</v>
      </c>
      <c r="I39" s="86">
        <v>3.15625E-2</v>
      </c>
      <c r="J39" s="86"/>
      <c r="K39" s="13"/>
      <c r="L39" s="600">
        <f t="shared" si="1"/>
        <v>1.9726562499999999E-2</v>
      </c>
      <c r="M39" s="594">
        <f>IF(L39="Løype",Poengsammendrag!$F$2,IF(L39="Arr",Poengsammendrag!$F$3,IF(L39="Brutt",50,IF(L39="Disk",50,ROUND(MAXA(100*(MIN(L$10:L$87)/L39),50),0)))))</f>
        <v>50</v>
      </c>
      <c r="N39" s="724">
        <f t="shared" si="2"/>
        <v>7.702679617336978E-3</v>
      </c>
      <c r="O39" s="596">
        <f>IF(N39="Løype",Poengsammendrag!$F$2,IF(N39="Arr",Poengsammendrag!$F$3,IF(N39="Brutt",50,IF(N39="Disk",50,ROUND(MAXA(100*(MIN(N$10:N$87)/N39),50),0)))))</f>
        <v>58</v>
      </c>
      <c r="S39" s="803" t="s">
        <v>356</v>
      </c>
      <c r="T39" s="736">
        <v>1.4518229166666665E-2</v>
      </c>
      <c r="U39" s="752">
        <v>56</v>
      </c>
      <c r="V39" s="781"/>
      <c r="W39" s="776" t="s">
        <v>254</v>
      </c>
      <c r="X39" s="740">
        <v>58</v>
      </c>
      <c r="AB39" s="828">
        <f t="shared" si="5"/>
        <v>84</v>
      </c>
      <c r="AC39" s="829">
        <f t="shared" si="3"/>
        <v>0</v>
      </c>
    </row>
    <row r="40" spans="2:29" ht="21" thickBot="1" x14ac:dyDescent="0.3">
      <c r="B40" s="16">
        <f t="shared" si="6"/>
        <v>31</v>
      </c>
      <c r="C40" s="106" t="s">
        <v>269</v>
      </c>
      <c r="D40" s="107" t="s">
        <v>270</v>
      </c>
      <c r="E40" s="599" t="str">
        <f t="shared" si="0"/>
        <v>Per OlavJohansen</v>
      </c>
      <c r="F40" s="192">
        <f>YEAR(I$5)-_xlfn.XLOOKUP(E40,Deltakerliste!E$5:E$98,Deltakerliste!I$5:I$98)</f>
        <v>67</v>
      </c>
      <c r="G40" s="192">
        <f>_xlfn.XLOOKUP(E40,Deltakerliste!E$5:E$98,Deltakerliste!H$5:H$98)</f>
        <v>2</v>
      </c>
      <c r="H40" s="592">
        <f>VLOOKUP(F40,Deltakerliste!P$6:T$84,G40,FALSE)</f>
        <v>1.3469999999999998</v>
      </c>
      <c r="I40" s="132"/>
      <c r="J40" s="132">
        <v>2.8530092592592593E-2</v>
      </c>
      <c r="K40" s="134"/>
      <c r="L40" s="600">
        <f t="shared" si="1"/>
        <v>1.0566700960219479E-2</v>
      </c>
      <c r="M40" s="594">
        <f>IF(L40="Løype",Poengsammendrag!$F$2,IF(L40="Arr",Poengsammendrag!$F$3,IF(L40="Brutt",50,IF(L40="Disk",50,ROUND(MAXA(100*(MIN(L$10:L$87)/L40),50),0)))))</f>
        <v>68</v>
      </c>
      <c r="N40" s="724">
        <f t="shared" si="2"/>
        <v>7.8446183817516557E-3</v>
      </c>
      <c r="O40" s="596">
        <f>IF(N40="Løype",Poengsammendrag!$F$2,IF(N40="Arr",Poengsammendrag!$F$3,IF(N40="Brutt",50,IF(N40="Disk",50,ROUND(MAXA(100*(MIN(N$10:N$87)/N40),50),0)))))</f>
        <v>57</v>
      </c>
      <c r="S40" s="803" t="s">
        <v>138</v>
      </c>
      <c r="T40" s="736">
        <v>1.4677372685185186E-2</v>
      </c>
      <c r="U40" s="752">
        <v>55</v>
      </c>
      <c r="V40" s="781"/>
      <c r="W40" s="776" t="s">
        <v>269</v>
      </c>
      <c r="X40" s="740">
        <v>57</v>
      </c>
      <c r="AB40" s="828">
        <f t="shared" si="5"/>
        <v>85</v>
      </c>
      <c r="AC40" s="829">
        <f t="shared" si="3"/>
        <v>1</v>
      </c>
    </row>
    <row r="41" spans="2:29" ht="21" thickBot="1" x14ac:dyDescent="0.3">
      <c r="B41" s="16">
        <f t="shared" si="6"/>
        <v>32</v>
      </c>
      <c r="C41" s="106" t="s">
        <v>90</v>
      </c>
      <c r="D41" s="107" t="s">
        <v>91</v>
      </c>
      <c r="E41" s="599" t="str">
        <f t="shared" si="0"/>
        <v>TorGjermstad</v>
      </c>
      <c r="F41" s="192">
        <f>YEAR(I$5)-_xlfn.XLOOKUP(E41,Deltakerliste!E$5:E$98,Deltakerliste!I$5:I$98)</f>
        <v>75</v>
      </c>
      <c r="G41" s="192">
        <f>_xlfn.XLOOKUP(E41,Deltakerliste!E$5:E$98,Deltakerliste!H$5:H$98)</f>
        <v>2</v>
      </c>
      <c r="H41" s="592">
        <f>VLOOKUP(F41,Deltakerliste!P$6:T$84,G41,FALSE)</f>
        <v>1.605</v>
      </c>
      <c r="I41" s="86">
        <v>2.0590277777777777E-2</v>
      </c>
      <c r="J41" s="86"/>
      <c r="K41" s="13"/>
      <c r="L41" s="600">
        <f t="shared" si="1"/>
        <v>1.286892361111111E-2</v>
      </c>
      <c r="M41" s="594">
        <f>IF(L41="Løype",Poengsammendrag!$F$2,IF(L41="Arr",Poengsammendrag!$F$3,IF(L41="Brutt",50,IF(L41="Disk",50,ROUND(MAXA(100*(MIN(L$10:L$87)/L41),50),0)))))</f>
        <v>56</v>
      </c>
      <c r="N41" s="724">
        <f t="shared" si="2"/>
        <v>8.0180209415022501E-3</v>
      </c>
      <c r="O41" s="596">
        <f>IF(N41="Løype",Poengsammendrag!$F$2,IF(N41="Arr",Poengsammendrag!$F$3,IF(N41="Brutt",50,IF(N41="Disk",50,ROUND(MAXA(100*(MIN(N$10:N$87)/N41),50),0)))))</f>
        <v>55</v>
      </c>
      <c r="S41" s="803" t="s">
        <v>96</v>
      </c>
      <c r="T41" s="736">
        <v>1.4879918981481482E-2</v>
      </c>
      <c r="U41" s="752">
        <v>50</v>
      </c>
      <c r="V41" s="781"/>
      <c r="W41" s="776" t="s">
        <v>90</v>
      </c>
      <c r="X41" s="740">
        <v>55</v>
      </c>
      <c r="AB41" s="828">
        <f t="shared" si="5"/>
        <v>86</v>
      </c>
      <c r="AC41" s="829">
        <f t="shared" si="3"/>
        <v>2</v>
      </c>
    </row>
    <row r="42" spans="2:29" ht="21" customHeight="1" thickBot="1" x14ac:dyDescent="0.3">
      <c r="B42" s="16">
        <f t="shared" si="6"/>
        <v>33</v>
      </c>
      <c r="C42" s="106" t="s">
        <v>108</v>
      </c>
      <c r="D42" s="107" t="s">
        <v>109</v>
      </c>
      <c r="E42" s="599" t="str">
        <f t="shared" ref="E42:E73" si="7">_xlfn.CONCAT(C42:D42)</f>
        <v>Finn FayeKnudsen</v>
      </c>
      <c r="F42" s="192">
        <f>YEAR(I$5)-_xlfn.XLOOKUP(E42,Deltakerliste!E$5:E$98,Deltakerliste!I$5:I$98)</f>
        <v>83</v>
      </c>
      <c r="G42" s="192">
        <f>_xlfn.XLOOKUP(E42,Deltakerliste!E$5:E$98,Deltakerliste!H$5:H$98)</f>
        <v>2</v>
      </c>
      <c r="H42" s="592">
        <f>VLOOKUP(F42,Deltakerliste!P$6:T$84,G42,FALSE)</f>
        <v>2.077</v>
      </c>
      <c r="I42" s="86">
        <v>2.7106481481481481E-2</v>
      </c>
      <c r="J42" s="86"/>
      <c r="K42" s="13"/>
      <c r="L42" s="600">
        <f t="shared" si="1"/>
        <v>1.6941550925925926E-2</v>
      </c>
      <c r="M42" s="594">
        <f>IF(L42="Løype",Poengsammendrag!$F$2,IF(L42="Arr",Poengsammendrag!$F$3,IF(L42="Brutt",50,IF(L42="Disk",50,ROUND(MAXA(100*(MIN(L$10:L$87)/L42),50),0)))))</f>
        <v>50</v>
      </c>
      <c r="N42" s="724">
        <f t="shared" si="2"/>
        <v>8.1567409368925974E-3</v>
      </c>
      <c r="O42" s="596">
        <f>IF(N42="Løype",Poengsammendrag!$F$2,IF(N42="Arr",Poengsammendrag!$F$3,IF(N42="Brutt",50,IF(N42="Disk",50,ROUND(MAXA(100*(MIN(N$10:N$87)/N42),50),0)))))</f>
        <v>55</v>
      </c>
      <c r="S42" s="803" t="s">
        <v>349</v>
      </c>
      <c r="T42" s="796">
        <v>1.509693287037037E-2</v>
      </c>
      <c r="U42" s="765">
        <v>50</v>
      </c>
      <c r="V42" s="782"/>
      <c r="W42" s="777" t="s">
        <v>108</v>
      </c>
      <c r="X42" s="762">
        <v>55</v>
      </c>
      <c r="AB42" s="828">
        <f t="shared" si="5"/>
        <v>87</v>
      </c>
      <c r="AC42" s="829">
        <f t="shared" si="3"/>
        <v>0</v>
      </c>
    </row>
    <row r="43" spans="2:29" ht="21" thickBot="1" x14ac:dyDescent="0.3">
      <c r="B43" s="16">
        <f t="shared" si="6"/>
        <v>34</v>
      </c>
      <c r="C43" s="106" t="s">
        <v>76</v>
      </c>
      <c r="D43" s="107" t="s">
        <v>77</v>
      </c>
      <c r="E43" s="599" t="str">
        <f t="shared" si="7"/>
        <v>ReinoldEllingsen</v>
      </c>
      <c r="F43" s="192">
        <f>YEAR(I$5)-_xlfn.XLOOKUP(E43,Deltakerliste!E$5:E$98,Deltakerliste!I$5:I$98)</f>
        <v>74</v>
      </c>
      <c r="G43" s="192">
        <f>_xlfn.XLOOKUP(E43,Deltakerliste!E$5:E$98,Deltakerliste!H$5:H$98)</f>
        <v>2</v>
      </c>
      <c r="H43" s="592">
        <f>VLOOKUP(F43,Deltakerliste!P$6:T$84,G43,FALSE)</f>
        <v>1.569</v>
      </c>
      <c r="I43" s="13">
        <v>2.0682870370370369E-2</v>
      </c>
      <c r="J43" s="13"/>
      <c r="K43" s="13"/>
      <c r="L43" s="600">
        <f t="shared" si="1"/>
        <v>1.292679398148148E-2</v>
      </c>
      <c r="M43" s="594">
        <f>IF(L43="Løype",Poengsammendrag!$F$2,IF(L43="Arr",Poengsammendrag!$F$3,IF(L43="Brutt",50,IF(L43="Disk",50,ROUND(MAXA(100*(MIN(L$10:L$87)/L43),50),0)))))</f>
        <v>56</v>
      </c>
      <c r="N43" s="724">
        <f t="shared" si="2"/>
        <v>8.2388744305171967E-3</v>
      </c>
      <c r="O43" s="596">
        <f>IF(N43="Løype",Poengsammendrag!$F$2,IF(N43="Arr",Poengsammendrag!$F$3,IF(N43="Brutt",50,IF(N43="Disk",50,ROUND(MAXA(100*(MIN(N$10:N$87)/N43),50),0)))))</f>
        <v>54</v>
      </c>
      <c r="S43" s="803" t="s">
        <v>248</v>
      </c>
      <c r="T43" s="797">
        <v>1.6941550925925926E-2</v>
      </c>
      <c r="U43" s="770">
        <v>50</v>
      </c>
      <c r="V43" s="778"/>
      <c r="W43" s="783" t="s">
        <v>76</v>
      </c>
      <c r="X43" s="740">
        <v>54</v>
      </c>
      <c r="AB43" s="828">
        <f t="shared" si="5"/>
        <v>88</v>
      </c>
      <c r="AC43" s="829">
        <f t="shared" si="3"/>
        <v>0</v>
      </c>
    </row>
    <row r="44" spans="2:29" ht="21" customHeight="1" thickBot="1" x14ac:dyDescent="0.3">
      <c r="B44" s="16">
        <f t="shared" si="6"/>
        <v>35</v>
      </c>
      <c r="C44" s="106" t="s">
        <v>248</v>
      </c>
      <c r="D44" s="107" t="s">
        <v>249</v>
      </c>
      <c r="E44" s="599" t="str">
        <f t="shared" si="7"/>
        <v>ErikLund</v>
      </c>
      <c r="F44" s="192">
        <f>YEAR(I$5)-_xlfn.XLOOKUP(E44,Deltakerliste!E$5:E$98,Deltakerliste!I$5:I$98)</f>
        <v>78</v>
      </c>
      <c r="G44" s="192">
        <f>_xlfn.XLOOKUP(E44,Deltakerliste!E$5:E$98,Deltakerliste!H$5:H$98)</f>
        <v>2</v>
      </c>
      <c r="H44" s="592">
        <f>VLOOKUP(F44,Deltakerliste!P$6:T$84,G44,FALSE)</f>
        <v>1.7550000000000001</v>
      </c>
      <c r="I44" s="13">
        <v>2.3807870370370372E-2</v>
      </c>
      <c r="J44" s="13"/>
      <c r="K44" s="17"/>
      <c r="L44" s="600">
        <f t="shared" si="1"/>
        <v>1.4879918981481482E-2</v>
      </c>
      <c r="M44" s="594">
        <f>IF(L44="Løype",Poengsammendrag!$F$2,IF(L44="Arr",Poengsammendrag!$F$3,IF(L44="Brutt",50,IF(L44="Disk",50,ROUND(MAXA(100*(MIN(L$10:L$87)/L44),50),0)))))</f>
        <v>50</v>
      </c>
      <c r="N44" s="724">
        <f t="shared" si="2"/>
        <v>8.4785863142344629E-3</v>
      </c>
      <c r="O44" s="596">
        <f>IF(N44="Løype",Poengsammendrag!$F$2,IF(N44="Arr",Poengsammendrag!$F$3,IF(N44="Brutt",50,IF(N44="Disk",50,ROUND(MAXA(100*(MIN(N$10:N$87)/N44),50),0)))))</f>
        <v>52</v>
      </c>
      <c r="S44" s="803" t="s">
        <v>168</v>
      </c>
      <c r="T44" s="797">
        <v>1.7585358796296295E-2</v>
      </c>
      <c r="U44" s="770">
        <v>50</v>
      </c>
      <c r="V44" s="772"/>
      <c r="W44" s="783" t="s">
        <v>248</v>
      </c>
      <c r="X44" s="740">
        <v>52</v>
      </c>
      <c r="AB44" s="828">
        <f t="shared" si="5"/>
        <v>89</v>
      </c>
      <c r="AC44" s="829">
        <f t="shared" si="3"/>
        <v>1</v>
      </c>
    </row>
    <row r="45" spans="2:29" ht="21" thickBot="1" x14ac:dyDescent="0.3">
      <c r="B45" s="16">
        <f t="shared" si="6"/>
        <v>36</v>
      </c>
      <c r="C45" s="106" t="s">
        <v>72</v>
      </c>
      <c r="D45" s="107" t="s">
        <v>139</v>
      </c>
      <c r="E45" s="599" t="str">
        <f t="shared" si="7"/>
        <v>KåreOnsøyen</v>
      </c>
      <c r="F45" s="192">
        <f>YEAR(I$5)-_xlfn.XLOOKUP(E45,Deltakerliste!E$5:E$98,Deltakerliste!I$5:I$98)</f>
        <v>77</v>
      </c>
      <c r="G45" s="192">
        <f>_xlfn.XLOOKUP(E45,Deltakerliste!E$5:E$98,Deltakerliste!H$5:H$98)</f>
        <v>2</v>
      </c>
      <c r="H45" s="592">
        <f>VLOOKUP(F45,Deltakerliste!P$6:T$84,G45,FALSE)</f>
        <v>1.7050000000000001</v>
      </c>
      <c r="I45" s="13">
        <v>2.3483796296296298E-2</v>
      </c>
      <c r="J45" s="13"/>
      <c r="K45" s="13"/>
      <c r="L45" s="600">
        <f t="shared" si="1"/>
        <v>1.4677372685185186E-2</v>
      </c>
      <c r="M45" s="594">
        <f>IF(L45="Løype",Poengsammendrag!$F$2,IF(L45="Arr",Poengsammendrag!$F$3,IF(L45="Brutt",50,IF(L45="Disk",50,ROUND(MAXA(100*(MIN(L$10:L$87)/L45),50),0)))))</f>
        <v>50</v>
      </c>
      <c r="N45" s="724">
        <f t="shared" si="2"/>
        <v>8.60842972738134E-3</v>
      </c>
      <c r="O45" s="596">
        <f>IF(N45="Løype",Poengsammendrag!$F$2,IF(N45="Arr",Poengsammendrag!$F$3,IF(N45="Brutt",50,IF(N45="Disk",50,ROUND(MAXA(100*(MIN(N$10:N$87)/N45),50),0)))))</f>
        <v>52</v>
      </c>
      <c r="S45" s="803" t="s">
        <v>108</v>
      </c>
      <c r="T45" s="797">
        <v>1.7758969907407406E-2</v>
      </c>
      <c r="U45" s="770">
        <v>50</v>
      </c>
      <c r="V45" s="772"/>
      <c r="W45" s="783" t="s">
        <v>349</v>
      </c>
      <c r="X45" s="740">
        <v>52</v>
      </c>
      <c r="AB45" s="828">
        <f t="shared" si="5"/>
        <v>90</v>
      </c>
      <c r="AC45" s="829">
        <f t="shared" si="3"/>
        <v>0</v>
      </c>
    </row>
    <row r="46" spans="2:29" ht="21" thickBot="1" x14ac:dyDescent="0.3">
      <c r="B46" s="16">
        <f t="shared" si="6"/>
        <v>37</v>
      </c>
      <c r="C46" s="106" t="s">
        <v>116</v>
      </c>
      <c r="D46" s="107" t="s">
        <v>117</v>
      </c>
      <c r="E46" s="599" t="str">
        <f t="shared" si="7"/>
        <v>AndersLauglo</v>
      </c>
      <c r="F46" s="192">
        <f>YEAR(I$5)-_xlfn.XLOOKUP(E46,Deltakerliste!E$5:E$98,Deltakerliste!I$5:I$98)</f>
        <v>86</v>
      </c>
      <c r="G46" s="192">
        <f>_xlfn.XLOOKUP(E46,Deltakerliste!E$5:E$98,Deltakerliste!H$5:H$98)</f>
        <v>2</v>
      </c>
      <c r="H46" s="592">
        <f>VLOOKUP(F46,Deltakerliste!P$6:T$84,G46,FALSE)</f>
        <v>2.3089999999999997</v>
      </c>
      <c r="I46" s="13">
        <v>3.2812500000000001E-2</v>
      </c>
      <c r="J46" s="13"/>
      <c r="K46" s="86"/>
      <c r="L46" s="600">
        <f t="shared" si="1"/>
        <v>2.05078125E-2</v>
      </c>
      <c r="M46" s="594">
        <f>IF(L46="Løype",Poengsammendrag!$F$2,IF(L46="Arr",Poengsammendrag!$F$3,IF(L46="Brutt",50,IF(L46="Disk",50,ROUND(MAXA(100*(MIN(L$10:L$87)/L46),50),0)))))</f>
        <v>50</v>
      </c>
      <c r="N46" s="724">
        <f t="shared" si="2"/>
        <v>8.8816857947163277E-3</v>
      </c>
      <c r="O46" s="596">
        <f>IF(N46="Løype",Poengsammendrag!$F$2,IF(N46="Arr",Poengsammendrag!$F$3,IF(N46="Brutt",50,IF(N46="Disk",50,ROUND(MAXA(100*(MIN(N$10:N$87)/N46),50),0)))))</f>
        <v>50</v>
      </c>
      <c r="S46" s="803" t="s">
        <v>130</v>
      </c>
      <c r="T46" s="797">
        <v>1.8721064814814815E-2</v>
      </c>
      <c r="U46" s="770">
        <v>50</v>
      </c>
      <c r="V46" s="772"/>
      <c r="W46" s="783" t="s">
        <v>315</v>
      </c>
      <c r="X46" s="740">
        <v>50</v>
      </c>
      <c r="AB46" s="828">
        <f t="shared" si="5"/>
        <v>91</v>
      </c>
      <c r="AC46" s="829">
        <f t="shared" si="3"/>
        <v>0</v>
      </c>
    </row>
    <row r="47" spans="2:29" ht="21" customHeight="1" thickBot="1" x14ac:dyDescent="0.3">
      <c r="B47" s="16">
        <f t="shared" si="6"/>
        <v>38</v>
      </c>
      <c r="C47" s="106" t="s">
        <v>122</v>
      </c>
      <c r="D47" s="107" t="s">
        <v>123</v>
      </c>
      <c r="E47" s="599" t="str">
        <f t="shared" si="7"/>
        <v>MartinMelhuus</v>
      </c>
      <c r="F47" s="192">
        <f>YEAR(I$5)-_xlfn.XLOOKUP(E47,Deltakerliste!E$5:E$98,Deltakerliste!I$5:I$98)</f>
        <v>81</v>
      </c>
      <c r="G47" s="192">
        <f>_xlfn.XLOOKUP(E47,Deltakerliste!E$5:E$98,Deltakerliste!H$5:H$98)</f>
        <v>2</v>
      </c>
      <c r="H47" s="592">
        <f>VLOOKUP(F47,Deltakerliste!P$6:T$84,G47,FALSE)</f>
        <v>1.9290000000000003</v>
      </c>
      <c r="I47" s="13">
        <v>2.841435185185185E-2</v>
      </c>
      <c r="J47" s="13"/>
      <c r="K47" s="13"/>
      <c r="L47" s="600">
        <f t="shared" si="1"/>
        <v>1.7758969907407406E-2</v>
      </c>
      <c r="M47" s="594">
        <f>IF(L47="Løype",Poengsammendrag!$F$2,IF(L47="Arr",Poengsammendrag!$F$3,IF(L47="Brutt",50,IF(L47="Disk",50,ROUND(MAXA(100*(MIN(L$10:L$87)/L47),50),0)))))</f>
        <v>50</v>
      </c>
      <c r="N47" s="724">
        <f t="shared" si="2"/>
        <v>9.2063089203770886E-3</v>
      </c>
      <c r="O47" s="596">
        <f>IF(N47="Løype",Poengsammendrag!$F$2,IF(N47="Arr",Poengsammendrag!$F$3,IF(N47="Brutt",50,IF(N47="Disk",50,ROUND(MAXA(100*(MIN(N$10:N$87)/N47),50),0)))))</f>
        <v>50</v>
      </c>
      <c r="S47" s="803" t="s">
        <v>122</v>
      </c>
      <c r="T47" s="797">
        <v>1.9726562499999999E-2</v>
      </c>
      <c r="U47" s="770">
        <v>50</v>
      </c>
      <c r="V47" s="772"/>
      <c r="W47" s="783" t="s">
        <v>122</v>
      </c>
      <c r="X47" s="740">
        <v>50</v>
      </c>
      <c r="AB47" s="828">
        <f t="shared" si="5"/>
        <v>92</v>
      </c>
      <c r="AC47" s="829">
        <f t="shared" si="3"/>
        <v>0</v>
      </c>
    </row>
    <row r="48" spans="2:29" ht="21" customHeight="1" thickBot="1" x14ac:dyDescent="0.3">
      <c r="B48" s="16">
        <f t="shared" si="6"/>
        <v>39</v>
      </c>
      <c r="C48" s="106" t="s">
        <v>82</v>
      </c>
      <c r="D48" s="107" t="s">
        <v>83</v>
      </c>
      <c r="E48" s="599" t="str">
        <f t="shared" si="7"/>
        <v>RoarForbord</v>
      </c>
      <c r="F48" s="192">
        <f>YEAR(I$5)-_xlfn.XLOOKUP(E48,Deltakerliste!E$5:E$98,Deltakerliste!I$5:I$98)</f>
        <v>82</v>
      </c>
      <c r="G48" s="192">
        <f>_xlfn.XLOOKUP(E48,Deltakerliste!E$5:E$98,Deltakerliste!H$5:H$98)</f>
        <v>2</v>
      </c>
      <c r="H48" s="592">
        <f>VLOOKUP(F48,Deltakerliste!P$6:T$84,G48,FALSE)</f>
        <v>2.0030000000000001</v>
      </c>
      <c r="I48" s="86">
        <v>2.9953703703703705E-2</v>
      </c>
      <c r="J48" s="86"/>
      <c r="K48" s="13"/>
      <c r="L48" s="600">
        <f t="shared" si="1"/>
        <v>1.8721064814814815E-2</v>
      </c>
      <c r="M48" s="594">
        <f>IF(L48="Løype",Poengsammendrag!$F$2,IF(L48="Arr",Poengsammendrag!$F$3,IF(L48="Brutt",50,IF(L48="Disk",50,ROUND(MAXA(100*(MIN(L$10:L$87)/L48),50),0)))))</f>
        <v>50</v>
      </c>
      <c r="N48" s="724">
        <f t="shared" si="2"/>
        <v>9.3465126384497318E-3</v>
      </c>
      <c r="O48" s="596">
        <f>IF(N48="Løype",Poengsammendrag!$F$2,IF(N48="Arr",Poengsammendrag!$F$3,IF(N48="Brutt",50,IF(N48="Disk",50,ROUND(MAXA(100*(MIN(N$10:N$87)/N48),50),0)))))</f>
        <v>50</v>
      </c>
      <c r="S48" s="803" t="s">
        <v>82</v>
      </c>
      <c r="T48" s="797">
        <v>2.05078125E-2</v>
      </c>
      <c r="U48" s="770">
        <v>50</v>
      </c>
      <c r="V48" s="772"/>
      <c r="W48" s="783" t="s">
        <v>82</v>
      </c>
      <c r="X48" s="740">
        <v>50</v>
      </c>
      <c r="AB48" s="828">
        <f t="shared" si="5"/>
        <v>93</v>
      </c>
      <c r="AC48" s="829">
        <f t="shared" si="3"/>
        <v>0</v>
      </c>
    </row>
    <row r="49" spans="2:29" ht="21" customHeight="1" thickBot="1" x14ac:dyDescent="0.3">
      <c r="B49" s="16">
        <f t="shared" si="6"/>
        <v>40</v>
      </c>
      <c r="C49" s="106" t="s">
        <v>168</v>
      </c>
      <c r="D49" s="107" t="s">
        <v>169</v>
      </c>
      <c r="E49" s="599" t="str">
        <f t="shared" si="7"/>
        <v>SteinØvstedal</v>
      </c>
      <c r="F49" s="192">
        <f>YEAR(I$5)-_xlfn.XLOOKUP(E49,Deltakerliste!E$5:E$98,Deltakerliste!I$5:I$98)</f>
        <v>74</v>
      </c>
      <c r="G49" s="192">
        <f>_xlfn.XLOOKUP(E49,Deltakerliste!E$5:E$98,Deltakerliste!H$5:H$98)</f>
        <v>2</v>
      </c>
      <c r="H49" s="592">
        <f>VLOOKUP(F49,Deltakerliste!P$6:T$84,G49,FALSE)</f>
        <v>1.569</v>
      </c>
      <c r="I49" s="132">
        <v>2.4155092592592593E-2</v>
      </c>
      <c r="J49" s="132"/>
      <c r="K49" s="18"/>
      <c r="L49" s="600">
        <f t="shared" si="1"/>
        <v>1.509693287037037E-2</v>
      </c>
      <c r="M49" s="594">
        <f>IF(L49="Løype",Poengsammendrag!$F$2,IF(L49="Arr",Poengsammendrag!$F$3,IF(L49="Brutt",50,IF(L49="Disk",50,ROUND(MAXA(100*(MIN(L$10:L$87)/L49),50),0)))))</f>
        <v>50</v>
      </c>
      <c r="N49" s="724">
        <f t="shared" si="2"/>
        <v>9.6220094776101779E-3</v>
      </c>
      <c r="O49" s="596">
        <f>IF(N49="Løype",Poengsammendrag!$F$2,IF(N49="Arr",Poengsammendrag!$F$3,IF(N49="Brutt",50,IF(N49="Disk",50,ROUND(MAXA(100*(MIN(N$10:N$87)/N49),50),0)))))</f>
        <v>50</v>
      </c>
      <c r="S49" s="803" t="s">
        <v>254</v>
      </c>
      <c r="T49" s="796">
        <v>2.1014178240740741E-2</v>
      </c>
      <c r="U49" s="793">
        <v>50</v>
      </c>
      <c r="V49" s="794"/>
      <c r="W49" s="795" t="s">
        <v>168</v>
      </c>
      <c r="X49" s="762">
        <v>50</v>
      </c>
      <c r="AB49" s="828">
        <f t="shared" si="5"/>
        <v>94</v>
      </c>
      <c r="AC49" s="829">
        <f t="shared" si="3"/>
        <v>0</v>
      </c>
    </row>
    <row r="50" spans="2:29" ht="21" thickBot="1" x14ac:dyDescent="0.3">
      <c r="B50" s="16">
        <f t="shared" si="6"/>
        <v>41</v>
      </c>
      <c r="C50" s="106" t="s">
        <v>130</v>
      </c>
      <c r="D50" s="107" t="s">
        <v>131</v>
      </c>
      <c r="E50" s="599" t="str">
        <f t="shared" si="7"/>
        <v>AtleMørk</v>
      </c>
      <c r="F50" s="192">
        <f>YEAR(I$5)-_xlfn.XLOOKUP(E50,Deltakerliste!E$5:E$98,Deltakerliste!I$5:I$98)</f>
        <v>76</v>
      </c>
      <c r="G50" s="192">
        <f>_xlfn.XLOOKUP(E50,Deltakerliste!E$5:E$98,Deltakerliste!H$5:H$98)</f>
        <v>2</v>
      </c>
      <c r="H50" s="592">
        <f>VLOOKUP(F50,Deltakerliste!P$6:T$84,G50,FALSE)</f>
        <v>1.655</v>
      </c>
      <c r="I50" s="132">
        <v>2.8136574074074074E-2</v>
      </c>
      <c r="J50" s="132"/>
      <c r="K50" s="132"/>
      <c r="L50" s="600">
        <f t="shared" si="1"/>
        <v>1.7585358796296295E-2</v>
      </c>
      <c r="M50" s="594">
        <f>IF(L50="Løype",Poengsammendrag!$F$2,IF(L50="Arr",Poengsammendrag!$F$3,IF(L50="Brutt",50,IF(L50="Disk",50,ROUND(MAXA(100*(MIN(L$10:L$87)/L50),50),0)))))</f>
        <v>50</v>
      </c>
      <c r="N50" s="724">
        <f t="shared" si="2"/>
        <v>1.0625594438849724E-2</v>
      </c>
      <c r="O50" s="596">
        <f>IF(N50="Løype",Poengsammendrag!$F$2,IF(N50="Arr",Poengsammendrag!$F$3,IF(N50="Brutt",50,IF(N50="Disk",50,ROUND(MAXA(100*(MIN(N$10:N$87)/N50),50),0)))))</f>
        <v>50</v>
      </c>
      <c r="S50" s="803" t="s">
        <v>315</v>
      </c>
      <c r="T50" s="851">
        <v>2.1339699074074073E-2</v>
      </c>
      <c r="U50" s="770">
        <v>50</v>
      </c>
      <c r="V50" s="772"/>
      <c r="W50" s="783" t="s">
        <v>130</v>
      </c>
      <c r="X50" s="740">
        <v>50</v>
      </c>
      <c r="AB50" s="830">
        <f t="shared" si="5"/>
        <v>95</v>
      </c>
      <c r="AC50" s="831">
        <f t="shared" si="3"/>
        <v>0</v>
      </c>
    </row>
    <row r="51" spans="2:29" ht="21" customHeight="1" thickBot="1" x14ac:dyDescent="0.3">
      <c r="B51" s="16">
        <f t="shared" si="6"/>
        <v>42</v>
      </c>
      <c r="C51" s="106" t="s">
        <v>170</v>
      </c>
      <c r="D51" s="107" t="s">
        <v>171</v>
      </c>
      <c r="E51" s="599" t="str">
        <f t="shared" si="7"/>
        <v>ØisteinÅsmul</v>
      </c>
      <c r="F51" s="192">
        <f>YEAR(I$5)-_xlfn.XLOOKUP(E51,Deltakerliste!E$5:E$98,Deltakerliste!I$5:I$98)</f>
        <v>80</v>
      </c>
      <c r="G51" s="192">
        <f>_xlfn.XLOOKUP(E51,Deltakerliste!E$5:E$98,Deltakerliste!H$5:H$98)</f>
        <v>2</v>
      </c>
      <c r="H51" s="592">
        <f>VLOOKUP(F51,Deltakerliste!P$6:T$84,G51,FALSE)</f>
        <v>1.8550000000000002</v>
      </c>
      <c r="I51" s="132">
        <v>3.6516203703703703E-2</v>
      </c>
      <c r="J51" s="132"/>
      <c r="K51" s="18"/>
      <c r="L51" s="600">
        <f t="shared" si="1"/>
        <v>2.2822627314814815E-2</v>
      </c>
      <c r="M51" s="594">
        <f>IF(L51="Løype",Poengsammendrag!$F$2,IF(L51="Arr",Poengsammendrag!$F$3,IF(L51="Brutt",50,IF(L51="Disk",50,ROUND(MAXA(100*(MIN(L$10:L$87)/L51),50),0)))))</f>
        <v>50</v>
      </c>
      <c r="N51" s="724">
        <f t="shared" si="2"/>
        <v>1.2303303134671057E-2</v>
      </c>
      <c r="O51" s="596">
        <f>IF(N51="Løype",Poengsammendrag!$F$2,IF(N51="Arr",Poengsammendrag!$F$3,IF(N51="Brutt",50,IF(N51="Disk",50,ROUND(MAXA(100*(MIN(N$10:N$87)/N51),50),0)))))</f>
        <v>50</v>
      </c>
      <c r="S51" s="803" t="s">
        <v>347</v>
      </c>
      <c r="T51" s="797">
        <v>2.2822627314814815E-2</v>
      </c>
      <c r="U51" s="770">
        <v>50</v>
      </c>
      <c r="V51" s="772"/>
      <c r="W51" s="783" t="s">
        <v>347</v>
      </c>
      <c r="X51" s="740">
        <v>50</v>
      </c>
    </row>
    <row r="52" spans="2:29" ht="21" thickBot="1" x14ac:dyDescent="0.3">
      <c r="B52" s="16">
        <f t="shared" si="6"/>
        <v>43</v>
      </c>
      <c r="C52" s="106" t="s">
        <v>74</v>
      </c>
      <c r="D52" s="107" t="s">
        <v>75</v>
      </c>
      <c r="E52" s="599" t="str">
        <f t="shared" si="7"/>
        <v>StinaElfving</v>
      </c>
      <c r="F52" s="192">
        <f>YEAR(I$5)-_xlfn.XLOOKUP(E52,Deltakerliste!E$5:E$98,Deltakerliste!I$5:I$98)</f>
        <v>75</v>
      </c>
      <c r="G52" s="192">
        <f>_xlfn.XLOOKUP(E52,Deltakerliste!E$5:E$98,Deltakerliste!H$5:H$98)</f>
        <v>4</v>
      </c>
      <c r="H52" s="592">
        <f>VLOOKUP(F52,Deltakerliste!P$6:T$84,G52,FALSE)</f>
        <v>2.1670000000000016</v>
      </c>
      <c r="I52" s="13"/>
      <c r="J52" s="13" t="s">
        <v>7</v>
      </c>
      <c r="K52" s="17"/>
      <c r="L52" s="600" t="str">
        <f t="shared" si="1"/>
        <v>Arr</v>
      </c>
      <c r="M52" s="594">
        <f>IF(L52="Løype",Poengsammendrag!$F$2,IF(L52="Arr",Poengsammendrag!$F$3,IF(L52="Brutt",50,IF(L52="Disk",50,ROUND(MAXA(100*(MIN(L$10:L$87)/L52),50),0)))))</f>
        <v>94</v>
      </c>
      <c r="N52" s="724" t="str">
        <f t="shared" si="2"/>
        <v>Arr</v>
      </c>
      <c r="O52" s="596">
        <f>IF(N52="Løype",Poengsammendrag!$F$2,IF(N52="Arr",Poengsammendrag!$F$3,IF(N52="Brutt",50,IF(N52="Disk",50,ROUND(MAXA(100*(MIN(N$10:N$87)/N52),50),0)))))</f>
        <v>94</v>
      </c>
      <c r="S52" s="803" t="s">
        <v>74</v>
      </c>
      <c r="T52" s="798" t="s">
        <v>7</v>
      </c>
      <c r="U52" s="770">
        <v>94</v>
      </c>
      <c r="V52" s="772"/>
      <c r="W52" s="783" t="s">
        <v>74</v>
      </c>
      <c r="X52" s="740">
        <v>94</v>
      </c>
    </row>
    <row r="53" spans="2:29" ht="21" thickBot="1" x14ac:dyDescent="0.3">
      <c r="B53" s="16">
        <f t="shared" si="6"/>
        <v>44</v>
      </c>
      <c r="C53" s="106" t="s">
        <v>263</v>
      </c>
      <c r="D53" s="107" t="s">
        <v>264</v>
      </c>
      <c r="E53" s="599" t="str">
        <f t="shared" si="7"/>
        <v>RuneHolt</v>
      </c>
      <c r="F53" s="192">
        <f>YEAR(I$5)-_xlfn.XLOOKUP(E53,Deltakerliste!E$5:E$98,Deltakerliste!I$5:I$98)</f>
        <v>72</v>
      </c>
      <c r="G53" s="192">
        <f>_xlfn.XLOOKUP(E53,Deltakerliste!E$5:E$98,Deltakerliste!H$5:H$98)</f>
        <v>2</v>
      </c>
      <c r="H53" s="592">
        <f>VLOOKUP(F53,Deltakerliste!P$6:T$84,G53,FALSE)</f>
        <v>1.4969999999999999</v>
      </c>
      <c r="I53" s="86" t="s">
        <v>306</v>
      </c>
      <c r="J53" s="86"/>
      <c r="K53" s="17"/>
      <c r="L53" s="600" t="str">
        <f t="shared" si="1"/>
        <v>Brutt</v>
      </c>
      <c r="M53" s="594">
        <f>IF(L53="Løype",Poengsammendrag!$F$2,IF(L53="Arr",Poengsammendrag!$F$3,IF(L53="Brutt",50,IF(L53="Disk",50,ROUND(MAXA(100*(MIN(L$10:L$87)/L53),50),0)))))</f>
        <v>50</v>
      </c>
      <c r="N53" s="724" t="str">
        <f t="shared" si="2"/>
        <v>Brutt</v>
      </c>
      <c r="O53" s="596">
        <f>IF(N53="Løype",Poengsammendrag!$F$2,IF(N53="Arr",Poengsammendrag!$F$3,IF(N53="Brutt",50,IF(N53="Disk",50,ROUND(MAXA(100*(MIN(N$10:N$87)/N53),50),0)))))</f>
        <v>50</v>
      </c>
      <c r="S53" s="803" t="s">
        <v>263</v>
      </c>
      <c r="T53" s="798" t="s">
        <v>306</v>
      </c>
      <c r="U53" s="770">
        <v>50</v>
      </c>
      <c r="V53" s="772"/>
      <c r="W53" s="783" t="s">
        <v>263</v>
      </c>
      <c r="X53" s="740">
        <v>50</v>
      </c>
    </row>
    <row r="54" spans="2:29" ht="21" thickBot="1" x14ac:dyDescent="0.3">
      <c r="B54" s="16">
        <f t="shared" si="6"/>
        <v>45</v>
      </c>
      <c r="C54" s="106" t="s">
        <v>68</v>
      </c>
      <c r="D54" s="107" t="s">
        <v>69</v>
      </c>
      <c r="E54" s="599" t="str">
        <f t="shared" si="7"/>
        <v>JanBøhle</v>
      </c>
      <c r="F54" s="192">
        <f>YEAR(I$5)-_xlfn.XLOOKUP(E54,Deltakerliste!E$5:E$98,Deltakerliste!I$5:I$98)</f>
        <v>73</v>
      </c>
      <c r="G54" s="192">
        <f>_xlfn.XLOOKUP(E54,Deltakerliste!E$5:E$98,Deltakerliste!H$5:H$98)</f>
        <v>2</v>
      </c>
      <c r="H54" s="592">
        <f>VLOOKUP(F54,Deltakerliste!P$6:T$84,G54,FALSE)</f>
        <v>1.5329999999999999</v>
      </c>
      <c r="I54" s="86"/>
      <c r="J54" s="86" t="s">
        <v>306</v>
      </c>
      <c r="K54" s="13"/>
      <c r="L54" s="600" t="str">
        <f t="shared" si="1"/>
        <v>Brutt</v>
      </c>
      <c r="M54" s="594">
        <f>IF(L54="Løype",Poengsammendrag!$F$2,IF(L54="Arr",Poengsammendrag!$F$3,IF(L54="Brutt",50,IF(L54="Disk",50,ROUND(MAXA(100*(MIN(L$10:L$87)/L54),50),0)))))</f>
        <v>50</v>
      </c>
      <c r="N54" s="724" t="str">
        <f t="shared" si="2"/>
        <v>Brutt</v>
      </c>
      <c r="O54" s="596">
        <f>IF(N54="Løype",Poengsammendrag!$F$2,IF(N54="Arr",Poengsammendrag!$F$3,IF(N54="Brutt",50,IF(N54="Disk",50,ROUND(MAXA(100*(MIN(N$10:N$87)/N54),50),0)))))</f>
        <v>50</v>
      </c>
      <c r="S54" s="846" t="s">
        <v>68</v>
      </c>
      <c r="T54" s="847" t="s">
        <v>306</v>
      </c>
      <c r="U54" s="848">
        <v>50</v>
      </c>
      <c r="V54" s="778"/>
      <c r="W54" s="849" t="s">
        <v>68</v>
      </c>
      <c r="X54" s="850">
        <v>50</v>
      </c>
    </row>
    <row r="55" spans="2:29" ht="21" customHeight="1" thickBot="1" x14ac:dyDescent="0.3">
      <c r="B55" s="16">
        <f t="shared" si="6"/>
        <v>46</v>
      </c>
      <c r="C55" s="106" t="s">
        <v>120</v>
      </c>
      <c r="D55" s="107" t="s">
        <v>121</v>
      </c>
      <c r="E55" s="599" t="str">
        <f t="shared" si="7"/>
        <v>KlausLivik</v>
      </c>
      <c r="F55" s="192">
        <f>YEAR(I$5)-_xlfn.XLOOKUP(E55,Deltakerliste!E$5:E$98,Deltakerliste!I$5:I$98)</f>
        <v>71</v>
      </c>
      <c r="G55" s="192">
        <f>_xlfn.XLOOKUP(E55,Deltakerliste!E$5:E$98,Deltakerliste!H$5:H$98)</f>
        <v>2</v>
      </c>
      <c r="H55" s="592">
        <f>VLOOKUP(F55,Deltakerliste!P$6:T$84,G55,FALSE)</f>
        <v>1.4609999999999999</v>
      </c>
      <c r="I55" s="13"/>
      <c r="J55" s="13" t="s">
        <v>306</v>
      </c>
      <c r="K55" s="17"/>
      <c r="L55" s="600" t="str">
        <f t="shared" si="1"/>
        <v>Brutt</v>
      </c>
      <c r="M55" s="594">
        <f>IF(L55="Løype",Poengsammendrag!$F$2,IF(L55="Arr",Poengsammendrag!$F$3,IF(L55="Brutt",50,IF(L55="Disk",50,ROUND(MAXA(100*(MIN(L$10:L$87)/L55),50),0)))))</f>
        <v>50</v>
      </c>
      <c r="N55" s="724" t="str">
        <f t="shared" si="2"/>
        <v>Brutt</v>
      </c>
      <c r="O55" s="596">
        <f>IF(N55="Løype",Poengsammendrag!$F$2,IF(N55="Arr",Poengsammendrag!$F$3,IF(N55="Brutt",50,IF(N55="Disk",50,ROUND(MAXA(100*(MIN(N$10:N$87)/N55),50),0)))))</f>
        <v>50</v>
      </c>
      <c r="S55" s="803" t="s">
        <v>120</v>
      </c>
      <c r="T55" s="798" t="s">
        <v>306</v>
      </c>
      <c r="U55" s="770">
        <v>50</v>
      </c>
      <c r="V55" s="772"/>
      <c r="W55" s="783" t="s">
        <v>120</v>
      </c>
      <c r="X55" s="740">
        <v>50</v>
      </c>
    </row>
    <row r="56" spans="2:29" ht="21" thickBot="1" x14ac:dyDescent="0.3">
      <c r="B56" s="16">
        <f t="shared" si="6"/>
        <v>47</v>
      </c>
      <c r="C56" s="106" t="s">
        <v>64</v>
      </c>
      <c r="D56" s="107" t="s">
        <v>65</v>
      </c>
      <c r="E56" s="599" t="str">
        <f t="shared" si="7"/>
        <v>BjørnBerger</v>
      </c>
      <c r="F56" s="192">
        <f>YEAR(I$5)-_xlfn.XLOOKUP(E56,Deltakerliste!E$5:E$98,Deltakerliste!I$5:I$98)</f>
        <v>74</v>
      </c>
      <c r="G56" s="192">
        <f>_xlfn.XLOOKUP(E56,Deltakerliste!E$5:E$98,Deltakerliste!H$5:H$98)</f>
        <v>2</v>
      </c>
      <c r="H56" s="592">
        <f>VLOOKUP(F56,Deltakerliste!P$6:T$84,G56,FALSE)</f>
        <v>1.569</v>
      </c>
      <c r="I56" s="13"/>
      <c r="J56" s="13" t="s">
        <v>62</v>
      </c>
      <c r="K56" s="19"/>
      <c r="L56" s="600" t="str">
        <f t="shared" si="1"/>
        <v>Løype</v>
      </c>
      <c r="M56" s="594">
        <f>IF(L56="Løype",Poengsammendrag!$F$2,IF(L56="Arr",Poengsammendrag!$F$3,IF(L56="Brutt",50,IF(L56="Disk",50,ROUND(MAXA(100*(MIN(L$10:L$87)/L56),50),0)))))</f>
        <v>100</v>
      </c>
      <c r="N56" s="724" t="str">
        <f t="shared" si="2"/>
        <v>Løype</v>
      </c>
      <c r="O56" s="596">
        <f>IF(N56="Løype",Poengsammendrag!$F$2,IF(N56="Arr",Poengsammendrag!$F$3,IF(N56="Brutt",50,IF(N56="Disk",50,ROUND(MAXA(100*(MIN(N$10:N$87)/N56),50),0)))))</f>
        <v>100</v>
      </c>
      <c r="S56" s="803" t="s">
        <v>64</v>
      </c>
      <c r="T56" s="798" t="s">
        <v>62</v>
      </c>
      <c r="U56" s="770">
        <v>100</v>
      </c>
      <c r="V56" s="772"/>
      <c r="W56" s="783" t="s">
        <v>64</v>
      </c>
      <c r="X56" s="740">
        <v>100</v>
      </c>
    </row>
    <row r="57" spans="2:29" ht="21" thickBot="1" x14ac:dyDescent="0.3">
      <c r="B57" s="16">
        <f t="shared" si="6"/>
        <v>48</v>
      </c>
      <c r="C57" s="106" t="s">
        <v>99</v>
      </c>
      <c r="D57" s="107" t="s">
        <v>100</v>
      </c>
      <c r="E57" s="599" t="str">
        <f t="shared" si="7"/>
        <v>RobertHirsch</v>
      </c>
      <c r="F57" s="192">
        <f>YEAR(I$5)-_xlfn.XLOOKUP(E57,Deltakerliste!E$5:E$98,Deltakerliste!I$5:I$98)</f>
        <v>68</v>
      </c>
      <c r="G57" s="192">
        <f>_xlfn.XLOOKUP(E57,Deltakerliste!E$5:E$98,Deltakerliste!H$5:H$98)</f>
        <v>2</v>
      </c>
      <c r="H57" s="592">
        <f>VLOOKUP(F57,Deltakerliste!P$6:T$84,G57,FALSE)</f>
        <v>1.3729999999999998</v>
      </c>
      <c r="I57" s="86"/>
      <c r="J57" s="86" t="s">
        <v>62</v>
      </c>
      <c r="K57" s="13"/>
      <c r="L57" s="600" t="str">
        <f t="shared" si="1"/>
        <v>Løype</v>
      </c>
      <c r="M57" s="594">
        <f>IF(L57="Løype",Poengsammendrag!$F$2,IF(L57="Arr",Poengsammendrag!$F$3,IF(L57="Brutt",50,IF(L57="Disk",50,ROUND(MAXA(100*(MIN(L$10:L$87)/L57),50),0)))))</f>
        <v>100</v>
      </c>
      <c r="N57" s="724" t="str">
        <f t="shared" si="2"/>
        <v>Løype</v>
      </c>
      <c r="O57" s="596">
        <f>IF(N57="Løype",Poengsammendrag!$F$2,IF(N57="Arr",Poengsammendrag!$F$3,IF(N57="Brutt",50,IF(N57="Disk",50,ROUND(MAXA(100*(MIN(N$10:N$87)/N57),50),0)))))</f>
        <v>100</v>
      </c>
      <c r="S57" s="804" t="s">
        <v>99</v>
      </c>
      <c r="T57" s="801" t="s">
        <v>62</v>
      </c>
      <c r="U57" s="771">
        <v>100</v>
      </c>
      <c r="V57" s="773"/>
      <c r="W57" s="784" t="s">
        <v>99</v>
      </c>
      <c r="X57" s="741">
        <v>100</v>
      </c>
    </row>
    <row r="58" spans="2:29" ht="20" customHeight="1" thickBot="1" x14ac:dyDescent="0.3">
      <c r="B58" s="16">
        <f t="shared" si="6"/>
        <v>49</v>
      </c>
      <c r="C58" s="106" t="s">
        <v>60</v>
      </c>
      <c r="D58" s="107" t="s">
        <v>61</v>
      </c>
      <c r="E58" s="599" t="str">
        <f t="shared" si="7"/>
        <v>JosteinAlvestad</v>
      </c>
      <c r="F58" s="192">
        <f>YEAR(I$5)-_xlfn.XLOOKUP(E58,Deltakerliste!E$5:E$98,Deltakerliste!I$5:I$98)</f>
        <v>70</v>
      </c>
      <c r="G58" s="192">
        <f>_xlfn.XLOOKUP(E58,Deltakerliste!E$5:E$98,Deltakerliste!H$5:H$98)</f>
        <v>2</v>
      </c>
      <c r="H58" s="592">
        <f>VLOOKUP(F58,Deltakerliste!P$6:T$84,G58,FALSE)</f>
        <v>1.4249999999999998</v>
      </c>
      <c r="I58" s="13"/>
      <c r="J58" s="13"/>
      <c r="K58" s="17"/>
      <c r="L58" s="600"/>
      <c r="M58" s="594"/>
      <c r="N58" s="724"/>
      <c r="O58" s="596"/>
    </row>
    <row r="59" spans="2:29" ht="21" thickBot="1" x14ac:dyDescent="0.3">
      <c r="B59" s="16">
        <f t="shared" si="6"/>
        <v>50</v>
      </c>
      <c r="C59" s="106" t="s">
        <v>66</v>
      </c>
      <c r="D59" s="107" t="s">
        <v>67</v>
      </c>
      <c r="E59" s="599" t="str">
        <f t="shared" si="7"/>
        <v>FrankBjarkø</v>
      </c>
      <c r="F59" s="192">
        <f>YEAR(I$5)-_xlfn.XLOOKUP(E59,Deltakerliste!E$5:E$98,Deltakerliste!I$5:I$98)</f>
        <v>73</v>
      </c>
      <c r="G59" s="192">
        <f>_xlfn.XLOOKUP(E59,Deltakerliste!E$5:E$98,Deltakerliste!H$5:H$98)</f>
        <v>2</v>
      </c>
      <c r="H59" s="592">
        <f>VLOOKUP(F59,Deltakerliste!P$6:T$84,G59,FALSE)</f>
        <v>1.5329999999999999</v>
      </c>
      <c r="I59" s="13"/>
      <c r="J59" s="13"/>
      <c r="K59" s="13"/>
      <c r="L59" s="600"/>
      <c r="M59" s="594"/>
      <c r="N59" s="724"/>
      <c r="O59" s="596"/>
    </row>
    <row r="60" spans="2:29" ht="21" customHeight="1" thickBot="1" x14ac:dyDescent="0.3">
      <c r="B60" s="16">
        <f t="shared" si="6"/>
        <v>51</v>
      </c>
      <c r="C60" s="106" t="s">
        <v>64</v>
      </c>
      <c r="D60" s="107" t="s">
        <v>267</v>
      </c>
      <c r="E60" s="599" t="str">
        <f t="shared" si="7"/>
        <v>BjørnBrenne</v>
      </c>
      <c r="F60" s="192">
        <f>YEAR(I$5)-_xlfn.XLOOKUP(E60,Deltakerliste!E$5:E$98,Deltakerliste!I$5:I$98)</f>
        <v>80</v>
      </c>
      <c r="G60" s="192">
        <f>_xlfn.XLOOKUP(E60,Deltakerliste!E$5:E$98,Deltakerliste!H$5:H$98)</f>
        <v>2</v>
      </c>
      <c r="H60" s="592">
        <f>VLOOKUP(F60,Deltakerliste!P$6:T$84,G60,FALSE)</f>
        <v>1.8550000000000002</v>
      </c>
      <c r="I60" s="86"/>
      <c r="J60" s="86"/>
      <c r="K60" s="13"/>
      <c r="L60" s="600"/>
      <c r="M60" s="594"/>
      <c r="N60" s="724"/>
      <c r="O60" s="596"/>
    </row>
    <row r="61" spans="2:29" ht="21" customHeight="1" thickBot="1" x14ac:dyDescent="0.3">
      <c r="B61" s="16">
        <f t="shared" si="6"/>
        <v>52</v>
      </c>
      <c r="C61" s="106" t="s">
        <v>70</v>
      </c>
      <c r="D61" s="107" t="s">
        <v>71</v>
      </c>
      <c r="E61" s="599" t="str">
        <f t="shared" si="7"/>
        <v>TrondDamås</v>
      </c>
      <c r="F61" s="192">
        <f>YEAR(I$5)-_xlfn.XLOOKUP(E61,Deltakerliste!E$5:E$98,Deltakerliste!I$5:I$98)</f>
        <v>75</v>
      </c>
      <c r="G61" s="192">
        <f>_xlfn.XLOOKUP(E61,Deltakerliste!E$5:E$98,Deltakerliste!H$5:H$98)</f>
        <v>2</v>
      </c>
      <c r="H61" s="592">
        <f>VLOOKUP(F61,Deltakerliste!P$6:T$84,G61,FALSE)</f>
        <v>1.605</v>
      </c>
      <c r="I61" s="13"/>
      <c r="J61" s="13"/>
      <c r="K61" s="13"/>
      <c r="L61" s="600"/>
      <c r="M61" s="594"/>
      <c r="N61" s="724"/>
      <c r="O61" s="596"/>
    </row>
    <row r="62" spans="2:29" ht="21" customHeight="1" thickBot="1" x14ac:dyDescent="0.3">
      <c r="B62" s="16">
        <f t="shared" si="6"/>
        <v>53</v>
      </c>
      <c r="C62" s="106" t="s">
        <v>216</v>
      </c>
      <c r="D62" s="107" t="s">
        <v>77</v>
      </c>
      <c r="E62" s="599" t="str">
        <f t="shared" si="7"/>
        <v>Åse RitaEllingsen</v>
      </c>
      <c r="F62" s="192">
        <f>YEAR(I$5)-_xlfn.XLOOKUP(E62,Deltakerliste!E$5:E$98,Deltakerliste!I$5:I$98)</f>
        <v>61</v>
      </c>
      <c r="G62" s="192">
        <f>_xlfn.XLOOKUP(E62,Deltakerliste!E$5:E$98,Deltakerliste!H$5:H$98)</f>
        <v>4</v>
      </c>
      <c r="H62" s="592">
        <f>VLOOKUP(F62,Deltakerliste!P$6:T$84,G62,FALSE)</f>
        <v>1.6542000000000003</v>
      </c>
      <c r="I62" s="593"/>
      <c r="J62" s="14"/>
      <c r="K62" s="13"/>
      <c r="L62" s="600"/>
      <c r="M62" s="594"/>
      <c r="N62" s="724"/>
      <c r="O62" s="596"/>
    </row>
    <row r="63" spans="2:29" ht="21" thickBot="1" x14ac:dyDescent="0.3">
      <c r="B63" s="16">
        <f t="shared" si="6"/>
        <v>54</v>
      </c>
      <c r="C63" s="106" t="s">
        <v>78</v>
      </c>
      <c r="D63" s="107" t="s">
        <v>79</v>
      </c>
      <c r="E63" s="599" t="str">
        <f t="shared" si="7"/>
        <v>LeifEngen</v>
      </c>
      <c r="F63" s="192">
        <f>YEAR(I$5)-_xlfn.XLOOKUP(E63,Deltakerliste!E$5:E$98,Deltakerliste!I$5:I$98)</f>
        <v>84</v>
      </c>
      <c r="G63" s="192">
        <f>_xlfn.XLOOKUP(E63,Deltakerliste!E$5:E$98,Deltakerliste!H$5:H$98)</f>
        <v>2</v>
      </c>
      <c r="H63" s="592">
        <f>VLOOKUP(F63,Deltakerliste!P$6:T$84,G63,FALSE)</f>
        <v>2.1509999999999998</v>
      </c>
      <c r="I63" s="86"/>
      <c r="J63" s="86"/>
      <c r="K63" s="13"/>
      <c r="L63" s="600"/>
      <c r="M63" s="594"/>
      <c r="N63" s="724"/>
      <c r="O63" s="596"/>
    </row>
    <row r="64" spans="2:29" ht="21" thickBot="1" x14ac:dyDescent="0.3">
      <c r="B64" s="16">
        <f t="shared" si="6"/>
        <v>55</v>
      </c>
      <c r="C64" s="106" t="s">
        <v>271</v>
      </c>
      <c r="D64" s="107" t="s">
        <v>272</v>
      </c>
      <c r="E64" s="599" t="str">
        <f t="shared" si="7"/>
        <v>Arne KjellFoldvik</v>
      </c>
      <c r="F64" s="192">
        <f>YEAR(I$5)-_xlfn.XLOOKUP(E64,Deltakerliste!E$5:E$98,Deltakerliste!I$5:I$98)</f>
        <v>91</v>
      </c>
      <c r="G64" s="192">
        <f>_xlfn.XLOOKUP(E64,Deltakerliste!E$5:E$98,Deltakerliste!H$5:H$98)</f>
        <v>2</v>
      </c>
      <c r="H64" s="592">
        <f>VLOOKUP(F64,Deltakerliste!P$6:T$84,G64,FALSE)</f>
        <v>2.7290000000000001</v>
      </c>
      <c r="I64" s="14"/>
      <c r="J64" s="14"/>
      <c r="K64" s="13"/>
      <c r="L64" s="600"/>
      <c r="M64" s="594"/>
      <c r="N64" s="724"/>
      <c r="O64" s="596"/>
    </row>
    <row r="65" spans="2:17" ht="21" thickBot="1" x14ac:dyDescent="0.3">
      <c r="B65" s="16">
        <f t="shared" si="6"/>
        <v>56</v>
      </c>
      <c r="C65" s="106" t="s">
        <v>84</v>
      </c>
      <c r="D65" s="107" t="s">
        <v>85</v>
      </c>
      <c r="E65" s="599" t="str">
        <f t="shared" si="7"/>
        <v>PaulForseth</v>
      </c>
      <c r="F65" s="192">
        <f>YEAR(I$5)-_xlfn.XLOOKUP(E65,Deltakerliste!E$5:E$98,Deltakerliste!I$5:I$98)</f>
        <v>93</v>
      </c>
      <c r="G65" s="192">
        <f>_xlfn.XLOOKUP(E65,Deltakerliste!E$5:E$98,Deltakerliste!H$5:H$98)</f>
        <v>2</v>
      </c>
      <c r="H65" s="592">
        <f>VLOOKUP(F65,Deltakerliste!P$6:T$84,G65,FALSE)</f>
        <v>2.8970000000000002</v>
      </c>
      <c r="I65" s="86"/>
      <c r="J65" s="86"/>
      <c r="K65" s="17"/>
      <c r="L65" s="600"/>
      <c r="M65" s="594"/>
      <c r="N65" s="724"/>
      <c r="O65" s="596"/>
    </row>
    <row r="66" spans="2:17" ht="21" thickBot="1" x14ac:dyDescent="0.3">
      <c r="B66" s="16">
        <f t="shared" si="6"/>
        <v>57</v>
      </c>
      <c r="C66" s="106" t="s">
        <v>86</v>
      </c>
      <c r="D66" s="107" t="s">
        <v>87</v>
      </c>
      <c r="E66" s="599" t="str">
        <f t="shared" si="7"/>
        <v>KristianFougner</v>
      </c>
      <c r="F66" s="192">
        <f>YEAR(I$5)-_xlfn.XLOOKUP(E66,Deltakerliste!E$5:E$98,Deltakerliste!I$5:I$98)</f>
        <v>75</v>
      </c>
      <c r="G66" s="192">
        <f>_xlfn.XLOOKUP(E66,Deltakerliste!E$5:E$98,Deltakerliste!H$5:H$98)</f>
        <v>2</v>
      </c>
      <c r="H66" s="592">
        <f>VLOOKUP(F66,Deltakerliste!P$6:T$84,G66,FALSE)</f>
        <v>1.605</v>
      </c>
      <c r="I66" s="86"/>
      <c r="J66" s="86"/>
      <c r="K66" s="13"/>
      <c r="L66" s="600"/>
      <c r="M66" s="594"/>
      <c r="N66" s="724"/>
      <c r="O66" s="596"/>
    </row>
    <row r="67" spans="2:17" ht="21" thickBot="1" x14ac:dyDescent="0.3">
      <c r="B67" s="16">
        <f t="shared" si="6"/>
        <v>58</v>
      </c>
      <c r="C67" s="106" t="s">
        <v>207</v>
      </c>
      <c r="D67" s="107" t="s">
        <v>89</v>
      </c>
      <c r="E67" s="599" t="str">
        <f t="shared" si="7"/>
        <v>AnneFuruholt</v>
      </c>
      <c r="F67" s="192">
        <f>YEAR(I$5)-_xlfn.XLOOKUP(E67,Deltakerliste!E$5:E$98,Deltakerliste!I$5:I$98)</f>
        <v>78</v>
      </c>
      <c r="G67" s="192">
        <f>_xlfn.XLOOKUP(E67,Deltakerliste!E$5:E$98,Deltakerliste!H$5:H$98)</f>
        <v>4</v>
      </c>
      <c r="H67" s="592">
        <f>VLOOKUP(F67,Deltakerliste!P$6:T$84,G67,FALSE)</f>
        <v>2.3398000000000012</v>
      </c>
      <c r="I67" s="13"/>
      <c r="J67" s="13"/>
      <c r="K67" s="13"/>
      <c r="L67" s="600"/>
      <c r="M67" s="594"/>
      <c r="N67" s="724"/>
      <c r="O67" s="596"/>
    </row>
    <row r="68" spans="2:17" ht="21" thickBot="1" x14ac:dyDescent="0.3">
      <c r="B68" s="16">
        <f t="shared" si="6"/>
        <v>59</v>
      </c>
      <c r="C68" s="106" t="s">
        <v>116</v>
      </c>
      <c r="D68" s="107" t="s">
        <v>353</v>
      </c>
      <c r="E68" s="599" t="str">
        <f t="shared" si="7"/>
        <v>AndersGjermo</v>
      </c>
      <c r="F68" s="192">
        <f>YEAR(I$5)-_xlfn.XLOOKUP(E68,Deltakerliste!E$5:E$98,Deltakerliste!I$5:I$98)</f>
        <v>67</v>
      </c>
      <c r="G68" s="192">
        <f>_xlfn.XLOOKUP(E68,Deltakerliste!E$5:E$98,Deltakerliste!H$5:H$98)</f>
        <v>2</v>
      </c>
      <c r="H68" s="592">
        <f>VLOOKUP(F68,Deltakerliste!P$6:T$84,G68,FALSE)</f>
        <v>1.3469999999999998</v>
      </c>
      <c r="I68" s="132"/>
      <c r="J68" s="132"/>
      <c r="K68" s="18"/>
      <c r="L68" s="600"/>
      <c r="M68" s="594"/>
      <c r="N68" s="724"/>
      <c r="O68" s="596"/>
    </row>
    <row r="69" spans="2:17" ht="21" thickBot="1" x14ac:dyDescent="0.3">
      <c r="B69" s="16">
        <f t="shared" si="6"/>
        <v>60</v>
      </c>
      <c r="C69" s="106" t="s">
        <v>92</v>
      </c>
      <c r="D69" s="107" t="s">
        <v>93</v>
      </c>
      <c r="E69" s="599" t="str">
        <f t="shared" si="7"/>
        <v>Jens ØysteinGjersvold</v>
      </c>
      <c r="F69" s="192">
        <f>YEAR(I$5)-_xlfn.XLOOKUP(E69,Deltakerliste!E$5:E$98,Deltakerliste!I$5:I$98)</f>
        <v>73</v>
      </c>
      <c r="G69" s="192">
        <f>_xlfn.XLOOKUP(E69,Deltakerliste!E$5:E$98,Deltakerliste!H$5:H$98)</f>
        <v>2</v>
      </c>
      <c r="H69" s="592">
        <f>VLOOKUP(F69,Deltakerliste!P$6:T$84,G69,FALSE)</f>
        <v>1.5329999999999999</v>
      </c>
      <c r="I69" s="14"/>
      <c r="J69" s="14"/>
      <c r="K69" s="18"/>
      <c r="L69" s="600"/>
      <c r="M69" s="594"/>
      <c r="N69" s="724"/>
      <c r="O69" s="596"/>
    </row>
    <row r="70" spans="2:17" ht="21" thickBot="1" x14ac:dyDescent="0.3">
      <c r="B70" s="16">
        <f t="shared" si="6"/>
        <v>61</v>
      </c>
      <c r="C70" s="106" t="s">
        <v>342</v>
      </c>
      <c r="D70" s="107" t="s">
        <v>343</v>
      </c>
      <c r="E70" s="599" t="str">
        <f t="shared" si="7"/>
        <v>ArildHeggeset</v>
      </c>
      <c r="F70" s="192">
        <f>YEAR(I$5)-_xlfn.XLOOKUP(E70,Deltakerliste!E$5:E$98,Deltakerliste!I$5:I$98)</f>
        <v>58</v>
      </c>
      <c r="G70" s="192">
        <f>_xlfn.XLOOKUP(E70,Deltakerliste!E$5:E$98,Deltakerliste!H$5:H$98)</f>
        <v>2</v>
      </c>
      <c r="H70" s="592">
        <f>VLOOKUP(F70,Deltakerliste!P$6:T$84,G70,FALSE)</f>
        <v>1.1720000000000002</v>
      </c>
      <c r="I70" s="86"/>
      <c r="J70" s="86"/>
      <c r="K70" s="13"/>
      <c r="L70" s="600"/>
      <c r="M70" s="594"/>
      <c r="N70" s="724"/>
      <c r="O70" s="596"/>
    </row>
    <row r="71" spans="2:17" ht="21" thickBot="1" x14ac:dyDescent="0.3">
      <c r="B71" s="16">
        <f t="shared" si="6"/>
        <v>62</v>
      </c>
      <c r="C71" s="106" t="s">
        <v>103</v>
      </c>
      <c r="D71" s="107" t="s">
        <v>104</v>
      </c>
      <c r="E71" s="599" t="str">
        <f t="shared" si="7"/>
        <v>SveinHove</v>
      </c>
      <c r="F71" s="192">
        <f>YEAR(I$5)-_xlfn.XLOOKUP(E71,Deltakerliste!E$5:E$98,Deltakerliste!I$5:I$98)</f>
        <v>78</v>
      </c>
      <c r="G71" s="192">
        <f>_xlfn.XLOOKUP(E71,Deltakerliste!E$5:E$98,Deltakerliste!H$5:H$98)</f>
        <v>2</v>
      </c>
      <c r="H71" s="592">
        <f>VLOOKUP(F71,Deltakerliste!P$6:T$84,G71,FALSE)</f>
        <v>1.7550000000000001</v>
      </c>
      <c r="I71" s="86"/>
      <c r="J71" s="86"/>
      <c r="K71" s="17"/>
      <c r="L71" s="600"/>
      <c r="M71" s="594"/>
      <c r="N71" s="724"/>
      <c r="O71" s="596"/>
    </row>
    <row r="72" spans="2:17" ht="21" thickBot="1" x14ac:dyDescent="0.3">
      <c r="B72" s="16">
        <f t="shared" si="6"/>
        <v>63</v>
      </c>
      <c r="C72" s="106" t="s">
        <v>63</v>
      </c>
      <c r="D72" s="107" t="s">
        <v>105</v>
      </c>
      <c r="E72" s="599" t="str">
        <f t="shared" si="7"/>
        <v>ToreKiste</v>
      </c>
      <c r="F72" s="192">
        <f>YEAR(I$5)-_xlfn.XLOOKUP(E72,Deltakerliste!E$5:E$98,Deltakerliste!I$5:I$98)</f>
        <v>80</v>
      </c>
      <c r="G72" s="192">
        <f>_xlfn.XLOOKUP(E72,Deltakerliste!E$5:E$98,Deltakerliste!H$5:H$98)</f>
        <v>2</v>
      </c>
      <c r="H72" s="592">
        <f>VLOOKUP(F72,Deltakerliste!P$6:T$84,G72,FALSE)</f>
        <v>1.8550000000000002</v>
      </c>
      <c r="I72" s="86"/>
      <c r="J72" s="86"/>
      <c r="K72" s="13"/>
      <c r="L72" s="600"/>
      <c r="M72" s="594"/>
      <c r="N72" s="724"/>
      <c r="O72" s="596"/>
    </row>
    <row r="73" spans="2:17" ht="21" thickBot="1" x14ac:dyDescent="0.3">
      <c r="B73" s="16">
        <f t="shared" si="6"/>
        <v>64</v>
      </c>
      <c r="C73" s="106" t="s">
        <v>110</v>
      </c>
      <c r="D73" s="107" t="s">
        <v>111</v>
      </c>
      <c r="E73" s="599" t="str">
        <f t="shared" si="7"/>
        <v>Jan ErikKofoed</v>
      </c>
      <c r="F73" s="192">
        <f>YEAR(I$5)-_xlfn.XLOOKUP(E73,Deltakerliste!E$5:E$98,Deltakerliste!I$5:I$98)</f>
        <v>71</v>
      </c>
      <c r="G73" s="192">
        <f>_xlfn.XLOOKUP(E73,Deltakerliste!E$5:E$98,Deltakerliste!H$5:H$98)</f>
        <v>2</v>
      </c>
      <c r="H73" s="592">
        <f>VLOOKUP(F73,Deltakerliste!P$6:T$84,G73,FALSE)</f>
        <v>1.4609999999999999</v>
      </c>
      <c r="I73" s="86"/>
      <c r="J73" s="86"/>
      <c r="K73" s="13"/>
      <c r="L73" s="600"/>
      <c r="M73" s="594"/>
      <c r="N73" s="724"/>
      <c r="O73" s="596"/>
    </row>
    <row r="74" spans="2:17" ht="21" thickBot="1" x14ac:dyDescent="0.3">
      <c r="B74" s="16">
        <f t="shared" si="6"/>
        <v>65</v>
      </c>
      <c r="C74" s="106" t="s">
        <v>251</v>
      </c>
      <c r="D74" s="107" t="s">
        <v>252</v>
      </c>
      <c r="E74" s="599" t="str">
        <f t="shared" ref="E74:E89" si="8">_xlfn.CONCAT(C74:D74)</f>
        <v>OttarKristiansen</v>
      </c>
      <c r="F74" s="192">
        <f>YEAR(I$5)-_xlfn.XLOOKUP(E74,Deltakerliste!E$5:E$98,Deltakerliste!I$5:I$98)</f>
        <v>76</v>
      </c>
      <c r="G74" s="192">
        <f>_xlfn.XLOOKUP(E74,Deltakerliste!E$5:E$98,Deltakerliste!H$5:H$98)</f>
        <v>2</v>
      </c>
      <c r="H74" s="592">
        <f>VLOOKUP(F74,Deltakerliste!P$6:T$84,G74,FALSE)</f>
        <v>1.655</v>
      </c>
      <c r="I74" s="86"/>
      <c r="J74" s="86"/>
      <c r="K74" s="17"/>
      <c r="L74" s="600"/>
      <c r="M74" s="594"/>
      <c r="N74" s="724"/>
      <c r="O74" s="596"/>
    </row>
    <row r="75" spans="2:17" ht="21" thickBot="1" x14ac:dyDescent="0.3">
      <c r="B75" s="16">
        <f t="shared" si="6"/>
        <v>66</v>
      </c>
      <c r="C75" s="106" t="s">
        <v>299</v>
      </c>
      <c r="D75" s="107" t="s">
        <v>300</v>
      </c>
      <c r="E75" s="599" t="str">
        <f t="shared" si="8"/>
        <v>OlavKvittem</v>
      </c>
      <c r="F75" s="192">
        <f>YEAR(I$5)-_xlfn.XLOOKUP(E75,Deltakerliste!E$5:E$98,Deltakerliste!I$5:I$98)</f>
        <v>70</v>
      </c>
      <c r="G75" s="192">
        <f>_xlfn.XLOOKUP(E75,Deltakerliste!E$5:E$98,Deltakerliste!H$5:H$98)</f>
        <v>2</v>
      </c>
      <c r="H75" s="592">
        <f>VLOOKUP(F75,Deltakerliste!P$6:T$84,G75,FALSE)</f>
        <v>1.4249999999999998</v>
      </c>
      <c r="I75" s="86"/>
      <c r="J75" s="86"/>
      <c r="K75" s="13"/>
      <c r="L75" s="600"/>
      <c r="M75" s="594"/>
      <c r="N75" s="724"/>
      <c r="O75" s="596"/>
      <c r="Q75" s="112"/>
    </row>
    <row r="76" spans="2:17" ht="21" thickBot="1" x14ac:dyDescent="0.3">
      <c r="B76" s="16">
        <f t="shared" si="6"/>
        <v>67</v>
      </c>
      <c r="C76" s="106" t="s">
        <v>112</v>
      </c>
      <c r="D76" s="107" t="s">
        <v>113</v>
      </c>
      <c r="E76" s="599" t="str">
        <f t="shared" si="8"/>
        <v>ToridKvaal</v>
      </c>
      <c r="F76" s="192">
        <f>YEAR(I$5)-_xlfn.XLOOKUP(E76,Deltakerliste!E$5:E$98,Deltakerliste!I$5:I$98)</f>
        <v>83</v>
      </c>
      <c r="G76" s="192">
        <f>_xlfn.XLOOKUP(E76,Deltakerliste!E$5:E$98,Deltakerliste!H$5:H$98)</f>
        <v>4</v>
      </c>
      <c r="H76" s="592">
        <f>VLOOKUP(F76,Deltakerliste!P$6:T$84,G76,FALSE)</f>
        <v>2.6998000000000006</v>
      </c>
      <c r="I76" s="86"/>
      <c r="J76" s="86"/>
      <c r="K76" s="13"/>
      <c r="L76" s="600"/>
      <c r="M76" s="594"/>
      <c r="N76" s="724"/>
      <c r="O76" s="596"/>
    </row>
    <row r="77" spans="2:17" ht="21" thickBot="1" x14ac:dyDescent="0.3">
      <c r="B77" s="16">
        <f t="shared" si="6"/>
        <v>68</v>
      </c>
      <c r="C77" s="106" t="s">
        <v>118</v>
      </c>
      <c r="D77" s="107" t="s">
        <v>119</v>
      </c>
      <c r="E77" s="599" t="str">
        <f t="shared" si="8"/>
        <v>KnutLillealtern</v>
      </c>
      <c r="F77" s="192">
        <f>YEAR(I$5)-_xlfn.XLOOKUP(E77,Deltakerliste!E$5:E$98,Deltakerliste!I$5:I$98)</f>
        <v>76</v>
      </c>
      <c r="G77" s="192">
        <f>_xlfn.XLOOKUP(E77,Deltakerliste!E$5:E$98,Deltakerliste!H$5:H$98)</f>
        <v>2</v>
      </c>
      <c r="H77" s="592">
        <f>VLOOKUP(F77,Deltakerliste!P$6:T$84,G77,FALSE)</f>
        <v>1.655</v>
      </c>
      <c r="I77" s="13"/>
      <c r="J77" s="13"/>
      <c r="K77" s="17"/>
      <c r="L77" s="600"/>
      <c r="M77" s="594"/>
      <c r="N77" s="724"/>
      <c r="O77" s="596"/>
    </row>
    <row r="78" spans="2:17" ht="21" thickBot="1" x14ac:dyDescent="0.3">
      <c r="B78" s="16">
        <f t="shared" si="6"/>
        <v>69</v>
      </c>
      <c r="C78" s="111" t="s">
        <v>128</v>
      </c>
      <c r="D78" s="193" t="s">
        <v>129</v>
      </c>
      <c r="E78" s="599" t="str">
        <f t="shared" si="8"/>
        <v>OddMusum</v>
      </c>
      <c r="F78" s="192">
        <f>YEAR(I$5)-_xlfn.XLOOKUP(E78,Deltakerliste!E$5:E$98,Deltakerliste!I$5:I$98)</f>
        <v>83</v>
      </c>
      <c r="G78" s="192">
        <f>_xlfn.XLOOKUP(E78,Deltakerliste!E$5:E$98,Deltakerliste!H$5:H$98)</f>
        <v>2</v>
      </c>
      <c r="H78" s="592">
        <f>VLOOKUP(F78,Deltakerliste!P$6:T$84,G78,FALSE)</f>
        <v>2.077</v>
      </c>
      <c r="I78" s="13"/>
      <c r="J78" s="13"/>
      <c r="K78" s="13"/>
      <c r="L78" s="600"/>
      <c r="M78" s="594"/>
      <c r="N78" s="724"/>
      <c r="O78" s="596"/>
    </row>
    <row r="79" spans="2:17" ht="21" thickBot="1" x14ac:dyDescent="0.3">
      <c r="B79" s="16">
        <f t="shared" si="6"/>
        <v>70</v>
      </c>
      <c r="C79" s="111" t="s">
        <v>132</v>
      </c>
      <c r="D79" s="193" t="s">
        <v>133</v>
      </c>
      <c r="E79" s="599" t="str">
        <f t="shared" si="8"/>
        <v>JarleNestvold</v>
      </c>
      <c r="F79" s="192">
        <f>YEAR(I$5)-_xlfn.XLOOKUP(E79,Deltakerliste!E$5:E$98,Deltakerliste!I$5:I$98)</f>
        <v>88</v>
      </c>
      <c r="G79" s="192">
        <f>_xlfn.XLOOKUP(E79,Deltakerliste!E$5:E$98,Deltakerliste!H$5:H$98)</f>
        <v>2</v>
      </c>
      <c r="H79" s="592">
        <f>VLOOKUP(F79,Deltakerliste!P$6:T$84,G79,FALSE)</f>
        <v>2.4769999999999999</v>
      </c>
      <c r="I79" s="132"/>
      <c r="J79" s="18"/>
      <c r="K79" s="18"/>
      <c r="L79" s="600"/>
      <c r="M79" s="594"/>
      <c r="N79" s="724"/>
      <c r="O79" s="596"/>
    </row>
    <row r="80" spans="2:17" ht="21" thickBot="1" x14ac:dyDescent="0.3">
      <c r="B80" s="16">
        <f t="shared" ref="B80:B89" si="9">B79+1</f>
        <v>71</v>
      </c>
      <c r="C80" s="111" t="s">
        <v>140</v>
      </c>
      <c r="D80" s="108" t="s">
        <v>141</v>
      </c>
      <c r="E80" s="599" t="str">
        <f t="shared" si="8"/>
        <v>Grete BergeOwren</v>
      </c>
      <c r="F80" s="192">
        <f>YEAR(I$5)-_xlfn.XLOOKUP(E80,Deltakerliste!E$5:E$98,Deltakerliste!I$5:I$98)</f>
        <v>67</v>
      </c>
      <c r="G80" s="192">
        <f>_xlfn.XLOOKUP(E80,Deltakerliste!E$5:E$98,Deltakerliste!H$5:H$98)</f>
        <v>4</v>
      </c>
      <c r="H80" s="592">
        <f>VLOOKUP(F80,Deltakerliste!P$6:T$84,G80,FALSE)</f>
        <v>1.8422000000000009</v>
      </c>
      <c r="I80" s="18"/>
      <c r="J80" s="18"/>
      <c r="K80" s="18"/>
      <c r="L80" s="600"/>
      <c r="M80" s="594"/>
      <c r="N80" s="724"/>
      <c r="O80" s="596"/>
    </row>
    <row r="81" spans="2:15" ht="21" thickBot="1" x14ac:dyDescent="0.3">
      <c r="B81" s="16">
        <f t="shared" si="9"/>
        <v>72</v>
      </c>
      <c r="C81" s="111" t="s">
        <v>144</v>
      </c>
      <c r="D81" s="193" t="s">
        <v>145</v>
      </c>
      <c r="E81" s="599" t="str">
        <f t="shared" si="8"/>
        <v>Bjørn Rindstad</v>
      </c>
      <c r="F81" s="192">
        <f>YEAR(I$5)-_xlfn.XLOOKUP(E81,Deltakerliste!E$5:E$98,Deltakerliste!I$5:I$98)</f>
        <v>74</v>
      </c>
      <c r="G81" s="192">
        <f>_xlfn.XLOOKUP(E81,Deltakerliste!E$5:E$98,Deltakerliste!H$5:H$98)</f>
        <v>2</v>
      </c>
      <c r="H81" s="592">
        <f>VLOOKUP(F81,Deltakerliste!P$6:T$84,G81,FALSE)</f>
        <v>1.569</v>
      </c>
      <c r="I81" s="18"/>
      <c r="J81" s="18"/>
      <c r="K81" s="18"/>
      <c r="L81" s="600"/>
      <c r="M81" s="594"/>
      <c r="N81" s="724"/>
      <c r="O81" s="596"/>
    </row>
    <row r="82" spans="2:15" ht="21" thickBot="1" x14ac:dyDescent="0.3">
      <c r="B82" s="16">
        <f t="shared" si="9"/>
        <v>73</v>
      </c>
      <c r="C82" s="111" t="s">
        <v>78</v>
      </c>
      <c r="D82" s="193" t="s">
        <v>146</v>
      </c>
      <c r="E82" s="599" t="str">
        <f t="shared" si="8"/>
        <v>LeifRøhjell</v>
      </c>
      <c r="F82" s="192">
        <f>YEAR(I$5)-_xlfn.XLOOKUP(E82,Deltakerliste!E$5:E$98,Deltakerliste!I$5:I$98)</f>
        <v>81</v>
      </c>
      <c r="G82" s="192">
        <f>_xlfn.XLOOKUP(E82,Deltakerliste!E$5:E$98,Deltakerliste!H$5:H$98)</f>
        <v>2</v>
      </c>
      <c r="H82" s="592">
        <f>VLOOKUP(F82,Deltakerliste!P$6:T$84,G82,FALSE)</f>
        <v>1.9290000000000003</v>
      </c>
      <c r="I82" s="132"/>
      <c r="J82" s="18"/>
      <c r="K82" s="18"/>
      <c r="L82" s="600"/>
      <c r="M82" s="594"/>
      <c r="N82" s="724"/>
      <c r="O82" s="596"/>
    </row>
    <row r="83" spans="2:15" ht="21" thickBot="1" x14ac:dyDescent="0.3">
      <c r="B83" s="16">
        <f t="shared" si="9"/>
        <v>74</v>
      </c>
      <c r="C83" s="111" t="s">
        <v>228</v>
      </c>
      <c r="D83" s="108" t="s">
        <v>229</v>
      </c>
      <c r="E83" s="599" t="str">
        <f t="shared" si="8"/>
        <v>May-LisRønning</v>
      </c>
      <c r="F83" s="192">
        <f>YEAR(I$5)-_xlfn.XLOOKUP(E83,Deltakerliste!E$5:E$98,Deltakerliste!I$5:I$98)</f>
        <v>55</v>
      </c>
      <c r="G83" s="192">
        <f>_xlfn.XLOOKUP(E83,Deltakerliste!E$5:E$98,Deltakerliste!H$5:H$98)</f>
        <v>4</v>
      </c>
      <c r="H83" s="592">
        <f>VLOOKUP(F83,Deltakerliste!P$6:T$84,G83,FALSE)</f>
        <v>1.5099999999999996</v>
      </c>
      <c r="I83" s="18"/>
      <c r="J83" s="18"/>
      <c r="K83" s="18"/>
      <c r="L83" s="600"/>
      <c r="M83" s="594"/>
      <c r="N83" s="724"/>
      <c r="O83" s="596"/>
    </row>
    <row r="84" spans="2:15" ht="21" thickBot="1" x14ac:dyDescent="0.3">
      <c r="B84" s="16">
        <f t="shared" si="9"/>
        <v>75</v>
      </c>
      <c r="C84" s="111" t="s">
        <v>298</v>
      </c>
      <c r="D84" s="108" t="s">
        <v>297</v>
      </c>
      <c r="E84" s="599" t="str">
        <f t="shared" si="8"/>
        <v>ØyvindSchjelderup</v>
      </c>
      <c r="F84" s="192">
        <f>YEAR(I$5)-_xlfn.XLOOKUP(E84,Deltakerliste!E$5:E$98,Deltakerliste!I$5:I$98)</f>
        <v>60</v>
      </c>
      <c r="G84" s="192">
        <f>_xlfn.XLOOKUP(E84,Deltakerliste!E$5:E$98,Deltakerliste!H$5:H$98)</f>
        <v>2</v>
      </c>
      <c r="H84" s="592">
        <f>VLOOKUP(F84,Deltakerliste!P$6:T$84,G84,FALSE)</f>
        <v>1.2000000000000002</v>
      </c>
      <c r="I84" s="18"/>
      <c r="J84" s="18"/>
      <c r="K84" s="18"/>
      <c r="L84" s="600"/>
      <c r="M84" s="594"/>
      <c r="N84" s="724"/>
      <c r="O84" s="596"/>
    </row>
    <row r="85" spans="2:15" ht="21" thickBot="1" x14ac:dyDescent="0.3">
      <c r="B85" s="16">
        <f t="shared" si="9"/>
        <v>76</v>
      </c>
      <c r="C85" s="193" t="s">
        <v>149</v>
      </c>
      <c r="D85" s="108" t="s">
        <v>150</v>
      </c>
      <c r="E85" s="599" t="str">
        <f t="shared" si="8"/>
        <v>BenteSkorge</v>
      </c>
      <c r="F85" s="192">
        <f>YEAR(I$5)-_xlfn.XLOOKUP(E85,Deltakerliste!E$5:E$98,Deltakerliste!I$5:I$98)</f>
        <v>66</v>
      </c>
      <c r="G85" s="192">
        <f>_xlfn.XLOOKUP(E85,Deltakerliste!E$5:E$98,Deltakerliste!H$5:H$98)</f>
        <v>4</v>
      </c>
      <c r="H85" s="592">
        <f>VLOOKUP(F85,Deltakerliste!P$6:T$84,G85,FALSE)</f>
        <v>1.8066000000000009</v>
      </c>
      <c r="I85" s="18"/>
      <c r="J85" s="132"/>
      <c r="K85" s="18"/>
      <c r="L85" s="600"/>
      <c r="M85" s="594"/>
      <c r="N85" s="724"/>
      <c r="O85" s="596"/>
    </row>
    <row r="86" spans="2:15" ht="21" thickBot="1" x14ac:dyDescent="0.3">
      <c r="B86" s="16">
        <f t="shared" si="9"/>
        <v>77</v>
      </c>
      <c r="C86" s="193" t="s">
        <v>153</v>
      </c>
      <c r="D86" s="108" t="s">
        <v>154</v>
      </c>
      <c r="E86" s="599" t="str">
        <f t="shared" si="8"/>
        <v>ReidunSmaavik</v>
      </c>
      <c r="F86" s="192">
        <f>YEAR(I$5)-_xlfn.XLOOKUP(E86,Deltakerliste!E$5:E$98,Deltakerliste!I$5:I$98)</f>
        <v>70</v>
      </c>
      <c r="G86" s="192">
        <f>_xlfn.XLOOKUP(E86,Deltakerliste!E$5:E$98,Deltakerliste!H$5:H$98)</f>
        <v>4</v>
      </c>
      <c r="H86" s="592">
        <f>VLOOKUP(F86,Deltakerliste!P$6:T$84,G86,FALSE)</f>
        <v>1.9490000000000012</v>
      </c>
      <c r="I86" s="132"/>
      <c r="J86" s="18"/>
      <c r="K86" s="18"/>
      <c r="L86" s="600"/>
      <c r="M86" s="594"/>
      <c r="N86" s="724"/>
      <c r="O86" s="596"/>
    </row>
    <row r="87" spans="2:15" ht="21" thickBot="1" x14ac:dyDescent="0.3">
      <c r="B87" s="16">
        <f t="shared" si="9"/>
        <v>78</v>
      </c>
      <c r="C87" s="193" t="s">
        <v>232</v>
      </c>
      <c r="D87" s="133" t="s">
        <v>231</v>
      </c>
      <c r="E87" s="599" t="str">
        <f t="shared" si="8"/>
        <v>BeritSunnset</v>
      </c>
      <c r="F87" s="192">
        <f>YEAR(I$5)-_xlfn.XLOOKUP(E87,Deltakerliste!E$5:E$98,Deltakerliste!I$5:I$98)</f>
        <v>62</v>
      </c>
      <c r="G87" s="192">
        <f>_xlfn.XLOOKUP(E87,Deltakerliste!E$5:E$98,Deltakerliste!H$5:H$98)</f>
        <v>4</v>
      </c>
      <c r="H87" s="592">
        <f>VLOOKUP(F87,Deltakerliste!P$6:T$84,G87,FALSE)</f>
        <v>1.6834000000000005</v>
      </c>
      <c r="I87" s="18"/>
      <c r="J87" s="18"/>
      <c r="K87" s="18"/>
      <c r="L87" s="790"/>
      <c r="M87" s="594"/>
      <c r="N87" s="724"/>
      <c r="O87" s="596"/>
    </row>
    <row r="88" spans="2:15" ht="21" thickBot="1" x14ac:dyDescent="0.3">
      <c r="B88" s="16">
        <f t="shared" si="9"/>
        <v>79</v>
      </c>
      <c r="C88" s="193" t="s">
        <v>230</v>
      </c>
      <c r="D88" s="108" t="s">
        <v>231</v>
      </c>
      <c r="E88" s="599" t="str">
        <f t="shared" si="8"/>
        <v>TrineSunnset</v>
      </c>
      <c r="F88" s="192">
        <f>YEAR(I$5)-_xlfn.XLOOKUP(E88,Deltakerliste!E$5:E$98,Deltakerliste!I$5:I$98)</f>
        <v>62</v>
      </c>
      <c r="G88" s="192">
        <f>_xlfn.XLOOKUP(E88,Deltakerliste!E$5:E$98,Deltakerliste!H$5:H$98)</f>
        <v>4</v>
      </c>
      <c r="H88" s="592">
        <f>VLOOKUP(F88,Deltakerliste!P$6:T$84,G88,FALSE)</f>
        <v>1.6834000000000005</v>
      </c>
      <c r="I88" s="18"/>
      <c r="J88" s="18"/>
      <c r="K88" s="18"/>
      <c r="L88" s="791"/>
      <c r="M88" s="594"/>
      <c r="N88" s="792"/>
      <c r="O88" s="596"/>
    </row>
    <row r="89" spans="2:15" ht="21" thickBot="1" x14ac:dyDescent="0.3">
      <c r="B89" s="16">
        <f t="shared" si="9"/>
        <v>80</v>
      </c>
      <c r="C89" s="193" t="s">
        <v>166</v>
      </c>
      <c r="D89" s="108" t="s">
        <v>167</v>
      </c>
      <c r="E89" s="599" t="str">
        <f t="shared" si="8"/>
        <v>GunnarØsterbø</v>
      </c>
      <c r="F89" s="192">
        <f>YEAR(I$5)-_xlfn.XLOOKUP(E89,Deltakerliste!E$5:E$98,Deltakerliste!I$5:I$98)</f>
        <v>86</v>
      </c>
      <c r="G89" s="192">
        <f>_xlfn.XLOOKUP(E89,Deltakerliste!E$5:E$98,Deltakerliste!H$5:H$98)</f>
        <v>2</v>
      </c>
      <c r="H89" s="592">
        <f>VLOOKUP(F89,Deltakerliste!P$6:T$84,G89,FALSE)</f>
        <v>2.3089999999999997</v>
      </c>
      <c r="I89" s="18"/>
      <c r="J89" s="132"/>
      <c r="K89" s="18"/>
      <c r="L89" s="725"/>
      <c r="M89" s="717"/>
      <c r="N89" s="726"/>
      <c r="O89" s="719"/>
    </row>
    <row r="100" spans="4:11" ht="17" thickBot="1" x14ac:dyDescent="0.25"/>
    <row r="101" spans="4:11" ht="21" thickTop="1" thickBot="1" x14ac:dyDescent="0.3">
      <c r="D101" s="646" t="s">
        <v>288</v>
      </c>
      <c r="E101" s="647"/>
      <c r="F101" s="666"/>
      <c r="G101" s="666"/>
      <c r="H101" s="666"/>
      <c r="I101" s="648" t="s">
        <v>195</v>
      </c>
      <c r="J101" s="648" t="s">
        <v>196</v>
      </c>
      <c r="K101" s="649" t="s">
        <v>197</v>
      </c>
    </row>
    <row r="102" spans="4:11" ht="20" x14ac:dyDescent="0.25">
      <c r="D102" s="634" t="s">
        <v>172</v>
      </c>
      <c r="E102" s="320"/>
      <c r="F102" s="208"/>
      <c r="G102" s="208"/>
      <c r="H102" s="208"/>
      <c r="I102" s="635">
        <f>COUNT(I10:I93)+COUNTIF(I10:I93,"Brutt")+COUNTIF(I10:I93,"(*)")</f>
        <v>20</v>
      </c>
      <c r="J102" s="635">
        <f>COUNT(J10:J93)+COUNTIF(J10:J93,"Brutt")+COUNTIF(J10:J93,"(*)")</f>
        <v>25</v>
      </c>
      <c r="K102" s="636">
        <f>I102+J102</f>
        <v>45</v>
      </c>
    </row>
    <row r="103" spans="4:11" ht="19" x14ac:dyDescent="0.25">
      <c r="D103" s="637" t="s">
        <v>174</v>
      </c>
      <c r="E103" s="320"/>
      <c r="F103" s="208"/>
      <c r="G103" s="208"/>
      <c r="H103" s="208"/>
      <c r="I103" s="635">
        <f>COUNT(I10:I93)</f>
        <v>19</v>
      </c>
      <c r="J103" s="635">
        <f>COUNT(J10:J93)</f>
        <v>23</v>
      </c>
      <c r="K103" s="636">
        <f t="shared" ref="K103" si="10">I103+J103</f>
        <v>42</v>
      </c>
    </row>
    <row r="104" spans="4:11" ht="19" x14ac:dyDescent="0.25">
      <c r="D104" s="637" t="s">
        <v>173</v>
      </c>
      <c r="E104" s="320"/>
      <c r="F104" s="208"/>
      <c r="G104" s="208"/>
      <c r="H104" s="208"/>
      <c r="I104" s="208"/>
      <c r="J104" s="208"/>
      <c r="K104" s="636">
        <f>K102+COUNTIF(L10:L93,"Arr")+COUNTIF(L10:L93,"Løype")</f>
        <v>48</v>
      </c>
    </row>
    <row r="105" spans="4:11" ht="19" x14ac:dyDescent="0.25">
      <c r="D105" s="637" t="s">
        <v>341</v>
      </c>
      <c r="E105" s="320"/>
      <c r="F105" s="208"/>
      <c r="G105" s="208"/>
      <c r="H105" s="208"/>
      <c r="I105" s="208"/>
      <c r="J105" s="208"/>
      <c r="K105" s="638">
        <f>AVERAGEIF(M10:M93,"&gt;0",F10:F93)</f>
        <v>74.75</v>
      </c>
    </row>
    <row r="106" spans="4:11" ht="19" x14ac:dyDescent="0.25">
      <c r="D106" s="637" t="s">
        <v>296</v>
      </c>
      <c r="E106" s="320"/>
      <c r="F106" s="208"/>
      <c r="G106" s="208"/>
      <c r="H106" s="208"/>
      <c r="I106" s="208"/>
      <c r="J106" s="208"/>
      <c r="K106" s="638">
        <f>AVERAGE(I8:J8)</f>
        <v>2.1500000000000004</v>
      </c>
    </row>
    <row r="107" spans="4:11" ht="19" x14ac:dyDescent="0.25">
      <c r="D107" s="637" t="s">
        <v>176</v>
      </c>
      <c r="E107" s="320"/>
      <c r="F107" s="208"/>
      <c r="G107" s="208"/>
      <c r="H107" s="208"/>
      <c r="I107" s="112">
        <f>I8*I103</f>
        <v>30.400000000000002</v>
      </c>
      <c r="J107" s="112">
        <f>J8*J103</f>
        <v>62.1</v>
      </c>
      <c r="K107" s="638">
        <f>I107+J107</f>
        <v>92.5</v>
      </c>
    </row>
    <row r="108" spans="4:11" ht="19" x14ac:dyDescent="0.25">
      <c r="D108" s="639" t="s">
        <v>286</v>
      </c>
      <c r="E108" s="320"/>
      <c r="F108" s="208"/>
      <c r="G108" s="208"/>
      <c r="H108" s="208"/>
      <c r="I108" s="103">
        <f>IF(SUM(I10:I93)=0," ",AVERAGE(I10:I93))</f>
        <v>2.4836744639376216E-2</v>
      </c>
      <c r="J108" s="103">
        <f>IF(SUM(J10:J93)=0," ",AVERAGE(J10:J93))</f>
        <v>2.6846316425120774E-2</v>
      </c>
      <c r="K108" s="640">
        <f>IF(SUM(I10:J93)=0," ",AVERAGE(I10:J93))</f>
        <v>2.5937224426807761E-2</v>
      </c>
    </row>
    <row r="109" spans="4:11" ht="20" thickBot="1" x14ac:dyDescent="0.3">
      <c r="D109" s="641" t="s">
        <v>287</v>
      </c>
      <c r="E109" s="642"/>
      <c r="F109" s="644"/>
      <c r="G109" s="644"/>
      <c r="H109" s="644"/>
      <c r="I109" s="643"/>
      <c r="J109" s="644"/>
      <c r="K109" s="645">
        <f>MIN(L10:L93)</f>
        <v>7.2359396433470504E-3</v>
      </c>
    </row>
    <row r="110" spans="4:11" ht="17" thickTop="1" x14ac:dyDescent="0.2"/>
  </sheetData>
  <autoFilter ref="C9:O89" xr:uid="{2645532E-4CB3-1449-A3C6-9C90FECA08D4}">
    <sortState xmlns:xlrd2="http://schemas.microsoft.com/office/spreadsheetml/2017/richdata2" ref="C10:O89">
      <sortCondition ref="N9:N89"/>
    </sortState>
  </autoFilter>
  <mergeCells count="3">
    <mergeCell ref="W7:X7"/>
    <mergeCell ref="S8:U8"/>
    <mergeCell ref="W8:X8"/>
  </mergeCells>
  <pageMargins left="0.7" right="0.7" top="0.75" bottom="0.75" header="0.3" footer="0.3"/>
  <pageSetup paperSize="9" orientation="portrait" horizontalDpi="0" verticalDpi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50339-921F-F044-8316-0EF4CD6B7848}">
  <dimension ref="B1:AC110"/>
  <sheetViews>
    <sheetView topLeftCell="A71" workbookViewId="0">
      <selection activeCell="G1" sqref="G1:G1048576"/>
    </sheetView>
  </sheetViews>
  <sheetFormatPr baseColWidth="10" defaultColWidth="10.83203125" defaultRowHeight="16" x14ac:dyDescent="0.2"/>
  <cols>
    <col min="3" max="3" width="14.5" customWidth="1"/>
    <col min="4" max="4" width="20.1640625" customWidth="1"/>
    <col min="5" max="5" width="20.1640625" hidden="1" customWidth="1"/>
    <col min="6" max="6" width="14.5" style="15" customWidth="1"/>
    <col min="7" max="7" width="14.5" style="15" hidden="1" customWidth="1"/>
    <col min="8" max="8" width="14" style="15" customWidth="1"/>
    <col min="9" max="10" width="19.1640625" style="15" customWidth="1"/>
    <col min="11" max="11" width="17.6640625" style="15" customWidth="1"/>
    <col min="12" max="12" width="10.83203125" style="15"/>
    <col min="14" max="14" width="10.83203125" style="15"/>
    <col min="18" max="18" width="12.5" customWidth="1"/>
    <col min="19" max="19" width="13.5" customWidth="1"/>
    <col min="22" max="22" width="1.83203125" customWidth="1"/>
    <col min="23" max="23" width="15.83203125" customWidth="1"/>
    <col min="24" max="24" width="11" customWidth="1"/>
  </cols>
  <sheetData>
    <row r="1" spans="2:29" ht="8" customHeight="1" x14ac:dyDescent="0.2"/>
    <row r="2" spans="2:29" ht="8" customHeight="1" x14ac:dyDescent="0.2"/>
    <row r="5" spans="2:29" ht="26" x14ac:dyDescent="0.3">
      <c r="B5" s="21" t="s">
        <v>202</v>
      </c>
      <c r="C5" s="245" t="s">
        <v>370</v>
      </c>
      <c r="F5" s="667"/>
      <c r="G5" s="667"/>
      <c r="H5" s="671" t="s">
        <v>189</v>
      </c>
      <c r="I5" s="670">
        <f>'Løp 5'!I5+7</f>
        <v>45972</v>
      </c>
    </row>
    <row r="6" spans="2:29" ht="17" thickBot="1" x14ac:dyDescent="0.25">
      <c r="B6" s="15"/>
    </row>
    <row r="7" spans="2:29" ht="59" customHeight="1" thickBot="1" x14ac:dyDescent="0.35">
      <c r="B7" s="12" t="s">
        <v>194</v>
      </c>
      <c r="C7" s="662" t="s">
        <v>57</v>
      </c>
      <c r="D7" s="391" t="s">
        <v>58</v>
      </c>
      <c r="E7" s="663"/>
      <c r="F7" s="663" t="s">
        <v>234</v>
      </c>
      <c r="G7" s="391" t="s">
        <v>280</v>
      </c>
      <c r="H7" s="391" t="s">
        <v>235</v>
      </c>
      <c r="I7" s="391" t="s">
        <v>302</v>
      </c>
      <c r="J7" s="391" t="s">
        <v>303</v>
      </c>
      <c r="K7" s="391" t="s">
        <v>192</v>
      </c>
      <c r="L7" s="194" t="s">
        <v>209</v>
      </c>
      <c r="M7" s="392" t="s">
        <v>55</v>
      </c>
      <c r="N7" s="393" t="s">
        <v>242</v>
      </c>
      <c r="O7" s="393" t="s">
        <v>240</v>
      </c>
      <c r="Q7" s="319"/>
      <c r="R7" s="319"/>
      <c r="S7" s="755" t="str">
        <f>B5</f>
        <v>Løp 6</v>
      </c>
      <c r="T7" s="754" t="str">
        <f>C5</f>
        <v>Baklidammen</v>
      </c>
      <c r="U7" s="730"/>
      <c r="V7" s="730"/>
      <c r="W7" s="941"/>
      <c r="X7" s="941"/>
    </row>
    <row r="8" spans="2:29" ht="23" customHeight="1" thickTop="1" thickBot="1" x14ac:dyDescent="0.35">
      <c r="B8" s="22"/>
      <c r="C8" s="394"/>
      <c r="D8" s="395"/>
      <c r="E8" s="597"/>
      <c r="F8" s="668"/>
      <c r="G8" s="668"/>
      <c r="H8" s="664"/>
      <c r="I8" s="391">
        <v>1.7</v>
      </c>
      <c r="J8" s="789">
        <v>3</v>
      </c>
      <c r="K8" s="391"/>
      <c r="N8" s="720"/>
      <c r="O8" s="390"/>
      <c r="S8" s="942" t="s">
        <v>312</v>
      </c>
      <c r="T8" s="943"/>
      <c r="U8" s="944"/>
      <c r="V8" s="779"/>
      <c r="W8" s="945" t="s">
        <v>313</v>
      </c>
      <c r="X8" s="940"/>
      <c r="AB8" s="836" t="s">
        <v>361</v>
      </c>
      <c r="AC8" s="827"/>
    </row>
    <row r="9" spans="2:29" ht="21" thickBot="1" x14ac:dyDescent="0.3">
      <c r="B9" s="22"/>
      <c r="C9" s="109"/>
      <c r="D9" s="105"/>
      <c r="E9" s="598"/>
      <c r="F9" s="669"/>
      <c r="G9" s="669"/>
      <c r="H9" s="665"/>
      <c r="I9" s="12"/>
      <c r="J9" s="12"/>
      <c r="K9" s="12"/>
      <c r="N9" s="722"/>
      <c r="O9" s="200"/>
      <c r="Q9" s="110"/>
      <c r="S9" s="731"/>
      <c r="T9" s="727" t="s">
        <v>311</v>
      </c>
      <c r="U9" s="750" t="s">
        <v>55</v>
      </c>
      <c r="V9" s="780"/>
      <c r="W9" s="774"/>
      <c r="X9" s="732" t="s">
        <v>55</v>
      </c>
      <c r="AB9" s="834" t="s">
        <v>234</v>
      </c>
      <c r="AC9" s="835" t="s">
        <v>362</v>
      </c>
    </row>
    <row r="10" spans="2:29" ht="21" thickBot="1" x14ac:dyDescent="0.3">
      <c r="B10" s="16">
        <f t="shared" ref="B10:B41" si="0">B9+1</f>
        <v>1</v>
      </c>
      <c r="C10" s="106" t="s">
        <v>364</v>
      </c>
      <c r="D10" s="107" t="s">
        <v>365</v>
      </c>
      <c r="E10" s="599" t="str">
        <f t="shared" ref="E10:E41" si="1">_xlfn.CONCAT(C10:D10)</f>
        <v>GerdBjørset</v>
      </c>
      <c r="F10" s="192">
        <f>YEAR(I$5)-_xlfn.XLOOKUP(E10,Deltakerliste!E$5:E$98,Deltakerliste!I$5:I$98)</f>
        <v>71</v>
      </c>
      <c r="G10" s="192">
        <f>_xlfn.XLOOKUP(E10,Deltakerliste!E$5:E$98,Deltakerliste!H$5:H$98)</f>
        <v>4</v>
      </c>
      <c r="H10" s="592">
        <f>VLOOKUP(F10,Deltakerliste!P$6:T$84,G10,FALSE)</f>
        <v>1.9926000000000013</v>
      </c>
      <c r="I10" s="13"/>
      <c r="J10" s="13">
        <v>2.9907407407407407E-2</v>
      </c>
      <c r="K10" s="13"/>
      <c r="L10" s="600">
        <f t="shared" ref="L10:L50" si="2">IF(OR(I10="Arr",J10="Arr",K10="Arr"),"Arr",IF(OR(I10="Brutt",J10="Brutt",K10="Brutt"),"Brutt",IF(OR(I10="Løype",J10="Løype",K10="Løype"),"Løype",IF(I10&gt;0,I10/I$8,J10/J$8))))</f>
        <v>9.969135802469135E-3</v>
      </c>
      <c r="M10" s="594">
        <f>IF(L10="Løype",Poengsammendrag!$F$2,IF(L10="Arr",Poengsammendrag!$F$3,IF(L10="Brutt",50,IF(L10="Disk",50,ROUND(MAXA(100*(MIN(L$10:L$88)/L10),50),0)))))</f>
        <v>79</v>
      </c>
      <c r="N10" s="724">
        <f t="shared" ref="N10:N50" si="3">IF(L10="Arr","Arr",IF(L10="Brutt","Brutt",IF(L10="Løype","Løype",L10/H10)))</f>
        <v>5.0030792946246759E-3</v>
      </c>
      <c r="O10" s="596">
        <f>IF(N10="Løype",Poengsammendrag!$F$2,IF(N10="Arr",Poengsammendrag!$F$3,IF(N10="Brutt",50,IF(N10="Disk",50,ROUND(MAXA(100*(MIN(N$10:N$88)/N10),50),0)))))</f>
        <v>100</v>
      </c>
      <c r="Q10" s="672"/>
      <c r="R10" s="672"/>
      <c r="S10" s="802" t="s">
        <v>126</v>
      </c>
      <c r="T10" s="734">
        <v>7.8356481481481489E-3</v>
      </c>
      <c r="U10" s="751">
        <v>100</v>
      </c>
      <c r="V10" s="781"/>
      <c r="W10" s="775" t="s">
        <v>364</v>
      </c>
      <c r="X10" s="739">
        <v>100</v>
      </c>
      <c r="AB10" s="832">
        <v>55</v>
      </c>
      <c r="AC10" s="833">
        <f t="shared" ref="AC10:AC50" si="4">COUNTIFS(F$10:F$95,AB10,M$10:M$95,"&gt;0")</f>
        <v>0</v>
      </c>
    </row>
    <row r="11" spans="2:29" ht="21" customHeight="1" thickBot="1" x14ac:dyDescent="0.3">
      <c r="B11" s="16">
        <f t="shared" si="0"/>
        <v>2</v>
      </c>
      <c r="C11" s="106" t="s">
        <v>64</v>
      </c>
      <c r="D11" s="107" t="s">
        <v>65</v>
      </c>
      <c r="E11" s="599" t="str">
        <f t="shared" si="1"/>
        <v>BjørnBerger</v>
      </c>
      <c r="F11" s="192">
        <f>YEAR(I$5)-_xlfn.XLOOKUP(E11,Deltakerliste!E$5:E$98,Deltakerliste!I$5:I$98)</f>
        <v>74</v>
      </c>
      <c r="G11" s="192">
        <f>_xlfn.XLOOKUP(E11,Deltakerliste!E$5:E$98,Deltakerliste!H$5:H$98)</f>
        <v>2</v>
      </c>
      <c r="H11" s="592">
        <f>VLOOKUP(F11,Deltakerliste!P$6:T$84,G11,FALSE)</f>
        <v>1.569</v>
      </c>
      <c r="I11" s="13"/>
      <c r="J11" s="13">
        <v>2.3715277777777776E-2</v>
      </c>
      <c r="K11" s="19"/>
      <c r="L11" s="600">
        <f t="shared" si="2"/>
        <v>7.905092592592592E-3</v>
      </c>
      <c r="M11" s="594">
        <f>IF(L11="Løype",Poengsammendrag!$F$2,IF(L11="Arr",Poengsammendrag!$F$3,IF(L11="Brutt",50,IF(L11="Disk",50,ROUND(MAXA(100*(MIN(L$10:L$88)/L11),50),0)))))</f>
        <v>99</v>
      </c>
      <c r="N11" s="724">
        <f t="shared" si="3"/>
        <v>5.0382999315440359E-3</v>
      </c>
      <c r="O11" s="596">
        <f>IF(N11="Løype",Poengsammendrag!$F$2,IF(N11="Arr",Poengsammendrag!$F$3,IF(N11="Brutt",50,IF(N11="Disk",50,ROUND(MAXA(100*(MIN(N$10:N$88)/N11),50),0)))))</f>
        <v>99</v>
      </c>
      <c r="Q11" s="672"/>
      <c r="R11" s="672"/>
      <c r="S11" s="803" t="s">
        <v>64</v>
      </c>
      <c r="T11" s="736">
        <v>7.905092592592592E-3</v>
      </c>
      <c r="U11" s="752">
        <v>99</v>
      </c>
      <c r="V11" s="781"/>
      <c r="W11" s="776" t="s">
        <v>64</v>
      </c>
      <c r="X11" s="740">
        <v>99</v>
      </c>
      <c r="AB11" s="828">
        <f>AB10+1</f>
        <v>56</v>
      </c>
      <c r="AC11" s="829">
        <f t="shared" si="4"/>
        <v>0</v>
      </c>
    </row>
    <row r="12" spans="2:29" ht="21" customHeight="1" thickBot="1" x14ac:dyDescent="0.3">
      <c r="B12" s="16">
        <f t="shared" si="0"/>
        <v>3</v>
      </c>
      <c r="C12" s="106" t="s">
        <v>159</v>
      </c>
      <c r="D12" s="107" t="s">
        <v>160</v>
      </c>
      <c r="E12" s="599" t="str">
        <f t="shared" si="1"/>
        <v>EigilSørli</v>
      </c>
      <c r="F12" s="192">
        <f>YEAR(I$5)-_xlfn.XLOOKUP(E12,Deltakerliste!E$5:E$98,Deltakerliste!I$5:I$98)</f>
        <v>85</v>
      </c>
      <c r="G12" s="192">
        <f>_xlfn.XLOOKUP(E12,Deltakerliste!E$5:E$98,Deltakerliste!H$5:H$98)</f>
        <v>2</v>
      </c>
      <c r="H12" s="592">
        <f>VLOOKUP(F12,Deltakerliste!P$6:T$84,G12,FALSE)</f>
        <v>2.2249999999999996</v>
      </c>
      <c r="I12" s="132">
        <v>1.9444444444444445E-2</v>
      </c>
      <c r="J12" s="18"/>
      <c r="K12" s="18"/>
      <c r="L12" s="600">
        <f t="shared" si="2"/>
        <v>1.1437908496732027E-2</v>
      </c>
      <c r="M12" s="594">
        <f>IF(L12="Løype",Poengsammendrag!$F$2,IF(L12="Arr",Poengsammendrag!$F$3,IF(L12="Brutt",50,IF(L12="Disk",50,ROUND(MAXA(100*(MIN(L$10:L$88)/L12),50),0)))))</f>
        <v>69</v>
      </c>
      <c r="N12" s="724">
        <f t="shared" si="3"/>
        <v>5.1406330322391145E-3</v>
      </c>
      <c r="O12" s="596">
        <f>IF(N12="Løype",Poengsammendrag!$F$2,IF(N12="Arr",Poengsammendrag!$F$3,IF(N12="Brutt",50,IF(N12="Disk",50,ROUND(MAXA(100*(MIN(N$10:N$88)/N12),50),0)))))</f>
        <v>97</v>
      </c>
      <c r="Q12" s="672"/>
      <c r="R12" s="672"/>
      <c r="S12" s="803" t="s">
        <v>134</v>
      </c>
      <c r="T12" s="736">
        <v>8.024691358024692E-3</v>
      </c>
      <c r="U12" s="752">
        <v>98</v>
      </c>
      <c r="V12" s="781"/>
      <c r="W12" s="776" t="s">
        <v>357</v>
      </c>
      <c r="X12" s="740">
        <v>97</v>
      </c>
      <c r="AB12" s="828">
        <f t="shared" ref="AB12:AB50" si="5">AB11+1</f>
        <v>57</v>
      </c>
      <c r="AC12" s="829">
        <f t="shared" si="4"/>
        <v>0</v>
      </c>
    </row>
    <row r="13" spans="2:29" ht="21" customHeight="1" thickBot="1" x14ac:dyDescent="0.3">
      <c r="B13" s="16">
        <f t="shared" si="0"/>
        <v>4</v>
      </c>
      <c r="C13" s="106" t="s">
        <v>126</v>
      </c>
      <c r="D13" s="107" t="s">
        <v>127</v>
      </c>
      <c r="E13" s="599" t="str">
        <f t="shared" si="1"/>
        <v>ArneMikkelsen</v>
      </c>
      <c r="F13" s="192">
        <f>YEAR(I$5)-_xlfn.XLOOKUP(E13,Deltakerliste!E$5:E$98,Deltakerliste!I$5:I$98)</f>
        <v>72</v>
      </c>
      <c r="G13" s="192">
        <f>_xlfn.XLOOKUP(E13,Deltakerliste!E$5:E$98,Deltakerliste!H$5:H$98)</f>
        <v>2</v>
      </c>
      <c r="H13" s="592">
        <f>VLOOKUP(F13,Deltakerliste!P$6:T$84,G13,FALSE)</f>
        <v>1.4969999999999999</v>
      </c>
      <c r="I13" s="13"/>
      <c r="J13" s="13">
        <v>2.3506944444444445E-2</v>
      </c>
      <c r="K13" s="13"/>
      <c r="L13" s="600">
        <f t="shared" si="2"/>
        <v>7.8356481481481489E-3</v>
      </c>
      <c r="M13" s="594">
        <f>IF(L13="Løype",Poengsammendrag!$F$2,IF(L13="Arr",Poengsammendrag!$F$3,IF(L13="Brutt",50,IF(L13="Disk",50,ROUND(MAXA(100*(MIN(L$10:L$88)/L13),50),0)))))</f>
        <v>100</v>
      </c>
      <c r="N13" s="724">
        <f t="shared" si="3"/>
        <v>5.2342338998985632E-3</v>
      </c>
      <c r="O13" s="596">
        <f>IF(N13="Løype",Poengsammendrag!$F$2,IF(N13="Arr",Poengsammendrag!$F$3,IF(N13="Brutt",50,IF(N13="Disk",50,ROUND(MAXA(100*(MIN(N$10:N$88)/N13),50),0)))))</f>
        <v>96</v>
      </c>
      <c r="Q13" s="672"/>
      <c r="R13" s="672"/>
      <c r="S13" s="803" t="s">
        <v>307</v>
      </c>
      <c r="T13" s="736">
        <v>9.081790123456791E-3</v>
      </c>
      <c r="U13" s="752">
        <v>86</v>
      </c>
      <c r="V13" s="781"/>
      <c r="W13" s="776" t="s">
        <v>126</v>
      </c>
      <c r="X13" s="740">
        <v>96</v>
      </c>
      <c r="AB13" s="828">
        <f t="shared" si="5"/>
        <v>58</v>
      </c>
      <c r="AC13" s="829">
        <f t="shared" si="4"/>
        <v>0</v>
      </c>
    </row>
    <row r="14" spans="2:29" ht="21" customHeight="1" thickBot="1" x14ac:dyDescent="0.3">
      <c r="B14" s="16">
        <f t="shared" si="0"/>
        <v>5</v>
      </c>
      <c r="C14" s="106" t="s">
        <v>88</v>
      </c>
      <c r="D14" s="107" t="s">
        <v>89</v>
      </c>
      <c r="E14" s="599" t="str">
        <f t="shared" si="1"/>
        <v>EdgarFuruholt</v>
      </c>
      <c r="F14" s="192">
        <f>YEAR(I$5)-_xlfn.XLOOKUP(E14,Deltakerliste!E$5:E$98,Deltakerliste!I$5:I$98)</f>
        <v>78</v>
      </c>
      <c r="G14" s="192">
        <f>_xlfn.XLOOKUP(E14,Deltakerliste!E$5:E$98,Deltakerliste!H$5:H$98)</f>
        <v>2</v>
      </c>
      <c r="H14" s="592">
        <f>VLOOKUP(F14,Deltakerliste!P$6:T$84,G14,FALSE)</f>
        <v>1.7550000000000001</v>
      </c>
      <c r="I14" s="18"/>
      <c r="J14" s="132">
        <v>2.8773148148148148E-2</v>
      </c>
      <c r="K14" s="18"/>
      <c r="L14" s="600">
        <f t="shared" si="2"/>
        <v>9.5910493827160489E-3</v>
      </c>
      <c r="M14" s="594">
        <f>IF(L14="Løype",Poengsammendrag!$F$2,IF(L14="Arr",Poengsammendrag!$F$3,IF(L14="Brutt",50,IF(L14="Disk",50,ROUND(MAXA(100*(MIN(L$10:L$88)/L14),50),0)))))</f>
        <v>82</v>
      </c>
      <c r="N14" s="724">
        <f t="shared" si="3"/>
        <v>5.464985403257008E-3</v>
      </c>
      <c r="O14" s="596">
        <f>IF(N14="Løype",Poengsammendrag!$F$2,IF(N14="Arr",Poengsammendrag!$F$3,IF(N14="Brutt",50,IF(N14="Disk",50,ROUND(MAXA(100*(MIN(N$10:N$88)/N14),50),0)))))</f>
        <v>92</v>
      </c>
      <c r="Q14" s="672"/>
      <c r="R14" s="672"/>
      <c r="S14" s="803" t="s">
        <v>136</v>
      </c>
      <c r="T14" s="736">
        <v>9.124228395061728E-3</v>
      </c>
      <c r="U14" s="752">
        <v>86</v>
      </c>
      <c r="V14" s="781"/>
      <c r="W14" s="776" t="s">
        <v>88</v>
      </c>
      <c r="X14" s="740">
        <v>92</v>
      </c>
      <c r="AB14" s="828">
        <f t="shared" si="5"/>
        <v>59</v>
      </c>
      <c r="AC14" s="829">
        <f t="shared" si="4"/>
        <v>0</v>
      </c>
    </row>
    <row r="15" spans="2:29" ht="21" customHeight="1" thickBot="1" x14ac:dyDescent="0.3">
      <c r="B15" s="16">
        <f t="shared" si="0"/>
        <v>6</v>
      </c>
      <c r="C15" s="106" t="s">
        <v>80</v>
      </c>
      <c r="D15" s="107" t="s">
        <v>81</v>
      </c>
      <c r="E15" s="599" t="str">
        <f t="shared" si="1"/>
        <v>HalvorFlatberg</v>
      </c>
      <c r="F15" s="192">
        <f>YEAR(I$5)-_xlfn.XLOOKUP(E15,Deltakerliste!E$5:E$98,Deltakerliste!I$5:I$98)</f>
        <v>79</v>
      </c>
      <c r="G15" s="192">
        <f>_xlfn.XLOOKUP(E15,Deltakerliste!E$5:E$98,Deltakerliste!H$5:H$98)</f>
        <v>2</v>
      </c>
      <c r="H15" s="592">
        <f>VLOOKUP(F15,Deltakerliste!P$6:T$84,G15,FALSE)</f>
        <v>1.8050000000000002</v>
      </c>
      <c r="I15" s="86">
        <v>1.744212962962963E-2</v>
      </c>
      <c r="J15" s="86"/>
      <c r="K15" s="13"/>
      <c r="L15" s="600">
        <f t="shared" si="2"/>
        <v>1.0260076252723313E-2</v>
      </c>
      <c r="M15" s="594">
        <f>IF(L15="Løype",Poengsammendrag!$F$2,IF(L15="Arr",Poengsammendrag!$F$3,IF(L15="Brutt",50,IF(L15="Disk",50,ROUND(MAXA(100*(MIN(L$10:L$88)/L15),50),0)))))</f>
        <v>76</v>
      </c>
      <c r="N15" s="724">
        <f t="shared" si="3"/>
        <v>5.6842527715918623E-3</v>
      </c>
      <c r="O15" s="596">
        <f>IF(N15="Løype",Poengsammendrag!$F$2,IF(N15="Arr",Poengsammendrag!$F$3,IF(N15="Brutt",50,IF(N15="Disk",50,ROUND(MAXA(100*(MIN(N$10:N$88)/N15),50),0)))))</f>
        <v>88</v>
      </c>
      <c r="Q15" s="672"/>
      <c r="R15" s="672"/>
      <c r="S15" s="803" t="s">
        <v>101</v>
      </c>
      <c r="T15" s="736">
        <v>9.1628086419753094E-3</v>
      </c>
      <c r="U15" s="752">
        <v>86</v>
      </c>
      <c r="V15" s="781"/>
      <c r="W15" s="776" t="s">
        <v>80</v>
      </c>
      <c r="X15" s="740">
        <v>88</v>
      </c>
      <c r="AB15" s="828">
        <f t="shared" si="5"/>
        <v>60</v>
      </c>
      <c r="AC15" s="829">
        <f t="shared" si="4"/>
        <v>0</v>
      </c>
    </row>
    <row r="16" spans="2:29" ht="21" customHeight="1" thickBot="1" x14ac:dyDescent="0.3">
      <c r="B16" s="16">
        <f t="shared" si="0"/>
        <v>7</v>
      </c>
      <c r="C16" s="106" t="s">
        <v>134</v>
      </c>
      <c r="D16" s="107" t="s">
        <v>135</v>
      </c>
      <c r="E16" s="599" t="str">
        <f t="shared" si="1"/>
        <v>IngeNørstebø</v>
      </c>
      <c r="F16" s="192">
        <f>YEAR(I$5)-_xlfn.XLOOKUP(E16,Deltakerliste!E$5:E$98,Deltakerliste!I$5:I$98)</f>
        <v>69</v>
      </c>
      <c r="G16" s="192">
        <f>_xlfn.XLOOKUP(E16,Deltakerliste!E$5:E$98,Deltakerliste!H$5:H$98)</f>
        <v>2</v>
      </c>
      <c r="H16" s="592">
        <f>VLOOKUP(F16,Deltakerliste!P$6:T$84,G16,FALSE)</f>
        <v>1.3989999999999998</v>
      </c>
      <c r="I16" s="13"/>
      <c r="J16" s="13">
        <v>2.4074074074074074E-2</v>
      </c>
      <c r="K16" s="13"/>
      <c r="L16" s="600">
        <f t="shared" si="2"/>
        <v>8.024691358024692E-3</v>
      </c>
      <c r="M16" s="594">
        <f>IF(L16="Løype",Poengsammendrag!$F$2,IF(L16="Arr",Poengsammendrag!$F$3,IF(L16="Brutt",50,IF(L16="Disk",50,ROUND(MAXA(100*(MIN(L$10:L$88)/L16),50),0)))))</f>
        <v>98</v>
      </c>
      <c r="N16" s="724">
        <f t="shared" si="3"/>
        <v>5.7360195554143623E-3</v>
      </c>
      <c r="O16" s="596">
        <f>IF(N16="Løype",Poengsammendrag!$F$2,IF(N16="Arr",Poengsammendrag!$F$3,IF(N16="Brutt",50,IF(N16="Disk",50,ROUND(MAXA(100*(MIN(N$10:N$88)/N16),50),0)))))</f>
        <v>87</v>
      </c>
      <c r="Q16" s="672"/>
      <c r="R16" s="672"/>
      <c r="S16" s="803" t="s">
        <v>106</v>
      </c>
      <c r="T16" s="736">
        <v>9.5138888888888894E-3</v>
      </c>
      <c r="U16" s="752">
        <v>82</v>
      </c>
      <c r="V16" s="781"/>
      <c r="W16" s="776" t="s">
        <v>134</v>
      </c>
      <c r="X16" s="740">
        <v>87</v>
      </c>
      <c r="AB16" s="828">
        <f t="shared" si="5"/>
        <v>61</v>
      </c>
      <c r="AC16" s="829">
        <f t="shared" si="4"/>
        <v>0</v>
      </c>
    </row>
    <row r="17" spans="2:29" ht="21" customHeight="1" thickBot="1" x14ac:dyDescent="0.3">
      <c r="B17" s="16">
        <f t="shared" si="0"/>
        <v>8</v>
      </c>
      <c r="C17" s="106" t="s">
        <v>106</v>
      </c>
      <c r="D17" s="107" t="s">
        <v>107</v>
      </c>
      <c r="E17" s="599" t="str">
        <f t="shared" si="1"/>
        <v>Jon ArneKlemetsaune</v>
      </c>
      <c r="F17" s="192">
        <f>YEAR(I$5)-_xlfn.XLOOKUP(E17,Deltakerliste!E$5:E$98,Deltakerliste!I$5:I$98)</f>
        <v>76</v>
      </c>
      <c r="G17" s="192">
        <f>_xlfn.XLOOKUP(E17,Deltakerliste!E$5:E$98,Deltakerliste!H$5:H$98)</f>
        <v>2</v>
      </c>
      <c r="H17" s="592">
        <f>VLOOKUP(F17,Deltakerliste!P$6:T$84,G17,FALSE)</f>
        <v>1.655</v>
      </c>
      <c r="I17" s="86"/>
      <c r="J17" s="86">
        <v>2.8541666666666667E-2</v>
      </c>
      <c r="K17" s="17"/>
      <c r="L17" s="600">
        <f t="shared" si="2"/>
        <v>9.5138888888888894E-3</v>
      </c>
      <c r="M17" s="594">
        <f>IF(L17="Løype",Poengsammendrag!$F$2,IF(L17="Arr",Poengsammendrag!$F$3,IF(L17="Brutt",50,IF(L17="Disk",50,ROUND(MAXA(100*(MIN(L$10:L$88)/L17),50),0)))))</f>
        <v>82</v>
      </c>
      <c r="N17" s="724">
        <f t="shared" si="3"/>
        <v>5.7485733467606583E-3</v>
      </c>
      <c r="O17" s="596">
        <f>IF(N17="Løype",Poengsammendrag!$F$2,IF(N17="Arr",Poengsammendrag!$F$3,IF(N17="Brutt",50,IF(N17="Disk",50,ROUND(MAXA(100*(MIN(N$10:N$88)/N17),50),0)))))</f>
        <v>87</v>
      </c>
      <c r="Q17" s="672"/>
      <c r="R17" s="672"/>
      <c r="S17" s="803" t="s">
        <v>88</v>
      </c>
      <c r="T17" s="736">
        <v>9.5910493827160489E-3</v>
      </c>
      <c r="U17" s="752">
        <v>82</v>
      </c>
      <c r="V17" s="781"/>
      <c r="W17" s="776" t="s">
        <v>106</v>
      </c>
      <c r="X17" s="740">
        <v>87</v>
      </c>
      <c r="AB17" s="828">
        <f t="shared" si="5"/>
        <v>62</v>
      </c>
      <c r="AC17" s="829">
        <f t="shared" si="4"/>
        <v>0</v>
      </c>
    </row>
    <row r="18" spans="2:29" ht="21" customHeight="1" thickBot="1" x14ac:dyDescent="0.3">
      <c r="B18" s="16">
        <f t="shared" si="0"/>
        <v>9</v>
      </c>
      <c r="C18" s="106" t="s">
        <v>307</v>
      </c>
      <c r="D18" s="107" t="s">
        <v>308</v>
      </c>
      <c r="E18" s="599" t="str">
        <f t="shared" si="1"/>
        <v>RolfWærnes</v>
      </c>
      <c r="F18" s="192">
        <f>YEAR(I$5)-_xlfn.XLOOKUP(E18,Deltakerliste!E$5:E$98,Deltakerliste!I$5:I$98)</f>
        <v>74</v>
      </c>
      <c r="G18" s="192">
        <f>_xlfn.XLOOKUP(E18,Deltakerliste!E$5:E$98,Deltakerliste!H$5:H$98)</f>
        <v>2</v>
      </c>
      <c r="H18" s="592">
        <f>VLOOKUP(F18,Deltakerliste!P$6:T$84,G18,FALSE)</f>
        <v>1.569</v>
      </c>
      <c r="I18" s="18"/>
      <c r="J18" s="132">
        <v>2.7245370370370371E-2</v>
      </c>
      <c r="K18" s="18"/>
      <c r="L18" s="600">
        <f t="shared" si="2"/>
        <v>9.081790123456791E-3</v>
      </c>
      <c r="M18" s="594">
        <f>IF(L18="Løype",Poengsammendrag!$F$2,IF(L18="Arr",Poengsammendrag!$F$3,IF(L18="Brutt",50,IF(L18="Disk",50,ROUND(MAXA(100*(MIN(L$10:L$88)/L18),50),0)))))</f>
        <v>86</v>
      </c>
      <c r="N18" s="724">
        <f t="shared" si="3"/>
        <v>5.7882664904122319E-3</v>
      </c>
      <c r="O18" s="596">
        <f>IF(N18="Løype",Poengsammendrag!$F$2,IF(N18="Arr",Poengsammendrag!$F$3,IF(N18="Brutt",50,IF(N18="Disk",50,ROUND(MAXA(100*(MIN(N$10:N$88)/N18),50),0)))))</f>
        <v>86</v>
      </c>
      <c r="Q18" s="672"/>
      <c r="R18" s="672"/>
      <c r="S18" s="803" t="s">
        <v>299</v>
      </c>
      <c r="T18" s="736">
        <v>9.7222222222222224E-3</v>
      </c>
      <c r="U18" s="752">
        <v>81</v>
      </c>
      <c r="V18" s="781"/>
      <c r="W18" s="776" t="s">
        <v>307</v>
      </c>
      <c r="X18" s="740">
        <v>86</v>
      </c>
      <c r="AB18" s="828">
        <f t="shared" si="5"/>
        <v>63</v>
      </c>
      <c r="AC18" s="829">
        <f t="shared" si="4"/>
        <v>0</v>
      </c>
    </row>
    <row r="19" spans="2:29" ht="21" thickBot="1" x14ac:dyDescent="0.3">
      <c r="B19" s="16">
        <f t="shared" si="0"/>
        <v>10</v>
      </c>
      <c r="C19" s="106" t="s">
        <v>114</v>
      </c>
      <c r="D19" s="107" t="s">
        <v>115</v>
      </c>
      <c r="E19" s="599" t="str">
        <f t="shared" si="1"/>
        <v>MagnusLandstad</v>
      </c>
      <c r="F19" s="192">
        <f>YEAR(I$5)-_xlfn.XLOOKUP(E19,Deltakerliste!E$5:E$98,Deltakerliste!I$5:I$98)</f>
        <v>82</v>
      </c>
      <c r="G19" s="192">
        <f>_xlfn.XLOOKUP(E19,Deltakerliste!E$5:E$98,Deltakerliste!H$5:H$98)</f>
        <v>2</v>
      </c>
      <c r="H19" s="592">
        <f>VLOOKUP(F19,Deltakerliste!P$6:T$84,G19,FALSE)</f>
        <v>2.0030000000000001</v>
      </c>
      <c r="I19" s="86"/>
      <c r="J19" s="86">
        <v>3.5173611111111114E-2</v>
      </c>
      <c r="K19" s="13"/>
      <c r="L19" s="600">
        <f t="shared" si="2"/>
        <v>1.1724537037037039E-2</v>
      </c>
      <c r="M19" s="594">
        <f>IF(L19="Løype",Poengsammendrag!$F$2,IF(L19="Arr",Poengsammendrag!$F$3,IF(L19="Brutt",50,IF(L19="Disk",50,ROUND(MAXA(100*(MIN(L$10:L$88)/L19),50),0)))))</f>
        <v>67</v>
      </c>
      <c r="N19" s="724">
        <f t="shared" si="3"/>
        <v>5.8534882860893853E-3</v>
      </c>
      <c r="O19" s="596">
        <f>IF(N19="Løype",Poengsammendrag!$F$2,IF(N19="Arr",Poengsammendrag!$F$3,IF(N19="Brutt",50,IF(N19="Disk",50,ROUND(MAXA(100*(MIN(N$10:N$88)/N19),50),0)))))</f>
        <v>85</v>
      </c>
      <c r="Q19" s="672"/>
      <c r="R19" s="672"/>
      <c r="S19" s="803" t="s">
        <v>346</v>
      </c>
      <c r="T19" s="736">
        <v>9.7337962962962959E-3</v>
      </c>
      <c r="U19" s="752">
        <v>80</v>
      </c>
      <c r="V19" s="781"/>
      <c r="W19" s="776" t="s">
        <v>114</v>
      </c>
      <c r="X19" s="740">
        <v>85</v>
      </c>
      <c r="AB19" s="828">
        <f t="shared" si="5"/>
        <v>64</v>
      </c>
      <c r="AC19" s="829">
        <f t="shared" si="4"/>
        <v>0</v>
      </c>
    </row>
    <row r="20" spans="2:29" ht="21" thickBot="1" x14ac:dyDescent="0.3">
      <c r="B20" s="16">
        <f t="shared" si="0"/>
        <v>11</v>
      </c>
      <c r="C20" s="106" t="s">
        <v>136</v>
      </c>
      <c r="D20" s="107" t="s">
        <v>137</v>
      </c>
      <c r="E20" s="599" t="str">
        <f t="shared" si="1"/>
        <v>HaraldOftedal</v>
      </c>
      <c r="F20" s="192">
        <f>YEAR(I$5)-_xlfn.XLOOKUP(E20,Deltakerliste!E$5:E$98,Deltakerliste!I$5:I$98)</f>
        <v>73</v>
      </c>
      <c r="G20" s="192">
        <f>_xlfn.XLOOKUP(E20,Deltakerliste!E$5:E$98,Deltakerliste!H$5:H$98)</f>
        <v>2</v>
      </c>
      <c r="H20" s="592">
        <f>VLOOKUP(F20,Deltakerliste!P$6:T$84,G20,FALSE)</f>
        <v>1.5329999999999999</v>
      </c>
      <c r="I20" s="134"/>
      <c r="J20" s="132">
        <v>2.7372685185185184E-2</v>
      </c>
      <c r="K20" s="134"/>
      <c r="L20" s="600">
        <f t="shared" si="2"/>
        <v>9.124228395061728E-3</v>
      </c>
      <c r="M20" s="594">
        <f>IF(L20="Løype",Poengsammendrag!$F$2,IF(L20="Arr",Poengsammendrag!$F$3,IF(L20="Brutt",50,IF(L20="Disk",50,ROUND(MAXA(100*(MIN(L$10:L$88)/L20),50),0)))))</f>
        <v>86</v>
      </c>
      <c r="N20" s="724">
        <f t="shared" si="3"/>
        <v>5.951877622349464E-3</v>
      </c>
      <c r="O20" s="596">
        <f>IF(N20="Løype",Poengsammendrag!$F$2,IF(N20="Arr",Poengsammendrag!$F$3,IF(N20="Brutt",50,IF(N20="Disk",50,ROUND(MAXA(100*(MIN(N$10:N$88)/N20),50),0)))))</f>
        <v>84</v>
      </c>
      <c r="Q20" s="672"/>
      <c r="R20" s="672"/>
      <c r="S20" s="803" t="s">
        <v>163</v>
      </c>
      <c r="T20" s="736">
        <v>9.9459876543209879E-3</v>
      </c>
      <c r="U20" s="752">
        <v>79</v>
      </c>
      <c r="V20" s="781"/>
      <c r="W20" s="776" t="s">
        <v>136</v>
      </c>
      <c r="X20" s="740">
        <v>84</v>
      </c>
      <c r="AB20" s="828">
        <f t="shared" si="5"/>
        <v>65</v>
      </c>
      <c r="AC20" s="829">
        <f t="shared" si="4"/>
        <v>0</v>
      </c>
    </row>
    <row r="21" spans="2:29" ht="21" customHeight="1" thickBot="1" x14ac:dyDescent="0.3">
      <c r="B21" s="16">
        <f t="shared" si="0"/>
        <v>12</v>
      </c>
      <c r="C21" s="106" t="s">
        <v>96</v>
      </c>
      <c r="D21" s="107" t="s">
        <v>97</v>
      </c>
      <c r="E21" s="599" t="str">
        <f t="shared" si="1"/>
        <v>StigHaugskott</v>
      </c>
      <c r="F21" s="192">
        <f>YEAR(I$5)-_xlfn.XLOOKUP(E21,Deltakerliste!E$5:E$98,Deltakerliste!I$5:I$98)</f>
        <v>86</v>
      </c>
      <c r="G21" s="192">
        <f>_xlfn.XLOOKUP(E21,Deltakerliste!E$5:E$98,Deltakerliste!H$5:H$98)</f>
        <v>2</v>
      </c>
      <c r="H21" s="592">
        <f>VLOOKUP(F21,Deltakerliste!P$6:T$84,G21,FALSE)</f>
        <v>2.3089999999999997</v>
      </c>
      <c r="I21" s="86">
        <v>2.3587962962962963E-2</v>
      </c>
      <c r="J21" s="86"/>
      <c r="K21" s="86"/>
      <c r="L21" s="600">
        <f t="shared" si="2"/>
        <v>1.3875272331154685E-2</v>
      </c>
      <c r="M21" s="594">
        <f>IF(L21="Løype",Poengsammendrag!$F$2,IF(L21="Arr",Poengsammendrag!$F$3,IF(L21="Brutt",50,IF(L21="Disk",50,ROUND(MAXA(100*(MIN(L$10:L$88)/L21),50),0)))))</f>
        <v>56</v>
      </c>
      <c r="N21" s="724">
        <f t="shared" si="3"/>
        <v>6.0092127895862652E-3</v>
      </c>
      <c r="O21" s="596">
        <f>IF(N21="Løype",Poengsammendrag!$F$2,IF(N21="Arr",Poengsammendrag!$F$3,IF(N21="Brutt",50,IF(N21="Disk",50,ROUND(MAXA(100*(MIN(N$10:N$88)/N21),50),0)))))</f>
        <v>83</v>
      </c>
      <c r="Q21" s="672"/>
      <c r="R21" s="672"/>
      <c r="S21" s="803" t="s">
        <v>364</v>
      </c>
      <c r="T21" s="736">
        <v>9.969135802469135E-3</v>
      </c>
      <c r="U21" s="752">
        <v>79</v>
      </c>
      <c r="V21" s="781"/>
      <c r="W21" s="776" t="s">
        <v>96</v>
      </c>
      <c r="X21" s="740">
        <v>83</v>
      </c>
      <c r="AB21" s="828">
        <f t="shared" si="5"/>
        <v>66</v>
      </c>
      <c r="AC21" s="829">
        <f t="shared" si="4"/>
        <v>2</v>
      </c>
    </row>
    <row r="22" spans="2:29" ht="21" customHeight="1" thickBot="1" x14ac:dyDescent="0.3">
      <c r="B22" s="16">
        <f t="shared" si="0"/>
        <v>13</v>
      </c>
      <c r="C22" s="106" t="s">
        <v>116</v>
      </c>
      <c r="D22" s="107" t="s">
        <v>117</v>
      </c>
      <c r="E22" s="599" t="str">
        <f t="shared" si="1"/>
        <v>AndersLauglo</v>
      </c>
      <c r="F22" s="192">
        <f>YEAR(I$5)-_xlfn.XLOOKUP(E22,Deltakerliste!E$5:E$98,Deltakerliste!I$5:I$98)</f>
        <v>86</v>
      </c>
      <c r="G22" s="192">
        <f>_xlfn.XLOOKUP(E22,Deltakerliste!E$5:E$98,Deltakerliste!H$5:H$98)</f>
        <v>2</v>
      </c>
      <c r="H22" s="592">
        <f>VLOOKUP(F22,Deltakerliste!P$6:T$84,G22,FALSE)</f>
        <v>2.3089999999999997</v>
      </c>
      <c r="I22" s="13">
        <v>2.3680555555555555E-2</v>
      </c>
      <c r="J22" s="13"/>
      <c r="K22" s="86"/>
      <c r="L22" s="600">
        <f t="shared" si="2"/>
        <v>1.3929738562091504E-2</v>
      </c>
      <c r="M22" s="594">
        <f>IF(L22="Løype",Poengsammendrag!$F$2,IF(L22="Arr",Poengsammendrag!$F$3,IF(L22="Brutt",50,IF(L22="Disk",50,ROUND(MAXA(100*(MIN(L$10:L$88)/L22),50),0)))))</f>
        <v>56</v>
      </c>
      <c r="N22" s="724">
        <f t="shared" si="3"/>
        <v>6.0328014560812066E-3</v>
      </c>
      <c r="O22" s="596">
        <f>IF(N22="Løype",Poengsammendrag!$F$2,IF(N22="Arr",Poengsammendrag!$F$3,IF(N22="Brutt",50,IF(N22="Disk",50,ROUND(MAXA(100*(MIN(N$10:N$88)/N22),50),0)))))</f>
        <v>83</v>
      </c>
      <c r="Q22" s="672"/>
      <c r="R22" s="672"/>
      <c r="S22" s="803" t="s">
        <v>340</v>
      </c>
      <c r="T22" s="736">
        <v>1.0007716049382716E-2</v>
      </c>
      <c r="U22" s="752">
        <v>78</v>
      </c>
      <c r="V22" s="781"/>
      <c r="W22" s="776" t="s">
        <v>315</v>
      </c>
      <c r="X22" s="740">
        <v>83</v>
      </c>
      <c r="AB22" s="828">
        <f t="shared" si="5"/>
        <v>67</v>
      </c>
      <c r="AC22" s="829">
        <f t="shared" si="4"/>
        <v>0</v>
      </c>
    </row>
    <row r="23" spans="2:29" ht="21" customHeight="1" thickBot="1" x14ac:dyDescent="0.3">
      <c r="B23" s="16">
        <f t="shared" si="0"/>
        <v>14</v>
      </c>
      <c r="C23" s="106" t="s">
        <v>153</v>
      </c>
      <c r="D23" s="107" t="s">
        <v>154</v>
      </c>
      <c r="E23" s="599" t="str">
        <f t="shared" si="1"/>
        <v>ReidunSmaavik</v>
      </c>
      <c r="F23" s="192">
        <f>YEAR(I$5)-_xlfn.XLOOKUP(E23,Deltakerliste!E$5:E$98,Deltakerliste!I$5:I$98)</f>
        <v>70</v>
      </c>
      <c r="G23" s="192">
        <f>_xlfn.XLOOKUP(E23,Deltakerliste!E$5:E$98,Deltakerliste!H$5:H$98)</f>
        <v>4</v>
      </c>
      <c r="H23" s="592">
        <f>VLOOKUP(F23,Deltakerliste!P$6:T$84,G23,FALSE)</f>
        <v>1.9490000000000012</v>
      </c>
      <c r="I23" s="132">
        <v>2.0543981481481483E-2</v>
      </c>
      <c r="J23" s="18"/>
      <c r="K23" s="18"/>
      <c r="L23" s="600">
        <f t="shared" si="2"/>
        <v>1.2084694989106755E-2</v>
      </c>
      <c r="M23" s="594">
        <f>IF(L23="Løype",Poengsammendrag!$F$2,IF(L23="Arr",Poengsammendrag!$F$3,IF(L23="Brutt",50,IF(L23="Disk",50,ROUND(MAXA(100*(MIN(L$10:L$88)/L23),50),0)))))</f>
        <v>65</v>
      </c>
      <c r="N23" s="724">
        <f t="shared" si="3"/>
        <v>6.2004592042620562E-3</v>
      </c>
      <c r="O23" s="596">
        <f>IF(N23="Løype",Poengsammendrag!$F$2,IF(N23="Arr",Poengsammendrag!$F$3,IF(N23="Brutt",50,IF(N23="Disk",50,ROUND(MAXA(100*(MIN(N$10:N$88)/N23),50),0)))))</f>
        <v>81</v>
      </c>
      <c r="Q23" s="672"/>
      <c r="R23" s="672"/>
      <c r="S23" s="803" t="s">
        <v>80</v>
      </c>
      <c r="T23" s="736">
        <v>1.0260076252723313E-2</v>
      </c>
      <c r="U23" s="752">
        <v>76</v>
      </c>
      <c r="V23" s="781"/>
      <c r="W23" s="776" t="s">
        <v>153</v>
      </c>
      <c r="X23" s="740">
        <v>81</v>
      </c>
      <c r="AB23" s="828">
        <f t="shared" si="5"/>
        <v>68</v>
      </c>
      <c r="AC23" s="829">
        <f t="shared" si="4"/>
        <v>0</v>
      </c>
    </row>
    <row r="24" spans="2:29" ht="21" thickBot="1" x14ac:dyDescent="0.3">
      <c r="B24" s="16">
        <f t="shared" si="0"/>
        <v>15</v>
      </c>
      <c r="C24" s="106" t="s">
        <v>122</v>
      </c>
      <c r="D24" s="107" t="s">
        <v>123</v>
      </c>
      <c r="E24" s="599" t="str">
        <f t="shared" si="1"/>
        <v>MartinMelhuus</v>
      </c>
      <c r="F24" s="192">
        <f>YEAR(I$5)-_xlfn.XLOOKUP(E24,Deltakerliste!E$5:E$98,Deltakerliste!I$5:I$98)</f>
        <v>81</v>
      </c>
      <c r="G24" s="192">
        <f>_xlfn.XLOOKUP(E24,Deltakerliste!E$5:E$98,Deltakerliste!H$5:H$98)</f>
        <v>2</v>
      </c>
      <c r="H24" s="592">
        <f>VLOOKUP(F24,Deltakerliste!P$6:T$84,G24,FALSE)</f>
        <v>1.9290000000000003</v>
      </c>
      <c r="I24" s="13">
        <v>2.0370370370370372E-2</v>
      </c>
      <c r="J24" s="13"/>
      <c r="K24" s="13"/>
      <c r="L24" s="600">
        <f t="shared" si="2"/>
        <v>1.1982570806100219E-2</v>
      </c>
      <c r="M24" s="594">
        <f>IF(L24="Løype",Poengsammendrag!$F$2,IF(L24="Arr",Poengsammendrag!$F$3,IF(L24="Brutt",50,IF(L24="Disk",50,ROUND(MAXA(100*(MIN(L$10:L$88)/L24),50),0)))))</f>
        <v>65</v>
      </c>
      <c r="N24" s="724">
        <f t="shared" si="3"/>
        <v>6.2118044614309061E-3</v>
      </c>
      <c r="O24" s="596">
        <f>IF(N24="Løype",Poengsammendrag!$F$2,IF(N24="Arr",Poengsammendrag!$F$3,IF(N24="Brutt",50,IF(N24="Disk",50,ROUND(MAXA(100*(MIN(N$10:N$88)/N24),50),0)))))</f>
        <v>81</v>
      </c>
      <c r="Q24" s="672"/>
      <c r="R24" s="672"/>
      <c r="S24" s="803" t="s">
        <v>90</v>
      </c>
      <c r="T24" s="736">
        <v>1.0688997821350762E-2</v>
      </c>
      <c r="U24" s="752">
        <v>73</v>
      </c>
      <c r="V24" s="781"/>
      <c r="W24" s="776" t="s">
        <v>122</v>
      </c>
      <c r="X24" s="740">
        <v>81</v>
      </c>
      <c r="AB24" s="828">
        <f t="shared" si="5"/>
        <v>69</v>
      </c>
      <c r="AC24" s="829">
        <f t="shared" si="4"/>
        <v>1</v>
      </c>
    </row>
    <row r="25" spans="2:29" ht="21" thickBot="1" x14ac:dyDescent="0.3">
      <c r="B25" s="16">
        <f t="shared" si="0"/>
        <v>16</v>
      </c>
      <c r="C25" s="106" t="s">
        <v>170</v>
      </c>
      <c r="D25" s="107" t="s">
        <v>171</v>
      </c>
      <c r="E25" s="599" t="str">
        <f t="shared" si="1"/>
        <v>ØisteinÅsmul</v>
      </c>
      <c r="F25" s="192">
        <f>YEAR(I$5)-_xlfn.XLOOKUP(E25,Deltakerliste!E$5:E$98,Deltakerliste!I$5:I$98)</f>
        <v>80</v>
      </c>
      <c r="G25" s="192">
        <f>_xlfn.XLOOKUP(E25,Deltakerliste!E$5:E$98,Deltakerliste!H$5:H$98)</f>
        <v>2</v>
      </c>
      <c r="H25" s="592">
        <f>VLOOKUP(F25,Deltakerliste!P$6:T$84,G25,FALSE)</f>
        <v>1.8550000000000002</v>
      </c>
      <c r="I25" s="132">
        <v>1.9745370370370371E-2</v>
      </c>
      <c r="J25" s="132"/>
      <c r="K25" s="18"/>
      <c r="L25" s="600">
        <f t="shared" si="2"/>
        <v>1.1614923747276689E-2</v>
      </c>
      <c r="M25" s="594">
        <f>IF(L25="Løype",Poengsammendrag!$F$2,IF(L25="Arr",Poengsammendrag!$F$3,IF(L25="Brutt",50,IF(L25="Disk",50,ROUND(MAXA(100*(MIN(L$10:L$88)/L25),50),0)))))</f>
        <v>67</v>
      </c>
      <c r="N25" s="724">
        <f t="shared" si="3"/>
        <v>6.2614144190170822E-3</v>
      </c>
      <c r="O25" s="596">
        <f>IF(N25="Løype",Poengsammendrag!$F$2,IF(N25="Arr",Poengsammendrag!$F$3,IF(N25="Brutt",50,IF(N25="Disk",50,ROUND(MAXA(100*(MIN(N$10:N$88)/N25),50),0)))))</f>
        <v>80</v>
      </c>
      <c r="Q25" s="672"/>
      <c r="R25" s="672"/>
      <c r="S25" s="803" t="s">
        <v>251</v>
      </c>
      <c r="T25" s="736">
        <v>1.1122685185185185E-2</v>
      </c>
      <c r="U25" s="752">
        <v>70</v>
      </c>
      <c r="V25" s="781"/>
      <c r="W25" s="776" t="s">
        <v>347</v>
      </c>
      <c r="X25" s="740">
        <v>80</v>
      </c>
      <c r="AB25" s="828">
        <f t="shared" si="5"/>
        <v>70</v>
      </c>
      <c r="AC25" s="829">
        <f t="shared" si="4"/>
        <v>3</v>
      </c>
    </row>
    <row r="26" spans="2:29" ht="21" customHeight="1" thickBot="1" x14ac:dyDescent="0.3">
      <c r="B26" s="16">
        <f t="shared" si="0"/>
        <v>17</v>
      </c>
      <c r="C26" s="106" t="s">
        <v>138</v>
      </c>
      <c r="D26" s="107" t="s">
        <v>137</v>
      </c>
      <c r="E26" s="599" t="str">
        <f t="shared" si="1"/>
        <v>GunnhildOftedal</v>
      </c>
      <c r="F26" s="192">
        <f>YEAR(I$5)-_xlfn.XLOOKUP(E26,Deltakerliste!E$5:E$98,Deltakerliste!I$5:I$98)</f>
        <v>72</v>
      </c>
      <c r="G26" s="192">
        <f>_xlfn.XLOOKUP(E26,Deltakerliste!E$5:E$98,Deltakerliste!H$5:H$98)</f>
        <v>4</v>
      </c>
      <c r="H26" s="592">
        <f>VLOOKUP(F26,Deltakerliste!P$6:T$84,G26,FALSE)</f>
        <v>2.0362000000000013</v>
      </c>
      <c r="I26" s="13"/>
      <c r="J26" s="13">
        <v>3.8310185185185183E-2</v>
      </c>
      <c r="K26" s="13"/>
      <c r="L26" s="600">
        <f t="shared" si="2"/>
        <v>1.277006172839506E-2</v>
      </c>
      <c r="M26" s="594">
        <f>IF(L26="Løype",Poengsammendrag!$F$2,IF(L26="Arr",Poengsammendrag!$F$3,IF(L26="Brutt",50,IF(L26="Disk",50,ROUND(MAXA(100*(MIN(L$10:L$88)/L26),50),0)))))</f>
        <v>61</v>
      </c>
      <c r="N26" s="724">
        <f t="shared" si="3"/>
        <v>6.2715164170489401E-3</v>
      </c>
      <c r="O26" s="596">
        <f>IF(N26="Løype",Poengsammendrag!$F$2,IF(N26="Arr",Poengsammendrag!$F$3,IF(N26="Brutt",50,IF(N26="Disk",50,ROUND(MAXA(100*(MIN(N$10:N$88)/N26),50),0)))))</f>
        <v>80</v>
      </c>
      <c r="Q26" s="672"/>
      <c r="R26" s="672"/>
      <c r="S26" s="803" t="s">
        <v>357</v>
      </c>
      <c r="T26" s="736">
        <v>1.1437908496732027E-2</v>
      </c>
      <c r="U26" s="752">
        <v>69</v>
      </c>
      <c r="V26" s="781"/>
      <c r="W26" s="776" t="s">
        <v>138</v>
      </c>
      <c r="X26" s="740">
        <v>80</v>
      </c>
      <c r="AB26" s="828">
        <f t="shared" si="5"/>
        <v>71</v>
      </c>
      <c r="AC26" s="829">
        <f t="shared" si="4"/>
        <v>2</v>
      </c>
    </row>
    <row r="27" spans="2:29" ht="21" thickBot="1" x14ac:dyDescent="0.3">
      <c r="B27" s="16">
        <f t="shared" si="0"/>
        <v>18</v>
      </c>
      <c r="C27" s="106" t="s">
        <v>101</v>
      </c>
      <c r="D27" s="107" t="s">
        <v>102</v>
      </c>
      <c r="E27" s="599" t="str">
        <f t="shared" si="1"/>
        <v>EvenHofstad</v>
      </c>
      <c r="F27" s="192">
        <f>YEAR(I$5)-_xlfn.XLOOKUP(E27,Deltakerliste!E$5:E$98,Deltakerliste!I$5:I$98)</f>
        <v>71</v>
      </c>
      <c r="G27" s="192">
        <f>_xlfn.XLOOKUP(E27,Deltakerliste!E$5:E$98,Deltakerliste!H$5:H$98)</f>
        <v>2</v>
      </c>
      <c r="H27" s="592">
        <f>VLOOKUP(F27,Deltakerliste!P$6:T$84,G27,FALSE)</f>
        <v>1.4609999999999999</v>
      </c>
      <c r="I27" s="86"/>
      <c r="J27" s="86">
        <v>2.7488425925925927E-2</v>
      </c>
      <c r="K27" s="13"/>
      <c r="L27" s="600">
        <f t="shared" si="2"/>
        <v>9.1628086419753094E-3</v>
      </c>
      <c r="M27" s="594">
        <f>IF(L27="Løype",Poengsammendrag!$F$2,IF(L27="Arr",Poengsammendrag!$F$3,IF(L27="Brutt",50,IF(L27="Disk",50,ROUND(MAXA(100*(MIN(L$10:L$88)/L27),50),0)))))</f>
        <v>86</v>
      </c>
      <c r="N27" s="724">
        <f t="shared" si="3"/>
        <v>6.2716007131932306E-3</v>
      </c>
      <c r="O27" s="596">
        <f>IF(N27="Løype",Poengsammendrag!$F$2,IF(N27="Arr",Poengsammendrag!$F$3,IF(N27="Brutt",50,IF(N27="Disk",50,ROUND(MAXA(100*(MIN(N$10:N$88)/N27),50),0)))))</f>
        <v>80</v>
      </c>
      <c r="Q27" s="672"/>
      <c r="R27" s="672"/>
      <c r="S27" s="803" t="s">
        <v>356</v>
      </c>
      <c r="T27" s="736">
        <v>1.1451525054466231E-2</v>
      </c>
      <c r="U27" s="752">
        <v>68</v>
      </c>
      <c r="V27" s="781"/>
      <c r="W27" s="776" t="s">
        <v>101</v>
      </c>
      <c r="X27" s="740">
        <v>80</v>
      </c>
      <c r="AB27" s="828">
        <f t="shared" si="5"/>
        <v>72</v>
      </c>
      <c r="AC27" s="829">
        <f t="shared" si="4"/>
        <v>5</v>
      </c>
    </row>
    <row r="28" spans="2:29" ht="21" customHeight="1" thickBot="1" x14ac:dyDescent="0.3">
      <c r="B28" s="16">
        <f t="shared" si="0"/>
        <v>19</v>
      </c>
      <c r="C28" s="106" t="s">
        <v>142</v>
      </c>
      <c r="D28" s="107" t="s">
        <v>143</v>
      </c>
      <c r="E28" s="599" t="str">
        <f t="shared" si="1"/>
        <v>EgilRepvik</v>
      </c>
      <c r="F28" s="192">
        <f>YEAR(I$5)-_xlfn.XLOOKUP(E28,Deltakerliste!E$5:E$98,Deltakerliste!I$5:I$98)</f>
        <v>79</v>
      </c>
      <c r="G28" s="192">
        <f>_xlfn.XLOOKUP(E28,Deltakerliste!E$5:E$98,Deltakerliste!H$5:H$98)</f>
        <v>2</v>
      </c>
      <c r="H28" s="592">
        <f>VLOOKUP(F28,Deltakerliste!P$6:T$84,G28,FALSE)</f>
        <v>1.8050000000000002</v>
      </c>
      <c r="I28" s="132">
        <v>1.9467592592592592E-2</v>
      </c>
      <c r="J28" s="18"/>
      <c r="K28" s="18"/>
      <c r="L28" s="600">
        <f t="shared" si="2"/>
        <v>1.1451525054466231E-2</v>
      </c>
      <c r="M28" s="594">
        <f>IF(L28="Løype",Poengsammendrag!$F$2,IF(L28="Arr",Poengsammendrag!$F$3,IF(L28="Brutt",50,IF(L28="Disk",50,ROUND(MAXA(100*(MIN(L$10:L$88)/L28),50),0)))))</f>
        <v>68</v>
      </c>
      <c r="N28" s="724">
        <f t="shared" si="3"/>
        <v>6.3443352102305981E-3</v>
      </c>
      <c r="O28" s="596">
        <f>IF(N28="Løype",Poengsammendrag!$F$2,IF(N28="Arr",Poengsammendrag!$F$3,IF(N28="Brutt",50,IF(N28="Disk",50,ROUND(MAXA(100*(MIN(N$10:N$88)/N28),50),0)))))</f>
        <v>79</v>
      </c>
      <c r="Q28" s="672"/>
      <c r="R28" s="672"/>
      <c r="S28" s="803" t="s">
        <v>347</v>
      </c>
      <c r="T28" s="736">
        <v>1.1614923747276689E-2</v>
      </c>
      <c r="U28" s="752">
        <v>67</v>
      </c>
      <c r="V28" s="781"/>
      <c r="W28" s="776" t="s">
        <v>356</v>
      </c>
      <c r="X28" s="740">
        <v>79</v>
      </c>
      <c r="AB28" s="828">
        <f t="shared" si="5"/>
        <v>73</v>
      </c>
      <c r="AC28" s="829">
        <f t="shared" si="4"/>
        <v>2</v>
      </c>
    </row>
    <row r="29" spans="2:29" ht="21" thickBot="1" x14ac:dyDescent="0.3">
      <c r="B29" s="16">
        <f t="shared" si="0"/>
        <v>20</v>
      </c>
      <c r="C29" s="106" t="s">
        <v>78</v>
      </c>
      <c r="D29" s="107" t="s">
        <v>146</v>
      </c>
      <c r="E29" s="599" t="str">
        <f t="shared" si="1"/>
        <v>LeifRøhjell</v>
      </c>
      <c r="F29" s="192">
        <f>YEAR(I$5)-_xlfn.XLOOKUP(E29,Deltakerliste!E$5:E$98,Deltakerliste!I$5:I$98)</f>
        <v>81</v>
      </c>
      <c r="G29" s="192">
        <f>_xlfn.XLOOKUP(E29,Deltakerliste!E$5:E$98,Deltakerliste!H$5:H$98)</f>
        <v>2</v>
      </c>
      <c r="H29" s="592">
        <f>VLOOKUP(F29,Deltakerliste!P$6:T$84,G29,FALSE)</f>
        <v>1.9290000000000003</v>
      </c>
      <c r="I29" s="132">
        <v>2.0810185185185185E-2</v>
      </c>
      <c r="J29" s="18"/>
      <c r="K29" s="18"/>
      <c r="L29" s="600">
        <f t="shared" si="2"/>
        <v>1.224128540305011E-2</v>
      </c>
      <c r="M29" s="594">
        <f>IF(L29="Løype",Poengsammendrag!$F$2,IF(L29="Arr",Poengsammendrag!$F$3,IF(L29="Brutt",50,IF(L29="Disk",50,ROUND(MAXA(100*(MIN(L$10:L$88)/L29),50),0)))))</f>
        <v>64</v>
      </c>
      <c r="N29" s="724">
        <f t="shared" si="3"/>
        <v>6.3459229668481635E-3</v>
      </c>
      <c r="O29" s="596">
        <f>IF(N29="Løype",Poengsammendrag!$F$2,IF(N29="Arr",Poengsammendrag!$F$3,IF(N29="Brutt",50,IF(N29="Disk",50,ROUND(MAXA(100*(MIN(N$10:N$88)/N29),50),0)))))</f>
        <v>79</v>
      </c>
      <c r="Q29" s="672"/>
      <c r="R29" s="672"/>
      <c r="S29" s="803" t="s">
        <v>94</v>
      </c>
      <c r="T29" s="736">
        <v>1.16489651416122E-2</v>
      </c>
      <c r="U29" s="752">
        <v>67</v>
      </c>
      <c r="V29" s="781"/>
      <c r="W29" s="776" t="s">
        <v>337</v>
      </c>
      <c r="X29" s="740">
        <v>79</v>
      </c>
      <c r="AB29" s="828">
        <f t="shared" si="5"/>
        <v>74</v>
      </c>
      <c r="AC29" s="829">
        <f t="shared" si="4"/>
        <v>4</v>
      </c>
    </row>
    <row r="30" spans="2:29" ht="21" thickBot="1" x14ac:dyDescent="0.3">
      <c r="B30" s="16">
        <f t="shared" si="0"/>
        <v>21</v>
      </c>
      <c r="C30" s="106" t="s">
        <v>124</v>
      </c>
      <c r="D30" s="107" t="s">
        <v>125</v>
      </c>
      <c r="E30" s="599" t="str">
        <f t="shared" si="1"/>
        <v>Heidi Midttun</v>
      </c>
      <c r="F30" s="192">
        <f>YEAR(I$5)-_xlfn.XLOOKUP(E30,Deltakerliste!E$5:E$98,Deltakerliste!I$5:I$98)</f>
        <v>70</v>
      </c>
      <c r="G30" s="192">
        <f>_xlfn.XLOOKUP(E30,Deltakerliste!E$5:E$98,Deltakerliste!H$5:H$98)</f>
        <v>4</v>
      </c>
      <c r="H30" s="592">
        <f>VLOOKUP(F30,Deltakerliste!P$6:T$84,G30,FALSE)</f>
        <v>1.9490000000000012</v>
      </c>
      <c r="I30" s="13"/>
      <c r="J30" s="13">
        <v>3.8587962962962963E-2</v>
      </c>
      <c r="K30" s="13"/>
      <c r="L30" s="600">
        <f t="shared" si="2"/>
        <v>1.2862654320987654E-2</v>
      </c>
      <c r="M30" s="594">
        <f>IF(L30="Løype",Poengsammendrag!$F$2,IF(L30="Arr",Poengsammendrag!$F$3,IF(L30="Brutt",50,IF(L30="Disk",50,ROUND(MAXA(100*(MIN(L$10:L$88)/L30),50),0)))))</f>
        <v>61</v>
      </c>
      <c r="N30" s="724">
        <f t="shared" si="3"/>
        <v>6.599617404303564E-3</v>
      </c>
      <c r="O30" s="596">
        <f>IF(N30="Løype",Poengsammendrag!$F$2,IF(N30="Arr",Poengsammendrag!$F$3,IF(N30="Brutt",50,IF(N30="Disk",50,ROUND(MAXA(100*(MIN(N$10:N$88)/N30),50),0)))))</f>
        <v>76</v>
      </c>
      <c r="Q30" s="672"/>
      <c r="R30" s="672"/>
      <c r="S30" s="803" t="s">
        <v>114</v>
      </c>
      <c r="T30" s="736">
        <v>1.1724537037037039E-2</v>
      </c>
      <c r="U30" s="752">
        <v>67</v>
      </c>
      <c r="V30" s="781"/>
      <c r="W30" s="776" t="s">
        <v>124</v>
      </c>
      <c r="X30" s="740">
        <v>76</v>
      </c>
      <c r="AB30" s="828">
        <f t="shared" si="5"/>
        <v>75</v>
      </c>
      <c r="AC30" s="829">
        <f t="shared" si="4"/>
        <v>2</v>
      </c>
    </row>
    <row r="31" spans="2:29" ht="21" customHeight="1" thickBot="1" x14ac:dyDescent="0.3">
      <c r="B31" s="16">
        <f t="shared" si="0"/>
        <v>22</v>
      </c>
      <c r="C31" s="106" t="s">
        <v>163</v>
      </c>
      <c r="D31" s="107" t="s">
        <v>164</v>
      </c>
      <c r="E31" s="599" t="str">
        <f t="shared" si="1"/>
        <v>ArnulfVilmo</v>
      </c>
      <c r="F31" s="192">
        <f>YEAR(I$5)-_xlfn.XLOOKUP(E31,Deltakerliste!E$5:E$98,Deltakerliste!I$5:I$98)</f>
        <v>72</v>
      </c>
      <c r="G31" s="192">
        <f>_xlfn.XLOOKUP(E31,Deltakerliste!E$5:E$98,Deltakerliste!H$5:H$98)</f>
        <v>2</v>
      </c>
      <c r="H31" s="592">
        <f>VLOOKUP(F31,Deltakerliste!P$6:T$84,G31,FALSE)</f>
        <v>1.4969999999999999</v>
      </c>
      <c r="I31" s="18"/>
      <c r="J31" s="132">
        <v>2.9837962962962962E-2</v>
      </c>
      <c r="K31" s="18"/>
      <c r="L31" s="600">
        <f t="shared" si="2"/>
        <v>9.9459876543209879E-3</v>
      </c>
      <c r="M31" s="594">
        <f>IF(L31="Løype",Poengsammendrag!$F$2,IF(L31="Arr",Poengsammendrag!$F$3,IF(L31="Brutt",50,IF(L31="Disk",50,ROUND(MAXA(100*(MIN(L$10:L$88)/L31),50),0)))))</f>
        <v>79</v>
      </c>
      <c r="N31" s="724">
        <f t="shared" si="3"/>
        <v>6.6439463288717358E-3</v>
      </c>
      <c r="O31" s="596">
        <f>IF(N31="Løype",Poengsammendrag!$F$2,IF(N31="Arr",Poengsammendrag!$F$3,IF(N31="Brutt",50,IF(N31="Disk",50,ROUND(MAXA(100*(MIN(N$10:N$88)/N31),50),0)))))</f>
        <v>75</v>
      </c>
      <c r="Q31" s="672"/>
      <c r="R31" s="672"/>
      <c r="S31" s="803" t="s">
        <v>122</v>
      </c>
      <c r="T31" s="736">
        <v>1.1982570806100219E-2</v>
      </c>
      <c r="U31" s="752">
        <v>65</v>
      </c>
      <c r="V31" s="781"/>
      <c r="W31" s="776" t="s">
        <v>163</v>
      </c>
      <c r="X31" s="740">
        <v>75</v>
      </c>
      <c r="AB31" s="828">
        <f t="shared" si="5"/>
        <v>76</v>
      </c>
      <c r="AC31" s="829">
        <f t="shared" si="4"/>
        <v>3</v>
      </c>
    </row>
    <row r="32" spans="2:29" ht="21" customHeight="1" thickBot="1" x14ac:dyDescent="0.3">
      <c r="B32" s="16">
        <f t="shared" si="0"/>
        <v>23</v>
      </c>
      <c r="C32" s="106" t="s">
        <v>90</v>
      </c>
      <c r="D32" s="107" t="s">
        <v>91</v>
      </c>
      <c r="E32" s="599" t="str">
        <f t="shared" si="1"/>
        <v>TorGjermstad</v>
      </c>
      <c r="F32" s="192">
        <f>YEAR(I$5)-_xlfn.XLOOKUP(E32,Deltakerliste!E$5:E$98,Deltakerliste!I$5:I$98)</f>
        <v>75</v>
      </c>
      <c r="G32" s="192">
        <f>_xlfn.XLOOKUP(E32,Deltakerliste!E$5:E$98,Deltakerliste!H$5:H$98)</f>
        <v>2</v>
      </c>
      <c r="H32" s="592">
        <f>VLOOKUP(F32,Deltakerliste!P$6:T$84,G32,FALSE)</f>
        <v>1.605</v>
      </c>
      <c r="I32" s="86">
        <v>1.8171296296296297E-2</v>
      </c>
      <c r="J32" s="86"/>
      <c r="K32" s="13"/>
      <c r="L32" s="600">
        <f t="shared" si="2"/>
        <v>1.0688997821350762E-2</v>
      </c>
      <c r="M32" s="594">
        <f>IF(L32="Løype",Poengsammendrag!$F$2,IF(L32="Arr",Poengsammendrag!$F$3,IF(L32="Brutt",50,IF(L32="Disk",50,ROUND(MAXA(100*(MIN(L$10:L$88)/L32),50),0)))))</f>
        <v>73</v>
      </c>
      <c r="N32" s="724">
        <f t="shared" si="3"/>
        <v>6.6598117266982943E-3</v>
      </c>
      <c r="O32" s="596">
        <f>IF(N32="Løype",Poengsammendrag!$F$2,IF(N32="Arr",Poengsammendrag!$F$3,IF(N32="Brutt",50,IF(N32="Disk",50,ROUND(MAXA(100*(MIN(N$10:N$88)/N32),50),0)))))</f>
        <v>75</v>
      </c>
      <c r="S32" s="803" t="s">
        <v>309</v>
      </c>
      <c r="T32" s="736">
        <v>1.2057461873638344E-2</v>
      </c>
      <c r="U32" s="752">
        <v>65</v>
      </c>
      <c r="V32" s="781"/>
      <c r="W32" s="776" t="s">
        <v>90</v>
      </c>
      <c r="X32" s="740">
        <v>75</v>
      </c>
      <c r="AB32" s="828">
        <f t="shared" si="5"/>
        <v>77</v>
      </c>
      <c r="AC32" s="829">
        <f t="shared" si="4"/>
        <v>4</v>
      </c>
    </row>
    <row r="33" spans="2:29" ht="21" customHeight="1" thickBot="1" x14ac:dyDescent="0.3">
      <c r="B33" s="16">
        <f t="shared" si="0"/>
        <v>24</v>
      </c>
      <c r="C33" s="106" t="s">
        <v>309</v>
      </c>
      <c r="D33" s="107" t="s">
        <v>310</v>
      </c>
      <c r="E33" s="599" t="str">
        <f t="shared" si="1"/>
        <v>VigdisHeimly</v>
      </c>
      <c r="F33" s="192">
        <f>YEAR(I$5)-_xlfn.XLOOKUP(E33,Deltakerliste!E$5:E$98,Deltakerliste!I$5:I$98)</f>
        <v>66</v>
      </c>
      <c r="G33" s="192">
        <f>_xlfn.XLOOKUP(E33,Deltakerliste!E$5:E$98,Deltakerliste!H$5:H$98)</f>
        <v>4</v>
      </c>
      <c r="H33" s="592">
        <f>VLOOKUP(F33,Deltakerliste!P$6:T$84,G33,FALSE)</f>
        <v>1.8066000000000009</v>
      </c>
      <c r="I33" s="86">
        <v>2.0497685185185185E-2</v>
      </c>
      <c r="J33" s="86"/>
      <c r="K33" s="17"/>
      <c r="L33" s="600">
        <f t="shared" si="2"/>
        <v>1.2057461873638344E-2</v>
      </c>
      <c r="M33" s="594">
        <f>IF(L33="Løype",Poengsammendrag!$F$2,IF(L33="Arr",Poengsammendrag!$F$3,IF(L33="Brutt",50,IF(L33="Disk",50,ROUND(MAXA(100*(MIN(L$10:L$88)/L33),50),0)))))</f>
        <v>65</v>
      </c>
      <c r="N33" s="724">
        <f t="shared" si="3"/>
        <v>6.674118163200674E-3</v>
      </c>
      <c r="O33" s="596">
        <f>IF(N33="Løype",Poengsammendrag!$F$2,IF(N33="Arr",Poengsammendrag!$F$3,IF(N33="Brutt",50,IF(N33="Disk",50,ROUND(MAXA(100*(MIN(N$10:N$88)/N33),50),0)))))</f>
        <v>75</v>
      </c>
      <c r="S33" s="803" t="s">
        <v>153</v>
      </c>
      <c r="T33" s="736">
        <v>1.2084694989106755E-2</v>
      </c>
      <c r="U33" s="752">
        <v>65</v>
      </c>
      <c r="V33" s="781"/>
      <c r="W33" s="776" t="s">
        <v>309</v>
      </c>
      <c r="X33" s="740">
        <v>75</v>
      </c>
      <c r="AB33" s="828">
        <f t="shared" si="5"/>
        <v>78</v>
      </c>
      <c r="AC33" s="829">
        <f t="shared" si="4"/>
        <v>2</v>
      </c>
    </row>
    <row r="34" spans="2:29" ht="21" customHeight="1" thickBot="1" x14ac:dyDescent="0.3">
      <c r="B34" s="16">
        <f t="shared" si="0"/>
        <v>25</v>
      </c>
      <c r="C34" s="106" t="s">
        <v>63</v>
      </c>
      <c r="D34" s="107" t="s">
        <v>98</v>
      </c>
      <c r="E34" s="599" t="str">
        <f t="shared" si="1"/>
        <v>ToreHeggem</v>
      </c>
      <c r="F34" s="192">
        <f>YEAR(I$5)-_xlfn.XLOOKUP(E34,Deltakerliste!E$5:E$98,Deltakerliste!I$5:I$98)</f>
        <v>72</v>
      </c>
      <c r="G34" s="192">
        <f>_xlfn.XLOOKUP(E34,Deltakerliste!E$5:E$98,Deltakerliste!H$5:H$98)</f>
        <v>2</v>
      </c>
      <c r="H34" s="592">
        <f>VLOOKUP(F34,Deltakerliste!P$6:T$84,G34,FALSE)</f>
        <v>1.4969999999999999</v>
      </c>
      <c r="I34" s="86"/>
      <c r="J34" s="86">
        <v>3.0023148148148149E-2</v>
      </c>
      <c r="K34" s="13"/>
      <c r="L34" s="600">
        <f t="shared" si="2"/>
        <v>1.0007716049382716E-2</v>
      </c>
      <c r="M34" s="594">
        <f>IF(L34="Løype",Poengsammendrag!$F$2,IF(L34="Arr",Poengsammendrag!$F$3,IF(L34="Brutt",50,IF(L34="Disk",50,ROUND(MAXA(100*(MIN(L$10:L$88)/L34),50),0)))))</f>
        <v>78</v>
      </c>
      <c r="N34" s="724">
        <f t="shared" si="3"/>
        <v>6.6851810617119022E-3</v>
      </c>
      <c r="O34" s="596">
        <f>IF(N34="Løype",Poengsammendrag!$F$2,IF(N34="Arr",Poengsammendrag!$F$3,IF(N34="Brutt",50,IF(N34="Disk",50,ROUND(MAXA(100*(MIN(N$10:N$88)/N34),50),0)))))</f>
        <v>75</v>
      </c>
      <c r="S34" s="803" t="s">
        <v>337</v>
      </c>
      <c r="T34" s="736">
        <v>1.224128540305011E-2</v>
      </c>
      <c r="U34" s="752">
        <v>64</v>
      </c>
      <c r="V34" s="781"/>
      <c r="W34" s="776" t="s">
        <v>340</v>
      </c>
      <c r="X34" s="740">
        <v>75</v>
      </c>
      <c r="AB34" s="828">
        <f t="shared" si="5"/>
        <v>79</v>
      </c>
      <c r="AC34" s="829">
        <f t="shared" si="4"/>
        <v>2</v>
      </c>
    </row>
    <row r="35" spans="2:29" ht="21" customHeight="1" thickBot="1" x14ac:dyDescent="0.3">
      <c r="B35" s="16">
        <f t="shared" si="0"/>
        <v>26</v>
      </c>
      <c r="C35" s="106" t="s">
        <v>251</v>
      </c>
      <c r="D35" s="107" t="s">
        <v>252</v>
      </c>
      <c r="E35" s="599" t="str">
        <f t="shared" si="1"/>
        <v>OttarKristiansen</v>
      </c>
      <c r="F35" s="192">
        <f>YEAR(I$5)-_xlfn.XLOOKUP(E35,Deltakerliste!E$5:E$98,Deltakerliste!I$5:I$98)</f>
        <v>76</v>
      </c>
      <c r="G35" s="192">
        <f>_xlfn.XLOOKUP(E35,Deltakerliste!E$5:E$98,Deltakerliste!H$5:H$98)</f>
        <v>2</v>
      </c>
      <c r="H35" s="592">
        <f>VLOOKUP(F35,Deltakerliste!P$6:T$84,G35,FALSE)</f>
        <v>1.655</v>
      </c>
      <c r="I35" s="86"/>
      <c r="J35" s="86">
        <v>3.3368055555555554E-2</v>
      </c>
      <c r="K35" s="17"/>
      <c r="L35" s="600">
        <f t="shared" si="2"/>
        <v>1.1122685185185185E-2</v>
      </c>
      <c r="M35" s="594">
        <f>IF(L35="Løype",Poengsammendrag!$F$2,IF(L35="Arr",Poengsammendrag!$F$3,IF(L35="Brutt",50,IF(L35="Disk",50,ROUND(MAXA(100*(MIN(L$10:L$88)/L35),50),0)))))</f>
        <v>70</v>
      </c>
      <c r="N35" s="724">
        <f t="shared" si="3"/>
        <v>6.720655701018239E-3</v>
      </c>
      <c r="O35" s="596">
        <f>IF(N35="Løype",Poengsammendrag!$F$2,IF(N35="Arr",Poengsammendrag!$F$3,IF(N35="Brutt",50,IF(N35="Disk",50,ROUND(MAXA(100*(MIN(N$10:N$88)/N35),50),0)))))</f>
        <v>74</v>
      </c>
      <c r="S35" s="803" t="s">
        <v>68</v>
      </c>
      <c r="T35" s="736">
        <v>1.2380401234567901E-2</v>
      </c>
      <c r="U35" s="752">
        <v>63</v>
      </c>
      <c r="V35" s="781"/>
      <c r="W35" s="776" t="s">
        <v>251</v>
      </c>
      <c r="X35" s="740">
        <v>74</v>
      </c>
      <c r="AB35" s="828">
        <f t="shared" si="5"/>
        <v>80</v>
      </c>
      <c r="AC35" s="829">
        <f t="shared" si="4"/>
        <v>2</v>
      </c>
    </row>
    <row r="36" spans="2:29" ht="21" thickBot="1" x14ac:dyDescent="0.3">
      <c r="B36" s="16">
        <f t="shared" si="0"/>
        <v>27</v>
      </c>
      <c r="C36" s="106" t="s">
        <v>299</v>
      </c>
      <c r="D36" s="107" t="s">
        <v>300</v>
      </c>
      <c r="E36" s="599" t="str">
        <f t="shared" si="1"/>
        <v>OlavKvittem</v>
      </c>
      <c r="F36" s="192">
        <f>YEAR(I$5)-_xlfn.XLOOKUP(E36,Deltakerliste!E$5:E$98,Deltakerliste!I$5:I$98)</f>
        <v>70</v>
      </c>
      <c r="G36" s="192">
        <f>_xlfn.XLOOKUP(E36,Deltakerliste!E$5:E$98,Deltakerliste!H$5:H$98)</f>
        <v>2</v>
      </c>
      <c r="H36" s="592">
        <f>VLOOKUP(F36,Deltakerliste!P$6:T$84,G36,FALSE)</f>
        <v>1.4249999999999998</v>
      </c>
      <c r="I36" s="86"/>
      <c r="J36" s="86">
        <v>2.9166666666666667E-2</v>
      </c>
      <c r="K36" s="13" t="s">
        <v>371</v>
      </c>
      <c r="L36" s="600">
        <f t="shared" si="2"/>
        <v>9.7222222222222224E-3</v>
      </c>
      <c r="M36" s="594">
        <f>IF(L36="Løype",Poengsammendrag!$F$2,IF(L36="Arr",Poengsammendrag!$F$3,IF(L36="Brutt",50,IF(L36="Disk",50,ROUND(MAXA(100*(MIN(L$10:L$88)/L36),50),0)))))</f>
        <v>81</v>
      </c>
      <c r="N36" s="724">
        <f t="shared" si="3"/>
        <v>6.8226120857699819E-3</v>
      </c>
      <c r="O36" s="596">
        <f>IF(N36="Løype",Poengsammendrag!$F$2,IF(N36="Arr",Poengsammendrag!$F$3,IF(N36="Brutt",50,IF(N36="Disk",50,ROUND(MAXA(100*(MIN(N$10:N$88)/N36),50),0)))))</f>
        <v>73</v>
      </c>
      <c r="S36" s="803" t="s">
        <v>161</v>
      </c>
      <c r="T36" s="736">
        <v>1.2568082788671024E-2</v>
      </c>
      <c r="U36" s="752">
        <v>62</v>
      </c>
      <c r="V36" s="781"/>
      <c r="W36" s="776" t="s">
        <v>299</v>
      </c>
      <c r="X36" s="740">
        <v>73</v>
      </c>
      <c r="AB36" s="828">
        <f t="shared" si="5"/>
        <v>81</v>
      </c>
      <c r="AC36" s="829">
        <f t="shared" si="4"/>
        <v>2</v>
      </c>
    </row>
    <row r="37" spans="2:29" ht="21" customHeight="1" thickBot="1" x14ac:dyDescent="0.3">
      <c r="B37" s="16">
        <f t="shared" si="0"/>
        <v>28</v>
      </c>
      <c r="C37" s="106" t="s">
        <v>94</v>
      </c>
      <c r="D37" s="107" t="s">
        <v>95</v>
      </c>
      <c r="E37" s="599" t="str">
        <f t="shared" si="1"/>
        <v>TerjeHanssen</v>
      </c>
      <c r="F37" s="192">
        <f>YEAR(I$5)-_xlfn.XLOOKUP(E37,Deltakerliste!E$5:E$98,Deltakerliste!I$5:I$98)</f>
        <v>77</v>
      </c>
      <c r="G37" s="192">
        <f>_xlfn.XLOOKUP(E37,Deltakerliste!E$5:E$98,Deltakerliste!H$5:H$98)</f>
        <v>2</v>
      </c>
      <c r="H37" s="592">
        <f>VLOOKUP(F37,Deltakerliste!P$6:T$84,G37,FALSE)</f>
        <v>1.7050000000000001</v>
      </c>
      <c r="I37" s="86">
        <v>1.9803240740740739E-2</v>
      </c>
      <c r="J37" s="86"/>
      <c r="K37" s="17"/>
      <c r="L37" s="600">
        <f t="shared" si="2"/>
        <v>1.16489651416122E-2</v>
      </c>
      <c r="M37" s="594">
        <f>IF(L37="Løype",Poengsammendrag!$F$2,IF(L37="Arr",Poengsammendrag!$F$3,IF(L37="Brutt",50,IF(L37="Disk",50,ROUND(MAXA(100*(MIN(L$10:L$88)/L37),50),0)))))</f>
        <v>67</v>
      </c>
      <c r="N37" s="724">
        <f t="shared" si="3"/>
        <v>6.8322376197138997E-3</v>
      </c>
      <c r="O37" s="596">
        <f>IF(N37="Løype",Poengsammendrag!$F$2,IF(N37="Arr",Poengsammendrag!$F$3,IF(N37="Brutt",50,IF(N37="Disk",50,ROUND(MAXA(100*(MIN(N$10:N$88)/N37),50),0)))))</f>
        <v>73</v>
      </c>
      <c r="S37" s="803" t="s">
        <v>138</v>
      </c>
      <c r="T37" s="736">
        <v>1.277006172839506E-2</v>
      </c>
      <c r="U37" s="752">
        <v>61</v>
      </c>
      <c r="V37" s="781"/>
      <c r="W37" s="776" t="s">
        <v>94</v>
      </c>
      <c r="X37" s="740">
        <v>73</v>
      </c>
      <c r="AB37" s="828">
        <f t="shared" si="5"/>
        <v>82</v>
      </c>
      <c r="AC37" s="829">
        <f t="shared" si="4"/>
        <v>1</v>
      </c>
    </row>
    <row r="38" spans="2:29" ht="21" customHeight="1" thickBot="1" x14ac:dyDescent="0.3">
      <c r="B38" s="16">
        <f t="shared" si="0"/>
        <v>29</v>
      </c>
      <c r="C38" s="106" t="s">
        <v>63</v>
      </c>
      <c r="D38" s="107" t="s">
        <v>336</v>
      </c>
      <c r="E38" s="599" t="str">
        <f t="shared" si="1"/>
        <v>ToreFornes</v>
      </c>
      <c r="F38" s="192">
        <f>YEAR(I$5)-_xlfn.XLOOKUP(E38,Deltakerliste!E$5:E$98,Deltakerliste!I$5:I$98)</f>
        <v>66</v>
      </c>
      <c r="G38" s="192">
        <f>_xlfn.XLOOKUP(E38,Deltakerliste!E$5:E$98,Deltakerliste!H$5:H$98)</f>
        <v>2</v>
      </c>
      <c r="H38" s="592">
        <f>VLOOKUP(F38,Deltakerliste!P$6:T$84,G38,FALSE)</f>
        <v>1.3209999999999997</v>
      </c>
      <c r="I38" s="86"/>
      <c r="J38" s="86">
        <v>2.9201388888888888E-2</v>
      </c>
      <c r="K38" s="13"/>
      <c r="L38" s="600">
        <f t="shared" si="2"/>
        <v>9.7337962962962959E-3</v>
      </c>
      <c r="M38" s="594">
        <f>IF(L38="Løype",Poengsammendrag!$F$2,IF(L38="Arr",Poengsammendrag!$F$3,IF(L38="Brutt",50,IF(L38="Disk",50,ROUND(MAXA(100*(MIN(L$10:L$88)/L38),50),0)))))</f>
        <v>80</v>
      </c>
      <c r="N38" s="724">
        <f t="shared" si="3"/>
        <v>7.3685059018140028E-3</v>
      </c>
      <c r="O38" s="596">
        <f>IF(N38="Løype",Poengsammendrag!$F$2,IF(N38="Arr",Poengsammendrag!$F$3,IF(N38="Brutt",50,IF(N38="Disk",50,ROUND(MAXA(100*(MIN(N$10:N$88)/N38),50),0)))))</f>
        <v>68</v>
      </c>
      <c r="S38" s="803" t="s">
        <v>124</v>
      </c>
      <c r="T38" s="736">
        <v>1.2862654320987654E-2</v>
      </c>
      <c r="U38" s="752">
        <v>61</v>
      </c>
      <c r="V38" s="781"/>
      <c r="W38" s="776" t="s">
        <v>346</v>
      </c>
      <c r="X38" s="740">
        <v>68</v>
      </c>
      <c r="AB38" s="828">
        <f t="shared" si="5"/>
        <v>83</v>
      </c>
      <c r="AC38" s="829">
        <f t="shared" si="4"/>
        <v>1</v>
      </c>
    </row>
    <row r="39" spans="2:29" ht="21" customHeight="1" thickBot="1" x14ac:dyDescent="0.3">
      <c r="B39" s="16">
        <f t="shared" si="0"/>
        <v>30</v>
      </c>
      <c r="C39" s="106" t="s">
        <v>161</v>
      </c>
      <c r="D39" s="107" t="s">
        <v>162</v>
      </c>
      <c r="E39" s="599" t="str">
        <f t="shared" si="1"/>
        <v>Nils OlavVennevik</v>
      </c>
      <c r="F39" s="192">
        <f>YEAR(I$5)-_xlfn.XLOOKUP(E39,Deltakerliste!E$5:E$98,Deltakerliste!I$5:I$98)</f>
        <v>77</v>
      </c>
      <c r="G39" s="192">
        <f>_xlfn.XLOOKUP(E39,Deltakerliste!E$5:E$98,Deltakerliste!H$5:H$98)</f>
        <v>2</v>
      </c>
      <c r="H39" s="592">
        <f>VLOOKUP(F39,Deltakerliste!P$6:T$84,G39,FALSE)</f>
        <v>1.7050000000000001</v>
      </c>
      <c r="I39" s="132">
        <v>2.1365740740740741E-2</v>
      </c>
      <c r="J39" s="18"/>
      <c r="K39" s="18"/>
      <c r="L39" s="600">
        <f t="shared" si="2"/>
        <v>1.2568082788671024E-2</v>
      </c>
      <c r="M39" s="594">
        <f>IF(L39="Løype",Poengsammendrag!$F$2,IF(L39="Arr",Poengsammendrag!$F$3,IF(L39="Brutt",50,IF(L39="Disk",50,ROUND(MAXA(100*(MIN(L$10:L$88)/L39),50),0)))))</f>
        <v>62</v>
      </c>
      <c r="N39" s="724">
        <f t="shared" si="3"/>
        <v>7.3713095534727411E-3</v>
      </c>
      <c r="O39" s="596">
        <f>IF(N39="Løype",Poengsammendrag!$F$2,IF(N39="Arr",Poengsammendrag!$F$3,IF(N39="Brutt",50,IF(N39="Disk",50,ROUND(MAXA(100*(MIN(N$10:N$88)/N39),50),0)))))</f>
        <v>68</v>
      </c>
      <c r="S39" s="803" t="s">
        <v>349</v>
      </c>
      <c r="T39" s="736">
        <v>1.3671023965141613E-2</v>
      </c>
      <c r="U39" s="752">
        <v>57</v>
      </c>
      <c r="V39" s="781"/>
      <c r="W39" s="776" t="s">
        <v>161</v>
      </c>
      <c r="X39" s="740">
        <v>68</v>
      </c>
      <c r="AB39" s="828">
        <f t="shared" si="5"/>
        <v>84</v>
      </c>
      <c r="AC39" s="829">
        <f t="shared" si="4"/>
        <v>0</v>
      </c>
    </row>
    <row r="40" spans="2:29" ht="21" thickBot="1" x14ac:dyDescent="0.3">
      <c r="B40" s="16">
        <f t="shared" si="0"/>
        <v>31</v>
      </c>
      <c r="C40" s="106" t="s">
        <v>72</v>
      </c>
      <c r="D40" s="107" t="s">
        <v>139</v>
      </c>
      <c r="E40" s="599" t="str">
        <f t="shared" si="1"/>
        <v>KåreOnsøyen</v>
      </c>
      <c r="F40" s="192">
        <f>YEAR(I$5)-_xlfn.XLOOKUP(E40,Deltakerliste!E$5:E$98,Deltakerliste!I$5:I$98)</f>
        <v>77</v>
      </c>
      <c r="G40" s="192">
        <f>_xlfn.XLOOKUP(E40,Deltakerliste!E$5:E$98,Deltakerliste!H$5:H$98)</f>
        <v>2</v>
      </c>
      <c r="H40" s="592">
        <f>VLOOKUP(F40,Deltakerliste!P$6:T$84,G40,FALSE)</f>
        <v>1.7050000000000001</v>
      </c>
      <c r="I40" s="13">
        <v>2.3240740740740742E-2</v>
      </c>
      <c r="J40" s="13"/>
      <c r="K40" s="13"/>
      <c r="L40" s="600">
        <f t="shared" si="2"/>
        <v>1.3671023965141613E-2</v>
      </c>
      <c r="M40" s="594">
        <f>IF(L40="Løype",Poengsammendrag!$F$2,IF(L40="Arr",Poengsammendrag!$F$3,IF(L40="Brutt",50,IF(L40="Disk",50,ROUND(MAXA(100*(MIN(L$10:L$88)/L40),50),0)))))</f>
        <v>57</v>
      </c>
      <c r="N40" s="724">
        <f t="shared" si="3"/>
        <v>8.0181958739833498E-3</v>
      </c>
      <c r="O40" s="596">
        <f>IF(N40="Løype",Poengsammendrag!$F$2,IF(N40="Arr",Poengsammendrag!$F$3,IF(N40="Brutt",50,IF(N40="Disk",50,ROUND(MAXA(100*(MIN(N$10:N$88)/N40),50),0)))))</f>
        <v>62</v>
      </c>
      <c r="S40" s="803" t="s">
        <v>96</v>
      </c>
      <c r="T40" s="736">
        <v>1.3875272331154685E-2</v>
      </c>
      <c r="U40" s="752">
        <v>56</v>
      </c>
      <c r="V40" s="781"/>
      <c r="W40" s="776" t="s">
        <v>349</v>
      </c>
      <c r="X40" s="740">
        <v>62</v>
      </c>
      <c r="AB40" s="828">
        <f t="shared" si="5"/>
        <v>85</v>
      </c>
      <c r="AC40" s="829">
        <f t="shared" si="4"/>
        <v>1</v>
      </c>
    </row>
    <row r="41" spans="2:29" ht="21" thickBot="1" x14ac:dyDescent="0.3">
      <c r="B41" s="16">
        <f t="shared" si="0"/>
        <v>32</v>
      </c>
      <c r="C41" s="106" t="s">
        <v>68</v>
      </c>
      <c r="D41" s="107" t="s">
        <v>69</v>
      </c>
      <c r="E41" s="599" t="str">
        <f t="shared" si="1"/>
        <v>JanBøhle</v>
      </c>
      <c r="F41" s="192">
        <f>YEAR(I$5)-_xlfn.XLOOKUP(E41,Deltakerliste!E$5:E$98,Deltakerliste!I$5:I$98)</f>
        <v>73</v>
      </c>
      <c r="G41" s="192">
        <f>_xlfn.XLOOKUP(E41,Deltakerliste!E$5:E$98,Deltakerliste!H$5:H$98)</f>
        <v>2</v>
      </c>
      <c r="H41" s="592">
        <f>VLOOKUP(F41,Deltakerliste!P$6:T$84,G41,FALSE)</f>
        <v>1.5329999999999999</v>
      </c>
      <c r="I41" s="86"/>
      <c r="J41" s="86">
        <v>3.7141203703703704E-2</v>
      </c>
      <c r="K41" s="13"/>
      <c r="L41" s="600">
        <f t="shared" si="2"/>
        <v>1.2380401234567901E-2</v>
      </c>
      <c r="M41" s="594">
        <f>IF(L41="Løype",Poengsammendrag!$F$2,IF(L41="Arr",Poengsammendrag!$F$3,IF(L41="Brutt",50,IF(L41="Disk",50,ROUND(MAXA(100*(MIN(L$10:L$88)/L41),50),0)))))</f>
        <v>63</v>
      </c>
      <c r="N41" s="724">
        <f t="shared" si="3"/>
        <v>8.0759303552302032E-3</v>
      </c>
      <c r="O41" s="596">
        <f>IF(N41="Løype",Poengsammendrag!$F$2,IF(N41="Arr",Poengsammendrag!$F$3,IF(N41="Brutt",50,IF(N41="Disk",50,ROUND(MAXA(100*(MIN(N$10:N$88)/N41),50),0)))))</f>
        <v>62</v>
      </c>
      <c r="S41" s="803" t="s">
        <v>315</v>
      </c>
      <c r="T41" s="736">
        <v>1.3929738562091504E-2</v>
      </c>
      <c r="U41" s="752">
        <v>56</v>
      </c>
      <c r="V41" s="781"/>
      <c r="W41" s="776" t="s">
        <v>68</v>
      </c>
      <c r="X41" s="740">
        <v>62</v>
      </c>
      <c r="AB41" s="828">
        <f t="shared" si="5"/>
        <v>86</v>
      </c>
      <c r="AC41" s="829">
        <f t="shared" si="4"/>
        <v>2</v>
      </c>
    </row>
    <row r="42" spans="2:29" ht="21" customHeight="1" thickBot="1" x14ac:dyDescent="0.3">
      <c r="B42" s="16">
        <f t="shared" ref="B42:B73" si="6">B41+1</f>
        <v>33</v>
      </c>
      <c r="C42" s="106" t="s">
        <v>108</v>
      </c>
      <c r="D42" s="107" t="s">
        <v>109</v>
      </c>
      <c r="E42" s="599" t="str">
        <f t="shared" ref="E42:E73" si="7">_xlfn.CONCAT(C42:D42)</f>
        <v>Finn FayeKnudsen</v>
      </c>
      <c r="F42" s="192">
        <f>YEAR(I$5)-_xlfn.XLOOKUP(E42,Deltakerliste!E$5:E$98,Deltakerliste!I$5:I$98)</f>
        <v>83</v>
      </c>
      <c r="G42" s="192">
        <f>_xlfn.XLOOKUP(E42,Deltakerliste!E$5:E$98,Deltakerliste!H$5:H$98)</f>
        <v>2</v>
      </c>
      <c r="H42" s="592">
        <f>VLOOKUP(F42,Deltakerliste!P$6:T$84,G42,FALSE)</f>
        <v>2.077</v>
      </c>
      <c r="I42" s="86">
        <v>2.9513888888888888E-2</v>
      </c>
      <c r="J42" s="86"/>
      <c r="K42" s="13"/>
      <c r="L42" s="600">
        <f t="shared" si="2"/>
        <v>1.7361111111111112E-2</v>
      </c>
      <c r="M42" s="594">
        <f>IF(L42="Løype",Poengsammendrag!$F$2,IF(L42="Arr",Poengsammendrag!$F$3,IF(L42="Brutt",50,IF(L42="Disk",50,ROUND(MAXA(100*(MIN(L$10:L$88)/L42),50),0)))))</f>
        <v>50</v>
      </c>
      <c r="N42" s="724">
        <f t="shared" si="3"/>
        <v>8.3587439148344305E-3</v>
      </c>
      <c r="O42" s="596">
        <f>IF(N42="Løype",Poengsammendrag!$F$2,IF(N42="Arr",Poengsammendrag!$F$3,IF(N42="Brutt",50,IF(N42="Disk",50,ROUND(MAXA(100*(MIN(N$10:N$88)/N42),50),0)))))</f>
        <v>60</v>
      </c>
      <c r="S42" s="803" t="s">
        <v>130</v>
      </c>
      <c r="T42" s="796">
        <v>1.5019063180827887E-2</v>
      </c>
      <c r="U42" s="765">
        <v>52</v>
      </c>
      <c r="V42" s="782"/>
      <c r="W42" s="777" t="s">
        <v>108</v>
      </c>
      <c r="X42" s="762">
        <v>60</v>
      </c>
      <c r="AB42" s="828">
        <f t="shared" si="5"/>
        <v>87</v>
      </c>
      <c r="AC42" s="829">
        <f t="shared" si="4"/>
        <v>0</v>
      </c>
    </row>
    <row r="43" spans="2:29" ht="21" thickBot="1" x14ac:dyDescent="0.3">
      <c r="B43" s="16">
        <f t="shared" si="6"/>
        <v>34</v>
      </c>
      <c r="C43" s="106" t="s">
        <v>130</v>
      </c>
      <c r="D43" s="107" t="s">
        <v>131</v>
      </c>
      <c r="E43" s="599" t="str">
        <f t="shared" si="7"/>
        <v>AtleMørk</v>
      </c>
      <c r="F43" s="192">
        <f>YEAR(I$5)-_xlfn.XLOOKUP(E43,Deltakerliste!E$5:E$98,Deltakerliste!I$5:I$98)</f>
        <v>76</v>
      </c>
      <c r="G43" s="192">
        <f>_xlfn.XLOOKUP(E43,Deltakerliste!E$5:E$98,Deltakerliste!H$5:H$98)</f>
        <v>2</v>
      </c>
      <c r="H43" s="592">
        <f>VLOOKUP(F43,Deltakerliste!P$6:T$84,G43,FALSE)</f>
        <v>1.655</v>
      </c>
      <c r="I43" s="132">
        <v>2.5532407407407406E-2</v>
      </c>
      <c r="J43" s="132"/>
      <c r="K43" s="132"/>
      <c r="L43" s="600">
        <f t="shared" si="2"/>
        <v>1.5019063180827887E-2</v>
      </c>
      <c r="M43" s="594">
        <f>IF(L43="Løype",Poengsammendrag!$F$2,IF(L43="Arr",Poengsammendrag!$F$3,IF(L43="Brutt",50,IF(L43="Disk",50,ROUND(MAXA(100*(MIN(L$10:L$88)/L43),50),0)))))</f>
        <v>52</v>
      </c>
      <c r="N43" s="724">
        <f t="shared" si="3"/>
        <v>9.0749626470259127E-3</v>
      </c>
      <c r="O43" s="596">
        <f>IF(N43="Løype",Poengsammendrag!$F$2,IF(N43="Arr",Poengsammendrag!$F$3,IF(N43="Brutt",50,IF(N43="Disk",50,ROUND(MAXA(100*(MIN(N$10:N$88)/N43),50),0)))))</f>
        <v>55</v>
      </c>
      <c r="S43" s="803" t="s">
        <v>108</v>
      </c>
      <c r="T43" s="797">
        <v>1.7361111111111112E-2</v>
      </c>
      <c r="U43" s="770">
        <v>50</v>
      </c>
      <c r="V43" s="778"/>
      <c r="W43" s="783" t="s">
        <v>130</v>
      </c>
      <c r="X43" s="740">
        <v>55</v>
      </c>
      <c r="AB43" s="828">
        <f t="shared" si="5"/>
        <v>88</v>
      </c>
      <c r="AC43" s="829">
        <f t="shared" si="4"/>
        <v>0</v>
      </c>
    </row>
    <row r="44" spans="2:29" ht="21" customHeight="1" thickBot="1" x14ac:dyDescent="0.3">
      <c r="B44" s="16">
        <f t="shared" si="6"/>
        <v>35</v>
      </c>
      <c r="C44" s="106" t="s">
        <v>248</v>
      </c>
      <c r="D44" s="107" t="s">
        <v>249</v>
      </c>
      <c r="E44" s="599" t="str">
        <f t="shared" si="7"/>
        <v>ErikLund</v>
      </c>
      <c r="F44" s="192">
        <f>YEAR(I$5)-_xlfn.XLOOKUP(E44,Deltakerliste!E$5:E$98,Deltakerliste!I$5:I$98)</f>
        <v>78</v>
      </c>
      <c r="G44" s="192">
        <f>_xlfn.XLOOKUP(E44,Deltakerliste!E$5:E$98,Deltakerliste!H$5:H$98)</f>
        <v>2</v>
      </c>
      <c r="H44" s="592">
        <f>VLOOKUP(F44,Deltakerliste!P$6:T$84,G44,FALSE)</f>
        <v>1.7550000000000001</v>
      </c>
      <c r="I44" s="13">
        <v>3.0844907407407408E-2</v>
      </c>
      <c r="J44" s="13"/>
      <c r="K44" s="17"/>
      <c r="L44" s="600">
        <f t="shared" si="2"/>
        <v>1.8144063180827886E-2</v>
      </c>
      <c r="M44" s="594">
        <f>IF(L44="Løype",Poengsammendrag!$F$2,IF(L44="Arr",Poengsammendrag!$F$3,IF(L44="Brutt",50,IF(L44="Disk",50,ROUND(MAXA(100*(MIN(L$10:L$88)/L44),50),0)))))</f>
        <v>50</v>
      </c>
      <c r="N44" s="724">
        <f t="shared" si="3"/>
        <v>1.0338497538933268E-2</v>
      </c>
      <c r="O44" s="596">
        <f>IF(N44="Løype",Poengsammendrag!$F$2,IF(N44="Arr",Poengsammendrag!$F$3,IF(N44="Brutt",50,IF(N44="Disk",50,ROUND(MAXA(100*(MIN(N$10:N$88)/N44),50),0)))))</f>
        <v>50</v>
      </c>
      <c r="S44" s="803" t="s">
        <v>263</v>
      </c>
      <c r="T44" s="797">
        <v>1.786492374727669E-2</v>
      </c>
      <c r="U44" s="770">
        <v>50</v>
      </c>
      <c r="V44" s="772"/>
      <c r="W44" s="783" t="s">
        <v>374</v>
      </c>
      <c r="X44" s="740">
        <v>50</v>
      </c>
      <c r="AB44" s="828">
        <f t="shared" si="5"/>
        <v>89</v>
      </c>
      <c r="AC44" s="829">
        <f t="shared" si="4"/>
        <v>0</v>
      </c>
    </row>
    <row r="45" spans="2:29" ht="21" thickBot="1" x14ac:dyDescent="0.3">
      <c r="B45" s="16">
        <f t="shared" si="6"/>
        <v>36</v>
      </c>
      <c r="C45" s="106" t="s">
        <v>60</v>
      </c>
      <c r="D45" s="107" t="s">
        <v>372</v>
      </c>
      <c r="E45" s="599" t="str">
        <f t="shared" si="7"/>
        <v>JosteinGrepstad</v>
      </c>
      <c r="F45" s="192">
        <f>YEAR(I$5)-_xlfn.XLOOKUP(E45,Deltakerliste!E$5:E$98,Deltakerliste!I$5:I$98)</f>
        <v>74</v>
      </c>
      <c r="G45" s="192">
        <f>_xlfn.XLOOKUP(E45,Deltakerliste!E$5:E$98,Deltakerliste!H$5:H$98)</f>
        <v>2</v>
      </c>
      <c r="H45" s="592">
        <f>VLOOKUP(F45,Deltakerliste!P$6:T$84,G45,FALSE)</f>
        <v>1.569</v>
      </c>
      <c r="I45" s="14">
        <v>3.1354166666666669E-2</v>
      </c>
      <c r="J45" s="14"/>
      <c r="K45" s="18"/>
      <c r="L45" s="600">
        <f t="shared" si="2"/>
        <v>1.8443627450980393E-2</v>
      </c>
      <c r="M45" s="594">
        <f>IF(L45="Løype",Poengsammendrag!$F$2,IF(L45="Arr",Poengsammendrag!$F$3,IF(L45="Brutt",50,IF(L45="Disk",50,ROUND(MAXA(100*(MIN(L$10:L$88)/L45),50),0)))))</f>
        <v>50</v>
      </c>
      <c r="N45" s="724">
        <f t="shared" si="3"/>
        <v>1.1755020682587885E-2</v>
      </c>
      <c r="O45" s="596">
        <f>IF(N45="Løype",Poengsammendrag!$F$2,IF(N45="Arr",Poengsammendrag!$F$3,IF(N45="Brutt",50,IF(N45="Disk",50,ROUND(MAXA(100*(MIN(N$10:N$88)/N45),50),0)))))</f>
        <v>50</v>
      </c>
      <c r="S45" s="803" t="s">
        <v>248</v>
      </c>
      <c r="T45" s="797">
        <v>1.8144063180827886E-2</v>
      </c>
      <c r="U45" s="770">
        <v>50</v>
      </c>
      <c r="V45" s="772"/>
      <c r="W45" s="783" t="s">
        <v>373</v>
      </c>
      <c r="X45" s="740">
        <v>50</v>
      </c>
      <c r="AB45" s="828">
        <f t="shared" si="5"/>
        <v>90</v>
      </c>
      <c r="AC45" s="829">
        <f t="shared" si="4"/>
        <v>0</v>
      </c>
    </row>
    <row r="46" spans="2:29" ht="21" thickBot="1" x14ac:dyDescent="0.3">
      <c r="B46" s="16">
        <f t="shared" si="6"/>
        <v>37</v>
      </c>
      <c r="C46" s="106" t="s">
        <v>263</v>
      </c>
      <c r="D46" s="107" t="s">
        <v>264</v>
      </c>
      <c r="E46" s="599" t="str">
        <f t="shared" si="7"/>
        <v>RuneHolt</v>
      </c>
      <c r="F46" s="192">
        <f>YEAR(I$5)-_xlfn.XLOOKUP(E46,Deltakerliste!E$5:E$98,Deltakerliste!I$5:I$98)</f>
        <v>72</v>
      </c>
      <c r="G46" s="192">
        <f>_xlfn.XLOOKUP(E46,Deltakerliste!E$5:E$98,Deltakerliste!H$5:H$98)</f>
        <v>2</v>
      </c>
      <c r="H46" s="592">
        <f>VLOOKUP(F46,Deltakerliste!P$6:T$84,G46,FALSE)</f>
        <v>1.4969999999999999</v>
      </c>
      <c r="I46" s="86">
        <v>3.037037037037037E-2</v>
      </c>
      <c r="J46" s="86"/>
      <c r="K46" s="17"/>
      <c r="L46" s="600">
        <f t="shared" si="2"/>
        <v>1.786492374727669E-2</v>
      </c>
      <c r="M46" s="594">
        <f>IF(L46="Løype",Poengsammendrag!$F$2,IF(L46="Arr",Poengsammendrag!$F$3,IF(L46="Brutt",50,IF(L46="Disk",50,ROUND(MAXA(100*(MIN(L$10:L$88)/L46),50),0)))))</f>
        <v>50</v>
      </c>
      <c r="N46" s="724">
        <f t="shared" si="3"/>
        <v>1.1933816798448023E-2</v>
      </c>
      <c r="O46" s="596">
        <f>IF(N46="Løype",Poengsammendrag!$F$2,IF(N46="Arr",Poengsammendrag!$F$3,IF(N46="Brutt",50,IF(N46="Disk",50,ROUND(MAXA(100*(MIN(N$10:N$88)/N46),50),0)))))</f>
        <v>50</v>
      </c>
      <c r="S46" s="803" t="s">
        <v>373</v>
      </c>
      <c r="T46" s="797">
        <v>1.8443627450980393E-2</v>
      </c>
      <c r="U46" s="770">
        <v>50</v>
      </c>
      <c r="V46" s="772"/>
      <c r="W46" s="783" t="s">
        <v>263</v>
      </c>
      <c r="X46" s="740">
        <v>50</v>
      </c>
      <c r="AB46" s="828">
        <f t="shared" si="5"/>
        <v>91</v>
      </c>
      <c r="AC46" s="829">
        <f t="shared" si="4"/>
        <v>0</v>
      </c>
    </row>
    <row r="47" spans="2:29" ht="21" customHeight="1" thickBot="1" x14ac:dyDescent="0.3">
      <c r="B47" s="16">
        <f t="shared" si="6"/>
        <v>38</v>
      </c>
      <c r="C47" s="106" t="s">
        <v>86</v>
      </c>
      <c r="D47" s="107" t="s">
        <v>87</v>
      </c>
      <c r="E47" s="599" t="str">
        <f t="shared" si="7"/>
        <v>KristianFougner</v>
      </c>
      <c r="F47" s="192">
        <f>YEAR(I$5)-_xlfn.XLOOKUP(E47,Deltakerliste!E$5:E$98,Deltakerliste!I$5:I$98)</f>
        <v>75</v>
      </c>
      <c r="G47" s="192">
        <f>_xlfn.XLOOKUP(E47,Deltakerliste!E$5:E$98,Deltakerliste!H$5:H$98)</f>
        <v>2</v>
      </c>
      <c r="H47" s="592">
        <f>VLOOKUP(F47,Deltakerliste!P$6:T$84,G47,FALSE)</f>
        <v>1.605</v>
      </c>
      <c r="I47" s="86"/>
      <c r="J47" s="86" t="s">
        <v>7</v>
      </c>
      <c r="K47" s="13"/>
      <c r="L47" s="600" t="str">
        <f t="shared" si="2"/>
        <v>Arr</v>
      </c>
      <c r="M47" s="594">
        <f>IF(L47="Løype",Poengsammendrag!$F$2,IF(L47="Arr",Poengsammendrag!$F$3,IF(L47="Brutt",50,IF(L47="Disk",50,ROUND(MAXA(100*(MIN(L$10:L$88)/L47),50),0)))))</f>
        <v>94</v>
      </c>
      <c r="N47" s="724" t="str">
        <f t="shared" si="3"/>
        <v>Arr</v>
      </c>
      <c r="O47" s="596">
        <f>IF(N47="Løype",Poengsammendrag!$F$2,IF(N47="Arr",Poengsammendrag!$F$3,IF(N47="Brutt",50,IF(N47="Disk",50,ROUND(MAXA(100*(MIN(N$10:N$88)/N47),50),0)))))</f>
        <v>94</v>
      </c>
      <c r="S47" s="803" t="s">
        <v>86</v>
      </c>
      <c r="T47" s="797" t="s">
        <v>7</v>
      </c>
      <c r="U47" s="770">
        <v>94</v>
      </c>
      <c r="V47" s="772"/>
      <c r="W47" s="783" t="s">
        <v>86</v>
      </c>
      <c r="X47" s="740">
        <v>94</v>
      </c>
      <c r="AB47" s="828">
        <f t="shared" si="5"/>
        <v>92</v>
      </c>
      <c r="AC47" s="829">
        <f t="shared" si="4"/>
        <v>0</v>
      </c>
    </row>
    <row r="48" spans="2:29" ht="21" customHeight="1" thickBot="1" x14ac:dyDescent="0.3">
      <c r="B48" s="16">
        <f t="shared" si="6"/>
        <v>39</v>
      </c>
      <c r="C48" s="106" t="s">
        <v>63</v>
      </c>
      <c r="D48" s="107" t="s">
        <v>105</v>
      </c>
      <c r="E48" s="599" t="str">
        <f t="shared" si="7"/>
        <v>ToreKiste</v>
      </c>
      <c r="F48" s="192">
        <f>YEAR(I$5)-_xlfn.XLOOKUP(E48,Deltakerliste!E$5:E$98,Deltakerliste!I$5:I$98)</f>
        <v>80</v>
      </c>
      <c r="G48" s="192">
        <f>_xlfn.XLOOKUP(E48,Deltakerliste!E$5:E$98,Deltakerliste!H$5:H$98)</f>
        <v>2</v>
      </c>
      <c r="H48" s="592">
        <f>VLOOKUP(F48,Deltakerliste!P$6:T$84,G48,FALSE)</f>
        <v>1.8550000000000002</v>
      </c>
      <c r="I48" s="86"/>
      <c r="J48" s="86" t="s">
        <v>7</v>
      </c>
      <c r="K48" s="13"/>
      <c r="L48" s="600" t="str">
        <f t="shared" si="2"/>
        <v>Arr</v>
      </c>
      <c r="M48" s="594">
        <f>IF(L48="Løype",Poengsammendrag!$F$2,IF(L48="Arr",Poengsammendrag!$F$3,IF(L48="Brutt",50,IF(L48="Disk",50,ROUND(MAXA(100*(MIN(L$10:L$88)/L48),50),0)))))</f>
        <v>94</v>
      </c>
      <c r="N48" s="724" t="str">
        <f t="shared" si="3"/>
        <v>Arr</v>
      </c>
      <c r="O48" s="596">
        <f>IF(N48="Løype",Poengsammendrag!$F$2,IF(N48="Arr",Poengsammendrag!$F$3,IF(N48="Brutt",50,IF(N48="Disk",50,ROUND(MAXA(100*(MIN(N$10:N$88)/N48),50),0)))))</f>
        <v>94</v>
      </c>
      <c r="S48" s="803" t="s">
        <v>339</v>
      </c>
      <c r="T48" s="797" t="s">
        <v>7</v>
      </c>
      <c r="U48" s="770">
        <v>94</v>
      </c>
      <c r="V48" s="772"/>
      <c r="W48" s="783" t="s">
        <v>339</v>
      </c>
      <c r="X48" s="740">
        <v>94</v>
      </c>
      <c r="AB48" s="828">
        <f t="shared" si="5"/>
        <v>93</v>
      </c>
      <c r="AC48" s="829">
        <f t="shared" si="4"/>
        <v>0</v>
      </c>
    </row>
    <row r="49" spans="2:29" ht="21" customHeight="1" thickBot="1" x14ac:dyDescent="0.3">
      <c r="B49" s="16">
        <f t="shared" si="6"/>
        <v>40</v>
      </c>
      <c r="C49" s="106" t="s">
        <v>168</v>
      </c>
      <c r="D49" s="107" t="s">
        <v>169</v>
      </c>
      <c r="E49" s="599" t="str">
        <f t="shared" si="7"/>
        <v>SteinØvstedal</v>
      </c>
      <c r="F49" s="192">
        <f>YEAR(I$5)-_xlfn.XLOOKUP(E49,Deltakerliste!E$5:E$98,Deltakerliste!I$5:I$98)</f>
        <v>74</v>
      </c>
      <c r="G49" s="192">
        <f>_xlfn.XLOOKUP(E49,Deltakerliste!E$5:E$98,Deltakerliste!H$5:H$98)</f>
        <v>2</v>
      </c>
      <c r="H49" s="592">
        <f>VLOOKUP(F49,Deltakerliste!P$6:T$84,G49,FALSE)</f>
        <v>1.569</v>
      </c>
      <c r="I49" s="132"/>
      <c r="J49" s="132" t="s">
        <v>7</v>
      </c>
      <c r="K49" s="18"/>
      <c r="L49" s="600" t="str">
        <f t="shared" si="2"/>
        <v>Arr</v>
      </c>
      <c r="M49" s="594">
        <f>IF(L49="Løype",Poengsammendrag!$F$2,IF(L49="Arr",Poengsammendrag!$F$3,IF(L49="Brutt",50,IF(L49="Disk",50,ROUND(MAXA(100*(MIN(L$10:L$88)/L49),50),0)))))</f>
        <v>94</v>
      </c>
      <c r="N49" s="724" t="str">
        <f t="shared" si="3"/>
        <v>Arr</v>
      </c>
      <c r="O49" s="596">
        <f>IF(N49="Løype",Poengsammendrag!$F$2,IF(N49="Arr",Poengsammendrag!$F$3,IF(N49="Brutt",50,IF(N49="Disk",50,ROUND(MAXA(100*(MIN(N$10:N$88)/N49),50),0)))))</f>
        <v>94</v>
      </c>
      <c r="S49" s="803" t="s">
        <v>168</v>
      </c>
      <c r="T49" s="796" t="s">
        <v>7</v>
      </c>
      <c r="U49" s="793">
        <v>94</v>
      </c>
      <c r="V49" s="794"/>
      <c r="W49" s="795" t="s">
        <v>168</v>
      </c>
      <c r="X49" s="762">
        <v>94</v>
      </c>
      <c r="AB49" s="828">
        <f t="shared" si="5"/>
        <v>94</v>
      </c>
      <c r="AC49" s="829">
        <f t="shared" si="4"/>
        <v>0</v>
      </c>
    </row>
    <row r="50" spans="2:29" ht="21" thickBot="1" x14ac:dyDescent="0.3">
      <c r="B50" s="16">
        <f t="shared" si="6"/>
        <v>41</v>
      </c>
      <c r="C50" s="106" t="s">
        <v>116</v>
      </c>
      <c r="D50" s="107" t="s">
        <v>165</v>
      </c>
      <c r="E50" s="599" t="str">
        <f t="shared" si="7"/>
        <v>AndersWaage</v>
      </c>
      <c r="F50" s="192">
        <f>YEAR(I$5)-_xlfn.XLOOKUP(E50,Deltakerliste!E$5:E$98,Deltakerliste!I$5:I$98)</f>
        <v>77</v>
      </c>
      <c r="G50" s="192">
        <f>_xlfn.XLOOKUP(E50,Deltakerliste!E$5:E$98,Deltakerliste!H$5:H$98)</f>
        <v>2</v>
      </c>
      <c r="H50" s="592">
        <f>VLOOKUP(F50,Deltakerliste!P$6:T$84,G50,FALSE)</f>
        <v>1.7050000000000001</v>
      </c>
      <c r="I50" s="18"/>
      <c r="J50" s="132" t="s">
        <v>62</v>
      </c>
      <c r="K50" s="18"/>
      <c r="L50" s="600" t="str">
        <f t="shared" si="2"/>
        <v>Løype</v>
      </c>
      <c r="M50" s="594">
        <f>IF(L50="Løype",Poengsammendrag!$F$2,IF(L50="Arr",Poengsammendrag!$F$3,IF(L50="Brutt",50,IF(L50="Disk",50,ROUND(MAXA(100*(MIN(L$10:L$88)/L50),50),0)))))</f>
        <v>100</v>
      </c>
      <c r="N50" s="724" t="str">
        <f t="shared" si="3"/>
        <v>Løype</v>
      </c>
      <c r="O50" s="596">
        <f>IF(N50="Løype",Poengsammendrag!$F$2,IF(N50="Arr",Poengsammendrag!$F$3,IF(N50="Brutt",50,IF(N50="Disk",50,ROUND(MAXA(100*(MIN(N$10:N$88)/N50),50),0)))))</f>
        <v>100</v>
      </c>
      <c r="S50" s="803" t="s">
        <v>314</v>
      </c>
      <c r="T50" s="851" t="s">
        <v>62</v>
      </c>
      <c r="U50" s="770">
        <v>100</v>
      </c>
      <c r="V50" s="772"/>
      <c r="W50" s="783" t="s">
        <v>314</v>
      </c>
      <c r="X50" s="740">
        <v>100</v>
      </c>
      <c r="AB50" s="830">
        <f t="shared" si="5"/>
        <v>95</v>
      </c>
      <c r="AC50" s="831">
        <f t="shared" si="4"/>
        <v>0</v>
      </c>
    </row>
    <row r="51" spans="2:29" ht="21" customHeight="1" thickBot="1" x14ac:dyDescent="0.3">
      <c r="B51" s="16">
        <f t="shared" si="6"/>
        <v>42</v>
      </c>
      <c r="C51" s="106" t="s">
        <v>60</v>
      </c>
      <c r="D51" s="107" t="s">
        <v>61</v>
      </c>
      <c r="E51" s="599" t="str">
        <f t="shared" si="7"/>
        <v>JosteinAlvestad</v>
      </c>
      <c r="F51" s="192">
        <f>YEAR(I$5)-_xlfn.XLOOKUP(E51,Deltakerliste!E$5:E$98,Deltakerliste!I$5:I$98)</f>
        <v>70</v>
      </c>
      <c r="G51" s="192">
        <f>_xlfn.XLOOKUP(E51,Deltakerliste!E$5:E$98,Deltakerliste!H$5:H$98)</f>
        <v>2</v>
      </c>
      <c r="H51" s="592">
        <f>VLOOKUP(F51,Deltakerliste!P$6:T$84,G51,FALSE)</f>
        <v>1.4249999999999998</v>
      </c>
      <c r="I51" s="13"/>
      <c r="J51" s="13"/>
      <c r="K51" s="17"/>
      <c r="L51" s="600"/>
      <c r="M51" s="594"/>
      <c r="N51" s="724"/>
      <c r="O51" s="596"/>
      <c r="S51" s="803"/>
      <c r="T51" s="797"/>
      <c r="U51" s="770"/>
      <c r="V51" s="772"/>
      <c r="W51" s="783"/>
      <c r="X51" s="740"/>
    </row>
    <row r="52" spans="2:29" ht="21" thickBot="1" x14ac:dyDescent="0.3">
      <c r="B52" s="16">
        <f t="shared" si="6"/>
        <v>43</v>
      </c>
      <c r="C52" s="106" t="s">
        <v>66</v>
      </c>
      <c r="D52" s="107" t="s">
        <v>67</v>
      </c>
      <c r="E52" s="599" t="str">
        <f t="shared" si="7"/>
        <v>FrankBjarkø</v>
      </c>
      <c r="F52" s="192">
        <f>YEAR(I$5)-_xlfn.XLOOKUP(E52,Deltakerliste!E$5:E$98,Deltakerliste!I$5:I$98)</f>
        <v>73</v>
      </c>
      <c r="G52" s="192">
        <f>_xlfn.XLOOKUP(E52,Deltakerliste!E$5:E$98,Deltakerliste!H$5:H$98)</f>
        <v>2</v>
      </c>
      <c r="H52" s="592">
        <f>VLOOKUP(F52,Deltakerliste!P$6:T$84,G52,FALSE)</f>
        <v>1.5329999999999999</v>
      </c>
      <c r="I52" s="13"/>
      <c r="J52" s="13"/>
      <c r="K52" s="13"/>
      <c r="L52" s="600"/>
      <c r="M52" s="594"/>
      <c r="N52" s="724"/>
      <c r="O52" s="596"/>
      <c r="S52" s="803"/>
      <c r="T52" s="798"/>
      <c r="U52" s="770"/>
      <c r="V52" s="772"/>
      <c r="W52" s="783"/>
      <c r="X52" s="740"/>
    </row>
    <row r="53" spans="2:29" ht="21" thickBot="1" x14ac:dyDescent="0.3">
      <c r="B53" s="16">
        <f t="shared" si="6"/>
        <v>44</v>
      </c>
      <c r="C53" s="106" t="s">
        <v>64</v>
      </c>
      <c r="D53" s="107" t="s">
        <v>267</v>
      </c>
      <c r="E53" s="599" t="str">
        <f t="shared" si="7"/>
        <v>BjørnBrenne</v>
      </c>
      <c r="F53" s="192">
        <f>YEAR(I$5)-_xlfn.XLOOKUP(E53,Deltakerliste!E$5:E$98,Deltakerliste!I$5:I$98)</f>
        <v>80</v>
      </c>
      <c r="G53" s="192">
        <f>_xlfn.XLOOKUP(E53,Deltakerliste!E$5:E$98,Deltakerliste!H$5:H$98)</f>
        <v>2</v>
      </c>
      <c r="H53" s="592">
        <f>VLOOKUP(F53,Deltakerliste!P$6:T$84,G53,FALSE)</f>
        <v>1.8550000000000002</v>
      </c>
      <c r="I53" s="86"/>
      <c r="J53" s="86"/>
      <c r="K53" s="13"/>
      <c r="L53" s="600"/>
      <c r="M53" s="594"/>
      <c r="N53" s="724"/>
      <c r="O53" s="596"/>
      <c r="S53" s="803"/>
      <c r="T53" s="798"/>
      <c r="U53" s="770"/>
      <c r="V53" s="772"/>
      <c r="W53" s="783"/>
      <c r="X53" s="740"/>
    </row>
    <row r="54" spans="2:29" ht="21" thickBot="1" x14ac:dyDescent="0.3">
      <c r="B54" s="16">
        <f t="shared" si="6"/>
        <v>45</v>
      </c>
      <c r="C54" s="106" t="s">
        <v>70</v>
      </c>
      <c r="D54" s="107" t="s">
        <v>71</v>
      </c>
      <c r="E54" s="599" t="str">
        <f t="shared" si="7"/>
        <v>TrondDamås</v>
      </c>
      <c r="F54" s="192">
        <f>YEAR(I$5)-_xlfn.XLOOKUP(E54,Deltakerliste!E$5:E$98,Deltakerliste!I$5:I$98)</f>
        <v>75</v>
      </c>
      <c r="G54" s="192">
        <f>_xlfn.XLOOKUP(E54,Deltakerliste!E$5:E$98,Deltakerliste!H$5:H$98)</f>
        <v>2</v>
      </c>
      <c r="H54" s="592">
        <f>VLOOKUP(F54,Deltakerliste!P$6:T$84,G54,FALSE)</f>
        <v>1.605</v>
      </c>
      <c r="I54" s="13"/>
      <c r="J54" s="13"/>
      <c r="K54" s="13"/>
      <c r="L54" s="600"/>
      <c r="M54" s="594"/>
      <c r="N54" s="724"/>
      <c r="O54" s="596"/>
      <c r="S54" s="846"/>
      <c r="T54" s="847"/>
      <c r="U54" s="848"/>
      <c r="V54" s="778"/>
      <c r="W54" s="849"/>
      <c r="X54" s="850"/>
    </row>
    <row r="55" spans="2:29" ht="21" customHeight="1" thickBot="1" x14ac:dyDescent="0.3">
      <c r="B55" s="16">
        <f t="shared" si="6"/>
        <v>46</v>
      </c>
      <c r="C55" s="106" t="s">
        <v>72</v>
      </c>
      <c r="D55" s="107" t="s">
        <v>73</v>
      </c>
      <c r="E55" s="599" t="str">
        <f t="shared" si="7"/>
        <v>KåreEggereide</v>
      </c>
      <c r="F55" s="192">
        <f>YEAR(I$5)-_xlfn.XLOOKUP(E55,Deltakerliste!E$5:E$98,Deltakerliste!I$5:I$98)</f>
        <v>74</v>
      </c>
      <c r="G55" s="192">
        <f>_xlfn.XLOOKUP(E55,Deltakerliste!E$5:E$98,Deltakerliste!H$5:H$98)</f>
        <v>2</v>
      </c>
      <c r="H55" s="592">
        <f>VLOOKUP(F55,Deltakerliste!P$6:T$84,G55,FALSE)</f>
        <v>1.569</v>
      </c>
      <c r="I55" s="593"/>
      <c r="J55" s="13"/>
      <c r="K55" s="13"/>
      <c r="L55" s="600"/>
      <c r="M55" s="594"/>
      <c r="N55" s="724"/>
      <c r="O55" s="596"/>
      <c r="S55" s="803"/>
      <c r="T55" s="798"/>
      <c r="U55" s="770"/>
      <c r="V55" s="772"/>
      <c r="W55" s="783"/>
      <c r="X55" s="740"/>
    </row>
    <row r="56" spans="2:29" ht="21" thickBot="1" x14ac:dyDescent="0.3">
      <c r="B56" s="16">
        <f t="shared" si="6"/>
        <v>47</v>
      </c>
      <c r="C56" s="106" t="s">
        <v>74</v>
      </c>
      <c r="D56" s="107" t="s">
        <v>75</v>
      </c>
      <c r="E56" s="599" t="str">
        <f t="shared" si="7"/>
        <v>StinaElfving</v>
      </c>
      <c r="F56" s="192">
        <f>YEAR(I$5)-_xlfn.XLOOKUP(E56,Deltakerliste!E$5:E$98,Deltakerliste!I$5:I$98)</f>
        <v>75</v>
      </c>
      <c r="G56" s="192">
        <f>_xlfn.XLOOKUP(E56,Deltakerliste!E$5:E$98,Deltakerliste!H$5:H$98)</f>
        <v>4</v>
      </c>
      <c r="H56" s="592">
        <f>VLOOKUP(F56,Deltakerliste!P$6:T$84,G56,FALSE)</f>
        <v>2.1670000000000016</v>
      </c>
      <c r="I56" s="13"/>
      <c r="J56" s="13"/>
      <c r="K56" s="17"/>
      <c r="L56" s="600"/>
      <c r="M56" s="594"/>
      <c r="N56" s="724"/>
      <c r="O56" s="596"/>
      <c r="S56" s="803"/>
      <c r="T56" s="798"/>
      <c r="U56" s="770"/>
      <c r="V56" s="772"/>
      <c r="W56" s="783"/>
      <c r="X56" s="740"/>
    </row>
    <row r="57" spans="2:29" ht="21" thickBot="1" x14ac:dyDescent="0.3">
      <c r="B57" s="16">
        <f t="shared" si="6"/>
        <v>48</v>
      </c>
      <c r="C57" s="106" t="s">
        <v>76</v>
      </c>
      <c r="D57" s="107" t="s">
        <v>77</v>
      </c>
      <c r="E57" s="599" t="str">
        <f t="shared" si="7"/>
        <v>ReinoldEllingsen</v>
      </c>
      <c r="F57" s="192">
        <f>YEAR(I$5)-_xlfn.XLOOKUP(E57,Deltakerliste!E$5:E$98,Deltakerliste!I$5:I$98)</f>
        <v>74</v>
      </c>
      <c r="G57" s="192">
        <f>_xlfn.XLOOKUP(E57,Deltakerliste!E$5:E$98,Deltakerliste!H$5:H$98)</f>
        <v>2</v>
      </c>
      <c r="H57" s="592">
        <f>VLOOKUP(F57,Deltakerliste!P$6:T$84,G57,FALSE)</f>
        <v>1.569</v>
      </c>
      <c r="I57" s="13"/>
      <c r="J57" s="13"/>
      <c r="K57" s="13"/>
      <c r="L57" s="600"/>
      <c r="M57" s="594"/>
      <c r="N57" s="724"/>
      <c r="O57" s="596"/>
      <c r="S57" s="804"/>
      <c r="T57" s="801"/>
      <c r="U57" s="771"/>
      <c r="V57" s="773"/>
      <c r="W57" s="784"/>
      <c r="X57" s="741"/>
    </row>
    <row r="58" spans="2:29" ht="20" customHeight="1" thickBot="1" x14ac:dyDescent="0.3">
      <c r="B58" s="16">
        <f t="shared" si="6"/>
        <v>49</v>
      </c>
      <c r="C58" s="106" t="s">
        <v>216</v>
      </c>
      <c r="D58" s="107" t="s">
        <v>77</v>
      </c>
      <c r="E58" s="599" t="str">
        <f t="shared" si="7"/>
        <v>Åse RitaEllingsen</v>
      </c>
      <c r="F58" s="192">
        <f>YEAR(I$5)-_xlfn.XLOOKUP(E58,Deltakerliste!E$5:E$98,Deltakerliste!I$5:I$98)</f>
        <v>61</v>
      </c>
      <c r="G58" s="192">
        <f>_xlfn.XLOOKUP(E58,Deltakerliste!E$5:E$98,Deltakerliste!H$5:H$98)</f>
        <v>4</v>
      </c>
      <c r="H58" s="592">
        <f>VLOOKUP(F58,Deltakerliste!P$6:T$84,G58,FALSE)</f>
        <v>1.6542000000000003</v>
      </c>
      <c r="I58" s="593"/>
      <c r="J58" s="14"/>
      <c r="K58" s="13"/>
      <c r="L58" s="600"/>
      <c r="M58" s="594"/>
      <c r="N58" s="724"/>
      <c r="O58" s="596"/>
    </row>
    <row r="59" spans="2:29" ht="21" thickBot="1" x14ac:dyDescent="0.3">
      <c r="B59" s="16">
        <f t="shared" si="6"/>
        <v>50</v>
      </c>
      <c r="C59" s="106" t="s">
        <v>78</v>
      </c>
      <c r="D59" s="107" t="s">
        <v>79</v>
      </c>
      <c r="E59" s="599" t="str">
        <f t="shared" si="7"/>
        <v>LeifEngen</v>
      </c>
      <c r="F59" s="192">
        <f>YEAR(I$5)-_xlfn.XLOOKUP(E59,Deltakerliste!E$5:E$98,Deltakerliste!I$5:I$98)</f>
        <v>84</v>
      </c>
      <c r="G59" s="192">
        <f>_xlfn.XLOOKUP(E59,Deltakerliste!E$5:E$98,Deltakerliste!H$5:H$98)</f>
        <v>2</v>
      </c>
      <c r="H59" s="592">
        <f>VLOOKUP(F59,Deltakerliste!P$6:T$84,G59,FALSE)</f>
        <v>2.1509999999999998</v>
      </c>
      <c r="I59" s="86"/>
      <c r="J59" s="86"/>
      <c r="K59" s="13"/>
      <c r="L59" s="600"/>
      <c r="M59" s="594"/>
      <c r="N59" s="724"/>
      <c r="O59" s="596"/>
    </row>
    <row r="60" spans="2:29" ht="21" customHeight="1" thickBot="1" x14ac:dyDescent="0.3">
      <c r="B60" s="16">
        <f t="shared" si="6"/>
        <v>51</v>
      </c>
      <c r="C60" s="106" t="s">
        <v>271</v>
      </c>
      <c r="D60" s="107" t="s">
        <v>272</v>
      </c>
      <c r="E60" s="599" t="str">
        <f t="shared" si="7"/>
        <v>Arne KjellFoldvik</v>
      </c>
      <c r="F60" s="192">
        <f>YEAR(I$5)-_xlfn.XLOOKUP(E60,Deltakerliste!E$5:E$98,Deltakerliste!I$5:I$98)</f>
        <v>91</v>
      </c>
      <c r="G60" s="192">
        <f>_xlfn.XLOOKUP(E60,Deltakerliste!E$5:E$98,Deltakerliste!H$5:H$98)</f>
        <v>2</v>
      </c>
      <c r="H60" s="592">
        <f>VLOOKUP(F60,Deltakerliste!P$6:T$84,G60,FALSE)</f>
        <v>2.7290000000000001</v>
      </c>
      <c r="I60" s="14"/>
      <c r="J60" s="14"/>
      <c r="K60" s="13"/>
      <c r="L60" s="600"/>
      <c r="M60" s="594"/>
      <c r="N60" s="724"/>
      <c r="O60" s="596"/>
    </row>
    <row r="61" spans="2:29" ht="21" customHeight="1" thickBot="1" x14ac:dyDescent="0.3">
      <c r="B61" s="16">
        <f t="shared" si="6"/>
        <v>52</v>
      </c>
      <c r="C61" s="106" t="s">
        <v>82</v>
      </c>
      <c r="D61" s="107" t="s">
        <v>83</v>
      </c>
      <c r="E61" s="599" t="str">
        <f t="shared" si="7"/>
        <v>RoarForbord</v>
      </c>
      <c r="F61" s="192">
        <f>YEAR(I$5)-_xlfn.XLOOKUP(E61,Deltakerliste!E$5:E$98,Deltakerliste!I$5:I$98)</f>
        <v>82</v>
      </c>
      <c r="G61" s="192">
        <f>_xlfn.XLOOKUP(E61,Deltakerliste!E$5:E$98,Deltakerliste!H$5:H$98)</f>
        <v>2</v>
      </c>
      <c r="H61" s="592">
        <f>VLOOKUP(F61,Deltakerliste!P$6:T$84,G61,FALSE)</f>
        <v>2.0030000000000001</v>
      </c>
      <c r="I61" s="86"/>
      <c r="J61" s="86"/>
      <c r="K61" s="13"/>
      <c r="L61" s="600"/>
      <c r="M61" s="594"/>
      <c r="N61" s="724"/>
      <c r="O61" s="596"/>
    </row>
    <row r="62" spans="2:29" ht="21" customHeight="1" thickBot="1" x14ac:dyDescent="0.3">
      <c r="B62" s="16">
        <f t="shared" si="6"/>
        <v>53</v>
      </c>
      <c r="C62" s="106" t="s">
        <v>84</v>
      </c>
      <c r="D62" s="107" t="s">
        <v>85</v>
      </c>
      <c r="E62" s="599" t="str">
        <f t="shared" si="7"/>
        <v>PaulForseth</v>
      </c>
      <c r="F62" s="192">
        <f>YEAR(I$5)-_xlfn.XLOOKUP(E62,Deltakerliste!E$5:E$98,Deltakerliste!I$5:I$98)</f>
        <v>93</v>
      </c>
      <c r="G62" s="192">
        <f>_xlfn.XLOOKUP(E62,Deltakerliste!E$5:E$98,Deltakerliste!H$5:H$98)</f>
        <v>2</v>
      </c>
      <c r="H62" s="592">
        <f>VLOOKUP(F62,Deltakerliste!P$6:T$84,G62,FALSE)</f>
        <v>2.8970000000000002</v>
      </c>
      <c r="I62" s="86"/>
      <c r="J62" s="86"/>
      <c r="K62" s="17"/>
      <c r="L62" s="600"/>
      <c r="M62" s="594"/>
      <c r="N62" s="724"/>
      <c r="O62" s="596"/>
    </row>
    <row r="63" spans="2:29" ht="21" thickBot="1" x14ac:dyDescent="0.3">
      <c r="B63" s="16">
        <f t="shared" si="6"/>
        <v>54</v>
      </c>
      <c r="C63" s="106" t="s">
        <v>207</v>
      </c>
      <c r="D63" s="107" t="s">
        <v>89</v>
      </c>
      <c r="E63" s="599" t="str">
        <f t="shared" si="7"/>
        <v>AnneFuruholt</v>
      </c>
      <c r="F63" s="192">
        <f>YEAR(I$5)-_xlfn.XLOOKUP(E63,Deltakerliste!E$5:E$98,Deltakerliste!I$5:I$98)</f>
        <v>78</v>
      </c>
      <c r="G63" s="192">
        <f>_xlfn.XLOOKUP(E63,Deltakerliste!E$5:E$98,Deltakerliste!H$5:H$98)</f>
        <v>4</v>
      </c>
      <c r="H63" s="592">
        <f>VLOOKUP(F63,Deltakerliste!P$6:T$84,G63,FALSE)</f>
        <v>2.3398000000000012</v>
      </c>
      <c r="I63" s="13"/>
      <c r="J63" s="13"/>
      <c r="K63" s="13"/>
      <c r="L63" s="600"/>
      <c r="M63" s="594"/>
      <c r="N63" s="724"/>
      <c r="O63" s="596"/>
    </row>
    <row r="64" spans="2:29" ht="21" thickBot="1" x14ac:dyDescent="0.3">
      <c r="B64" s="16">
        <f t="shared" si="6"/>
        <v>55</v>
      </c>
      <c r="C64" s="106" t="s">
        <v>116</v>
      </c>
      <c r="D64" s="107" t="s">
        <v>353</v>
      </c>
      <c r="E64" s="599" t="str">
        <f t="shared" si="7"/>
        <v>AndersGjermo</v>
      </c>
      <c r="F64" s="192">
        <f>YEAR(I$5)-_xlfn.XLOOKUP(E64,Deltakerliste!E$5:E$98,Deltakerliste!I$5:I$98)</f>
        <v>67</v>
      </c>
      <c r="G64" s="192">
        <f>_xlfn.XLOOKUP(E64,Deltakerliste!E$5:E$98,Deltakerliste!H$5:H$98)</f>
        <v>2</v>
      </c>
      <c r="H64" s="592">
        <f>VLOOKUP(F64,Deltakerliste!P$6:T$84,G64,FALSE)</f>
        <v>1.3469999999999998</v>
      </c>
      <c r="I64" s="132"/>
      <c r="J64" s="132"/>
      <c r="K64" s="18"/>
      <c r="L64" s="600"/>
      <c r="M64" s="594"/>
      <c r="N64" s="724"/>
      <c r="O64" s="596"/>
    </row>
    <row r="65" spans="2:17" ht="21" thickBot="1" x14ac:dyDescent="0.3">
      <c r="B65" s="16">
        <f t="shared" si="6"/>
        <v>56</v>
      </c>
      <c r="C65" s="106" t="s">
        <v>92</v>
      </c>
      <c r="D65" s="107" t="s">
        <v>93</v>
      </c>
      <c r="E65" s="599" t="str">
        <f t="shared" si="7"/>
        <v>Jens ØysteinGjersvold</v>
      </c>
      <c r="F65" s="192">
        <f>YEAR(I$5)-_xlfn.XLOOKUP(E65,Deltakerliste!E$5:E$98,Deltakerliste!I$5:I$98)</f>
        <v>73</v>
      </c>
      <c r="G65" s="192">
        <f>_xlfn.XLOOKUP(E65,Deltakerliste!E$5:E$98,Deltakerliste!H$5:H$98)</f>
        <v>2</v>
      </c>
      <c r="H65" s="592">
        <f>VLOOKUP(F65,Deltakerliste!P$6:T$84,G65,FALSE)</f>
        <v>1.5329999999999999</v>
      </c>
      <c r="I65" s="14"/>
      <c r="J65" s="14"/>
      <c r="K65" s="18"/>
      <c r="L65" s="600"/>
      <c r="M65" s="594"/>
      <c r="N65" s="724"/>
      <c r="O65" s="596"/>
    </row>
    <row r="66" spans="2:17" ht="21" thickBot="1" x14ac:dyDescent="0.3">
      <c r="B66" s="16">
        <f t="shared" si="6"/>
        <v>57</v>
      </c>
      <c r="C66" s="106" t="s">
        <v>64</v>
      </c>
      <c r="D66" s="107" t="s">
        <v>366</v>
      </c>
      <c r="E66" s="599" t="str">
        <f t="shared" si="7"/>
        <v>BjørnHafskjold</v>
      </c>
      <c r="F66" s="192">
        <f>YEAR(I$5)-_xlfn.XLOOKUP(E66,Deltakerliste!E$5:E$98,Deltakerliste!I$5:I$98)</f>
        <v>78</v>
      </c>
      <c r="G66" s="192">
        <f>_xlfn.XLOOKUP(E66,Deltakerliste!E$5:E$98,Deltakerliste!H$5:H$98)</f>
        <v>2</v>
      </c>
      <c r="H66" s="592">
        <f>VLOOKUP(F66,Deltakerliste!P$6:T$84,G66,FALSE)</f>
        <v>1.7550000000000001</v>
      </c>
      <c r="I66" s="14"/>
      <c r="J66" s="14"/>
      <c r="K66" s="18"/>
      <c r="L66" s="600"/>
      <c r="M66" s="594"/>
      <c r="N66" s="724"/>
      <c r="O66" s="596"/>
    </row>
    <row r="67" spans="2:17" ht="21" thickBot="1" x14ac:dyDescent="0.3">
      <c r="B67" s="16">
        <f t="shared" si="6"/>
        <v>58</v>
      </c>
      <c r="C67" s="106" t="s">
        <v>342</v>
      </c>
      <c r="D67" s="107" t="s">
        <v>343</v>
      </c>
      <c r="E67" s="599" t="str">
        <f t="shared" si="7"/>
        <v>ArildHeggeset</v>
      </c>
      <c r="F67" s="192">
        <f>YEAR(I$5)-_xlfn.XLOOKUP(E67,Deltakerliste!E$5:E$98,Deltakerliste!I$5:I$98)</f>
        <v>58</v>
      </c>
      <c r="G67" s="192">
        <f>_xlfn.XLOOKUP(E67,Deltakerliste!E$5:E$98,Deltakerliste!H$5:H$98)</f>
        <v>2</v>
      </c>
      <c r="H67" s="592">
        <f>VLOOKUP(F67,Deltakerliste!P$6:T$84,G67,FALSE)</f>
        <v>1.1720000000000002</v>
      </c>
      <c r="I67" s="86"/>
      <c r="J67" s="86"/>
      <c r="K67" s="13"/>
      <c r="L67" s="600"/>
      <c r="M67" s="594"/>
      <c r="N67" s="724"/>
      <c r="O67" s="596"/>
    </row>
    <row r="68" spans="2:17" ht="21" thickBot="1" x14ac:dyDescent="0.3">
      <c r="B68" s="16">
        <f t="shared" si="6"/>
        <v>59</v>
      </c>
      <c r="C68" s="106" t="s">
        <v>99</v>
      </c>
      <c r="D68" s="107" t="s">
        <v>100</v>
      </c>
      <c r="E68" s="599" t="str">
        <f t="shared" si="7"/>
        <v>RobertHirsch</v>
      </c>
      <c r="F68" s="192">
        <f>YEAR(I$5)-_xlfn.XLOOKUP(E68,Deltakerliste!E$5:E$98,Deltakerliste!I$5:I$98)</f>
        <v>68</v>
      </c>
      <c r="G68" s="192">
        <f>_xlfn.XLOOKUP(E68,Deltakerliste!E$5:E$98,Deltakerliste!H$5:H$98)</f>
        <v>2</v>
      </c>
      <c r="H68" s="592">
        <f>VLOOKUP(F68,Deltakerliste!P$6:T$84,G68,FALSE)</f>
        <v>1.3729999999999998</v>
      </c>
      <c r="I68" s="86"/>
      <c r="J68" s="86"/>
      <c r="K68" s="13"/>
      <c r="L68" s="600"/>
      <c r="M68" s="594"/>
      <c r="N68" s="724"/>
      <c r="O68" s="596"/>
    </row>
    <row r="69" spans="2:17" ht="21" thickBot="1" x14ac:dyDescent="0.3">
      <c r="B69" s="16">
        <f t="shared" si="6"/>
        <v>60</v>
      </c>
      <c r="C69" s="106" t="s">
        <v>103</v>
      </c>
      <c r="D69" s="107" t="s">
        <v>104</v>
      </c>
      <c r="E69" s="599" t="str">
        <f t="shared" si="7"/>
        <v>SveinHove</v>
      </c>
      <c r="F69" s="192">
        <f>YEAR(I$5)-_xlfn.XLOOKUP(E69,Deltakerliste!E$5:E$98,Deltakerliste!I$5:I$98)</f>
        <v>78</v>
      </c>
      <c r="G69" s="192">
        <f>_xlfn.XLOOKUP(E69,Deltakerliste!E$5:E$98,Deltakerliste!H$5:H$98)</f>
        <v>2</v>
      </c>
      <c r="H69" s="592">
        <f>VLOOKUP(F69,Deltakerliste!P$6:T$84,G69,FALSE)</f>
        <v>1.7550000000000001</v>
      </c>
      <c r="I69" s="86"/>
      <c r="J69" s="86"/>
      <c r="K69" s="17"/>
      <c r="L69" s="600"/>
      <c r="M69" s="594"/>
      <c r="N69" s="724"/>
      <c r="O69" s="596"/>
    </row>
    <row r="70" spans="2:17" ht="21" thickBot="1" x14ac:dyDescent="0.3">
      <c r="B70" s="16">
        <f t="shared" si="6"/>
        <v>61</v>
      </c>
      <c r="C70" s="106" t="s">
        <v>269</v>
      </c>
      <c r="D70" s="107" t="s">
        <v>270</v>
      </c>
      <c r="E70" s="599" t="str">
        <f t="shared" si="7"/>
        <v>Per OlavJohansen</v>
      </c>
      <c r="F70" s="192">
        <f>YEAR(I$5)-_xlfn.XLOOKUP(E70,Deltakerliste!E$5:E$98,Deltakerliste!I$5:I$98)</f>
        <v>67</v>
      </c>
      <c r="G70" s="192">
        <f>_xlfn.XLOOKUP(E70,Deltakerliste!E$5:E$98,Deltakerliste!H$5:H$98)</f>
        <v>2</v>
      </c>
      <c r="H70" s="592">
        <f>VLOOKUP(F70,Deltakerliste!P$6:T$84,G70,FALSE)</f>
        <v>1.3469999999999998</v>
      </c>
      <c r="I70" s="132"/>
      <c r="J70" s="132"/>
      <c r="K70" s="134"/>
      <c r="L70" s="600"/>
      <c r="M70" s="594"/>
      <c r="N70" s="724"/>
      <c r="O70" s="596"/>
    </row>
    <row r="71" spans="2:17" ht="21" thickBot="1" x14ac:dyDescent="0.3">
      <c r="B71" s="16">
        <f t="shared" si="6"/>
        <v>62</v>
      </c>
      <c r="C71" s="106" t="s">
        <v>110</v>
      </c>
      <c r="D71" s="107" t="s">
        <v>111</v>
      </c>
      <c r="E71" s="599" t="str">
        <f t="shared" si="7"/>
        <v>Jan ErikKofoed</v>
      </c>
      <c r="F71" s="192">
        <f>YEAR(I$5)-_xlfn.XLOOKUP(E71,Deltakerliste!E$5:E$98,Deltakerliste!I$5:I$98)</f>
        <v>71</v>
      </c>
      <c r="G71" s="192">
        <f>_xlfn.XLOOKUP(E71,Deltakerliste!E$5:E$98,Deltakerliste!H$5:H$98)</f>
        <v>2</v>
      </c>
      <c r="H71" s="592">
        <f>VLOOKUP(F71,Deltakerliste!P$6:T$84,G71,FALSE)</f>
        <v>1.4609999999999999</v>
      </c>
      <c r="I71" s="86"/>
      <c r="J71" s="86"/>
      <c r="K71" s="13"/>
      <c r="L71" s="600"/>
      <c r="M71" s="594"/>
      <c r="N71" s="724"/>
      <c r="O71" s="596"/>
    </row>
    <row r="72" spans="2:17" ht="21" thickBot="1" x14ac:dyDescent="0.3">
      <c r="B72" s="16">
        <f t="shared" si="6"/>
        <v>63</v>
      </c>
      <c r="C72" s="106" t="s">
        <v>112</v>
      </c>
      <c r="D72" s="107" t="s">
        <v>113</v>
      </c>
      <c r="E72" s="599" t="str">
        <f t="shared" si="7"/>
        <v>ToridKvaal</v>
      </c>
      <c r="F72" s="192">
        <f>YEAR(I$5)-_xlfn.XLOOKUP(E72,Deltakerliste!E$5:E$98,Deltakerliste!I$5:I$98)</f>
        <v>83</v>
      </c>
      <c r="G72" s="192">
        <f>_xlfn.XLOOKUP(E72,Deltakerliste!E$5:E$98,Deltakerliste!H$5:H$98)</f>
        <v>4</v>
      </c>
      <c r="H72" s="592">
        <f>VLOOKUP(F72,Deltakerliste!P$6:T$84,G72,FALSE)</f>
        <v>2.6998000000000006</v>
      </c>
      <c r="I72" s="86"/>
      <c r="J72" s="86"/>
      <c r="K72" s="13"/>
      <c r="L72" s="600"/>
      <c r="M72" s="594"/>
      <c r="N72" s="724"/>
      <c r="O72" s="596"/>
    </row>
    <row r="73" spans="2:17" ht="21" thickBot="1" x14ac:dyDescent="0.3">
      <c r="B73" s="16">
        <f t="shared" si="6"/>
        <v>64</v>
      </c>
      <c r="C73" s="106" t="s">
        <v>254</v>
      </c>
      <c r="D73" s="107" t="s">
        <v>255</v>
      </c>
      <c r="E73" s="599" t="str">
        <f t="shared" si="7"/>
        <v>ArnfinnLangeland</v>
      </c>
      <c r="F73" s="192">
        <f>YEAR(I$5)-_xlfn.XLOOKUP(E73,Deltakerliste!E$5:E$98,Deltakerliste!I$5:I$98)</f>
        <v>89</v>
      </c>
      <c r="G73" s="192">
        <f>_xlfn.XLOOKUP(E73,Deltakerliste!E$5:E$98,Deltakerliste!H$5:H$98)</f>
        <v>2</v>
      </c>
      <c r="H73" s="592">
        <f>VLOOKUP(F73,Deltakerliste!P$6:T$84,G73,FALSE)</f>
        <v>2.5609999999999999</v>
      </c>
      <c r="I73" s="86"/>
      <c r="J73" s="86"/>
      <c r="K73" s="13"/>
      <c r="L73" s="600"/>
      <c r="M73" s="594"/>
      <c r="N73" s="724"/>
      <c r="O73" s="596"/>
    </row>
    <row r="74" spans="2:17" ht="21" thickBot="1" x14ac:dyDescent="0.3">
      <c r="B74" s="16">
        <f t="shared" ref="B74:B90" si="8">B73+1</f>
        <v>65</v>
      </c>
      <c r="C74" s="106" t="s">
        <v>118</v>
      </c>
      <c r="D74" s="107" t="s">
        <v>119</v>
      </c>
      <c r="E74" s="599" t="str">
        <f t="shared" ref="E74:E90" si="9">_xlfn.CONCAT(C74:D74)</f>
        <v>KnutLillealtern</v>
      </c>
      <c r="F74" s="192">
        <f>YEAR(I$5)-_xlfn.XLOOKUP(E74,Deltakerliste!E$5:E$98,Deltakerliste!I$5:I$98)</f>
        <v>76</v>
      </c>
      <c r="G74" s="192">
        <f>_xlfn.XLOOKUP(E74,Deltakerliste!E$5:E$98,Deltakerliste!H$5:H$98)</f>
        <v>2</v>
      </c>
      <c r="H74" s="592">
        <f>VLOOKUP(F74,Deltakerliste!P$6:T$84,G74,FALSE)</f>
        <v>1.655</v>
      </c>
      <c r="I74" s="13"/>
      <c r="J74" s="13"/>
      <c r="K74" s="17"/>
      <c r="L74" s="600"/>
      <c r="M74" s="594"/>
      <c r="N74" s="724"/>
      <c r="O74" s="596"/>
    </row>
    <row r="75" spans="2:17" ht="21" thickBot="1" x14ac:dyDescent="0.3">
      <c r="B75" s="16">
        <f t="shared" si="8"/>
        <v>66</v>
      </c>
      <c r="C75" s="106" t="s">
        <v>120</v>
      </c>
      <c r="D75" s="107" t="s">
        <v>121</v>
      </c>
      <c r="E75" s="599" t="str">
        <f t="shared" si="9"/>
        <v>KlausLivik</v>
      </c>
      <c r="F75" s="192">
        <f>YEAR(I$5)-_xlfn.XLOOKUP(E75,Deltakerliste!E$5:E$98,Deltakerliste!I$5:I$98)</f>
        <v>71</v>
      </c>
      <c r="G75" s="192">
        <f>_xlfn.XLOOKUP(E75,Deltakerliste!E$5:E$98,Deltakerliste!H$5:H$98)</f>
        <v>2</v>
      </c>
      <c r="H75" s="592">
        <f>VLOOKUP(F75,Deltakerliste!P$6:T$84,G75,FALSE)</f>
        <v>1.4609999999999999</v>
      </c>
      <c r="I75" s="13"/>
      <c r="J75" s="13"/>
      <c r="K75" s="17"/>
      <c r="L75" s="600"/>
      <c r="M75" s="594"/>
      <c r="N75" s="724"/>
      <c r="O75" s="596"/>
      <c r="Q75" s="112"/>
    </row>
    <row r="76" spans="2:17" ht="21" thickBot="1" x14ac:dyDescent="0.3">
      <c r="B76" s="16">
        <f t="shared" si="8"/>
        <v>67</v>
      </c>
      <c r="C76" s="106" t="s">
        <v>222</v>
      </c>
      <c r="D76" s="107" t="s">
        <v>221</v>
      </c>
      <c r="E76" s="599" t="str">
        <f t="shared" si="9"/>
        <v>Kjell Maroni</v>
      </c>
      <c r="F76" s="192">
        <f>YEAR(I$5)-_xlfn.XLOOKUP(E76,Deltakerliste!E$5:E$98,Deltakerliste!I$5:I$98)</f>
        <v>69</v>
      </c>
      <c r="G76" s="192">
        <f>_xlfn.XLOOKUP(E76,Deltakerliste!E$5:E$98,Deltakerliste!H$5:H$98)</f>
        <v>2</v>
      </c>
      <c r="H76" s="592">
        <f>VLOOKUP(F76,Deltakerliste!P$6:T$84,G76,FALSE)</f>
        <v>1.3989999999999998</v>
      </c>
      <c r="I76" s="13"/>
      <c r="J76" s="13"/>
      <c r="K76" s="13"/>
      <c r="L76" s="600"/>
      <c r="M76" s="594"/>
      <c r="N76" s="724"/>
      <c r="O76" s="596"/>
    </row>
    <row r="77" spans="2:17" ht="21" thickBot="1" x14ac:dyDescent="0.3">
      <c r="B77" s="16">
        <f t="shared" si="8"/>
        <v>68</v>
      </c>
      <c r="C77" s="106" t="s">
        <v>128</v>
      </c>
      <c r="D77" s="107" t="s">
        <v>129</v>
      </c>
      <c r="E77" s="599" t="str">
        <f t="shared" si="9"/>
        <v>OddMusum</v>
      </c>
      <c r="F77" s="192">
        <f>YEAR(I$5)-_xlfn.XLOOKUP(E77,Deltakerliste!E$5:E$98,Deltakerliste!I$5:I$98)</f>
        <v>83</v>
      </c>
      <c r="G77" s="192">
        <f>_xlfn.XLOOKUP(E77,Deltakerliste!E$5:E$98,Deltakerliste!H$5:H$98)</f>
        <v>2</v>
      </c>
      <c r="H77" s="592">
        <f>VLOOKUP(F77,Deltakerliste!P$6:T$84,G77,FALSE)</f>
        <v>2.077</v>
      </c>
      <c r="I77" s="13"/>
      <c r="J77" s="13"/>
      <c r="K77" s="13"/>
      <c r="L77" s="600"/>
      <c r="M77" s="594"/>
      <c r="N77" s="724"/>
      <c r="O77" s="596"/>
    </row>
    <row r="78" spans="2:17" ht="21" thickBot="1" x14ac:dyDescent="0.3">
      <c r="B78" s="16">
        <f t="shared" si="8"/>
        <v>69</v>
      </c>
      <c r="C78" s="106" t="s">
        <v>132</v>
      </c>
      <c r="D78" s="107" t="s">
        <v>133</v>
      </c>
      <c r="E78" s="599" t="str">
        <f t="shared" si="9"/>
        <v>JarleNestvold</v>
      </c>
      <c r="F78" s="192">
        <f>YEAR(I$5)-_xlfn.XLOOKUP(E78,Deltakerliste!E$5:E$98,Deltakerliste!I$5:I$98)</f>
        <v>88</v>
      </c>
      <c r="G78" s="192">
        <f>_xlfn.XLOOKUP(E78,Deltakerliste!E$5:E$98,Deltakerliste!H$5:H$98)</f>
        <v>2</v>
      </c>
      <c r="H78" s="592">
        <f>VLOOKUP(F78,Deltakerliste!P$6:T$84,G78,FALSE)</f>
        <v>2.4769999999999999</v>
      </c>
      <c r="I78" s="132"/>
      <c r="J78" s="18"/>
      <c r="K78" s="18"/>
      <c r="L78" s="600"/>
      <c r="M78" s="594"/>
      <c r="N78" s="724"/>
      <c r="O78" s="596"/>
    </row>
    <row r="79" spans="2:17" ht="21" thickBot="1" x14ac:dyDescent="0.3">
      <c r="B79" s="16">
        <f t="shared" si="8"/>
        <v>70</v>
      </c>
      <c r="C79" s="111" t="s">
        <v>265</v>
      </c>
      <c r="D79" s="193" t="s">
        <v>344</v>
      </c>
      <c r="E79" s="599" t="str">
        <f t="shared" si="9"/>
        <v>ØysteinNytrø</v>
      </c>
      <c r="F79" s="192">
        <f>YEAR(I$5)-_xlfn.XLOOKUP(E79,Deltakerliste!E$5:E$98,Deltakerliste!I$5:I$98)</f>
        <v>65</v>
      </c>
      <c r="G79" s="192">
        <f>_xlfn.XLOOKUP(E79,Deltakerliste!E$5:E$98,Deltakerliste!H$5:H$98)</f>
        <v>2</v>
      </c>
      <c r="H79" s="592">
        <f>VLOOKUP(F79,Deltakerliste!P$6:T$84,G79,FALSE)</f>
        <v>1.2949999999999997</v>
      </c>
      <c r="I79" s="18"/>
      <c r="J79" s="132"/>
      <c r="K79" s="18"/>
      <c r="L79" s="600"/>
      <c r="M79" s="594"/>
      <c r="N79" s="724"/>
      <c r="O79" s="596"/>
    </row>
    <row r="80" spans="2:17" ht="21" thickBot="1" x14ac:dyDescent="0.3">
      <c r="B80" s="16">
        <f t="shared" si="8"/>
        <v>71</v>
      </c>
      <c r="C80" s="111" t="s">
        <v>140</v>
      </c>
      <c r="D80" s="193" t="s">
        <v>141</v>
      </c>
      <c r="E80" s="599" t="str">
        <f t="shared" si="9"/>
        <v>Grete BergeOwren</v>
      </c>
      <c r="F80" s="192">
        <f>YEAR(I$5)-_xlfn.XLOOKUP(E80,Deltakerliste!E$5:E$98,Deltakerliste!I$5:I$98)</f>
        <v>67</v>
      </c>
      <c r="G80" s="192">
        <f>_xlfn.XLOOKUP(E80,Deltakerliste!E$5:E$98,Deltakerliste!H$5:H$98)</f>
        <v>4</v>
      </c>
      <c r="H80" s="592">
        <f>VLOOKUP(F80,Deltakerliste!P$6:T$84,G80,FALSE)</f>
        <v>1.8422000000000009</v>
      </c>
      <c r="I80" s="18"/>
      <c r="J80" s="18"/>
      <c r="K80" s="18"/>
      <c r="L80" s="600"/>
      <c r="M80" s="594"/>
      <c r="N80" s="724"/>
      <c r="O80" s="596"/>
    </row>
    <row r="81" spans="2:15" ht="21" thickBot="1" x14ac:dyDescent="0.3">
      <c r="B81" s="16">
        <f t="shared" si="8"/>
        <v>72</v>
      </c>
      <c r="C81" s="111" t="s">
        <v>144</v>
      </c>
      <c r="D81" s="108" t="s">
        <v>145</v>
      </c>
      <c r="E81" s="599" t="str">
        <f t="shared" si="9"/>
        <v>Bjørn Rindstad</v>
      </c>
      <c r="F81" s="192">
        <f>YEAR(I$5)-_xlfn.XLOOKUP(E81,Deltakerliste!E$5:E$98,Deltakerliste!I$5:I$98)</f>
        <v>74</v>
      </c>
      <c r="G81" s="192">
        <f>_xlfn.XLOOKUP(E81,Deltakerliste!E$5:E$98,Deltakerliste!H$5:H$98)</f>
        <v>2</v>
      </c>
      <c r="H81" s="592">
        <f>VLOOKUP(F81,Deltakerliste!P$6:T$84,G81,FALSE)</f>
        <v>1.569</v>
      </c>
      <c r="I81" s="18"/>
      <c r="J81" s="18"/>
      <c r="K81" s="18"/>
      <c r="L81" s="600"/>
      <c r="M81" s="594"/>
      <c r="N81" s="724"/>
      <c r="O81" s="596"/>
    </row>
    <row r="82" spans="2:15" ht="21" thickBot="1" x14ac:dyDescent="0.3">
      <c r="B82" s="16">
        <f t="shared" si="8"/>
        <v>73</v>
      </c>
      <c r="C82" s="111" t="s">
        <v>228</v>
      </c>
      <c r="D82" s="193" t="s">
        <v>229</v>
      </c>
      <c r="E82" s="599" t="str">
        <f t="shared" si="9"/>
        <v>May-LisRønning</v>
      </c>
      <c r="F82" s="192">
        <f>YEAR(I$5)-_xlfn.XLOOKUP(E82,Deltakerliste!E$5:E$98,Deltakerliste!I$5:I$98)</f>
        <v>55</v>
      </c>
      <c r="G82" s="192">
        <f>_xlfn.XLOOKUP(E82,Deltakerliste!E$5:E$98,Deltakerliste!H$5:H$98)</f>
        <v>4</v>
      </c>
      <c r="H82" s="592">
        <f>VLOOKUP(F82,Deltakerliste!P$6:T$84,G82,FALSE)</f>
        <v>1.5099999999999996</v>
      </c>
      <c r="I82" s="18"/>
      <c r="J82" s="18"/>
      <c r="K82" s="18"/>
      <c r="L82" s="600"/>
      <c r="M82" s="594"/>
      <c r="N82" s="724"/>
      <c r="O82" s="596"/>
    </row>
    <row r="83" spans="2:15" ht="21" thickBot="1" x14ac:dyDescent="0.3">
      <c r="B83" s="16">
        <f t="shared" si="8"/>
        <v>74</v>
      </c>
      <c r="C83" s="111" t="s">
        <v>147</v>
      </c>
      <c r="D83" s="193" t="s">
        <v>148</v>
      </c>
      <c r="E83" s="599" t="str">
        <f t="shared" si="9"/>
        <v>ViggoSchei</v>
      </c>
      <c r="F83" s="192">
        <f>YEAR(I$5)-_xlfn.XLOOKUP(E83,Deltakerliste!E$5:E$98,Deltakerliste!I$5:I$98)</f>
        <v>74</v>
      </c>
      <c r="G83" s="192">
        <f>_xlfn.XLOOKUP(E83,Deltakerliste!E$5:E$98,Deltakerliste!H$5:H$98)</f>
        <v>2</v>
      </c>
      <c r="H83" s="592">
        <f>VLOOKUP(F83,Deltakerliste!P$6:T$84,G83,FALSE)</f>
        <v>1.569</v>
      </c>
      <c r="I83" s="18"/>
      <c r="J83" s="132"/>
      <c r="K83" s="18"/>
      <c r="L83" s="600"/>
      <c r="M83" s="594"/>
      <c r="N83" s="724"/>
      <c r="O83" s="596"/>
    </row>
    <row r="84" spans="2:15" ht="21" thickBot="1" x14ac:dyDescent="0.3">
      <c r="B84" s="16">
        <f t="shared" si="8"/>
        <v>75</v>
      </c>
      <c r="C84" s="111" t="s">
        <v>298</v>
      </c>
      <c r="D84" s="108" t="s">
        <v>297</v>
      </c>
      <c r="E84" s="599" t="str">
        <f t="shared" si="9"/>
        <v>ØyvindSchjelderup</v>
      </c>
      <c r="F84" s="192">
        <f>YEAR(I$5)-_xlfn.XLOOKUP(E84,Deltakerliste!E$5:E$98,Deltakerliste!I$5:I$98)</f>
        <v>60</v>
      </c>
      <c r="G84" s="192">
        <f>_xlfn.XLOOKUP(E84,Deltakerliste!E$5:E$98,Deltakerliste!H$5:H$98)</f>
        <v>2</v>
      </c>
      <c r="H84" s="592">
        <f>VLOOKUP(F84,Deltakerliste!P$6:T$84,G84,FALSE)</f>
        <v>1.2000000000000002</v>
      </c>
      <c r="I84" s="18"/>
      <c r="J84" s="18"/>
      <c r="K84" s="18"/>
      <c r="L84" s="600"/>
      <c r="M84" s="594"/>
      <c r="N84" s="724"/>
      <c r="O84" s="596"/>
    </row>
    <row r="85" spans="2:15" ht="21" thickBot="1" x14ac:dyDescent="0.3">
      <c r="B85" s="16">
        <f t="shared" si="8"/>
        <v>76</v>
      </c>
      <c r="C85" s="111" t="s">
        <v>149</v>
      </c>
      <c r="D85" s="108" t="s">
        <v>150</v>
      </c>
      <c r="E85" s="599" t="str">
        <f t="shared" si="9"/>
        <v>BenteSkorge</v>
      </c>
      <c r="F85" s="192">
        <f>YEAR(I$5)-_xlfn.XLOOKUP(E85,Deltakerliste!E$5:E$98,Deltakerliste!I$5:I$98)</f>
        <v>66</v>
      </c>
      <c r="G85" s="192">
        <f>_xlfn.XLOOKUP(E85,Deltakerliste!E$5:E$98,Deltakerliste!H$5:H$98)</f>
        <v>4</v>
      </c>
      <c r="H85" s="592">
        <f>VLOOKUP(F85,Deltakerliste!P$6:T$84,G85,FALSE)</f>
        <v>1.8066000000000009</v>
      </c>
      <c r="I85" s="18"/>
      <c r="J85" s="132"/>
      <c r="K85" s="18"/>
      <c r="L85" s="600"/>
      <c r="M85" s="594"/>
      <c r="N85" s="724"/>
      <c r="O85" s="596"/>
    </row>
    <row r="86" spans="2:15" ht="21" thickBot="1" x14ac:dyDescent="0.3">
      <c r="B86" s="16">
        <f t="shared" si="8"/>
        <v>77</v>
      </c>
      <c r="C86" s="193" t="s">
        <v>155</v>
      </c>
      <c r="D86" s="108" t="s">
        <v>156</v>
      </c>
      <c r="E86" s="599" t="str">
        <f t="shared" si="9"/>
        <v>KjellrunSporild</v>
      </c>
      <c r="F86" s="192">
        <f>YEAR(I$5)-_xlfn.XLOOKUP(E86,Deltakerliste!E$5:E$98,Deltakerliste!I$5:I$98)</f>
        <v>70</v>
      </c>
      <c r="G86" s="192">
        <f>_xlfn.XLOOKUP(E86,Deltakerliste!E$5:E$98,Deltakerliste!H$5:H$98)</f>
        <v>4</v>
      </c>
      <c r="H86" s="592">
        <f>VLOOKUP(F86,Deltakerliste!P$6:T$84,G86,FALSE)</f>
        <v>1.9490000000000012</v>
      </c>
      <c r="I86" s="18"/>
      <c r="J86" s="132"/>
      <c r="K86" s="18"/>
      <c r="L86" s="600"/>
      <c r="M86" s="594"/>
      <c r="N86" s="724"/>
      <c r="O86" s="596"/>
    </row>
    <row r="87" spans="2:15" ht="21" thickBot="1" x14ac:dyDescent="0.3">
      <c r="B87" s="16">
        <f t="shared" si="8"/>
        <v>78</v>
      </c>
      <c r="C87" s="193" t="s">
        <v>232</v>
      </c>
      <c r="D87" s="133" t="s">
        <v>231</v>
      </c>
      <c r="E87" s="599" t="str">
        <f t="shared" si="9"/>
        <v>BeritSunnset</v>
      </c>
      <c r="F87" s="192">
        <f>YEAR(I$5)-_xlfn.XLOOKUP(E87,Deltakerliste!E$5:E$98,Deltakerliste!I$5:I$98)</f>
        <v>62</v>
      </c>
      <c r="G87" s="192">
        <f>_xlfn.XLOOKUP(E87,Deltakerliste!E$5:E$98,Deltakerliste!H$5:H$98)</f>
        <v>4</v>
      </c>
      <c r="H87" s="592">
        <f>VLOOKUP(F87,Deltakerliste!P$6:T$84,G87,FALSE)</f>
        <v>1.6834000000000005</v>
      </c>
      <c r="I87" s="18"/>
      <c r="J87" s="18"/>
      <c r="K87" s="18"/>
      <c r="L87" s="600"/>
      <c r="M87" s="594"/>
      <c r="N87" s="724"/>
      <c r="O87" s="596"/>
    </row>
    <row r="88" spans="2:15" ht="21" thickBot="1" x14ac:dyDescent="0.3">
      <c r="B88" s="16">
        <f t="shared" si="8"/>
        <v>79</v>
      </c>
      <c r="C88" s="193" t="s">
        <v>230</v>
      </c>
      <c r="D88" s="108" t="s">
        <v>231</v>
      </c>
      <c r="E88" s="599" t="str">
        <f t="shared" si="9"/>
        <v>TrineSunnset</v>
      </c>
      <c r="F88" s="192">
        <f>YEAR(I$5)-_xlfn.XLOOKUP(E88,Deltakerliste!E$5:E$98,Deltakerliste!I$5:I$98)</f>
        <v>62</v>
      </c>
      <c r="G88" s="192">
        <f>_xlfn.XLOOKUP(E88,Deltakerliste!E$5:E$98,Deltakerliste!H$5:H$98)</f>
        <v>4</v>
      </c>
      <c r="H88" s="592">
        <f>VLOOKUP(F88,Deltakerliste!P$6:T$84,G88,FALSE)</f>
        <v>1.6834000000000005</v>
      </c>
      <c r="I88" s="18"/>
      <c r="J88" s="18"/>
      <c r="K88" s="18"/>
      <c r="L88" s="790"/>
      <c r="M88" s="594"/>
      <c r="N88" s="724"/>
      <c r="O88" s="596"/>
    </row>
    <row r="89" spans="2:15" ht="21" thickBot="1" x14ac:dyDescent="0.3">
      <c r="B89" s="16">
        <f t="shared" si="8"/>
        <v>80</v>
      </c>
      <c r="C89" s="193" t="s">
        <v>265</v>
      </c>
      <c r="D89" s="108" t="s">
        <v>266</v>
      </c>
      <c r="E89" s="599" t="str">
        <f t="shared" si="9"/>
        <v>ØysteinWiggen</v>
      </c>
      <c r="F89" s="192">
        <f>YEAR(I$5)-_xlfn.XLOOKUP(E89,Deltakerliste!E$5:E$98,Deltakerliste!I$5:I$98)</f>
        <v>59</v>
      </c>
      <c r="G89" s="192">
        <f>_xlfn.XLOOKUP(E89,Deltakerliste!E$5:E$98,Deltakerliste!H$5:H$98)</f>
        <v>2</v>
      </c>
      <c r="H89" s="592">
        <f>VLOOKUP(F89,Deltakerliste!P$6:T$84,G89,FALSE)</f>
        <v>1.1860000000000002</v>
      </c>
      <c r="I89" s="18"/>
      <c r="J89" s="132"/>
      <c r="K89" s="18"/>
      <c r="L89" s="791"/>
      <c r="M89" s="594"/>
      <c r="N89" s="792"/>
      <c r="O89" s="596"/>
    </row>
    <row r="90" spans="2:15" ht="21" thickBot="1" x14ac:dyDescent="0.3">
      <c r="B90" s="16">
        <f t="shared" si="8"/>
        <v>81</v>
      </c>
      <c r="C90" s="193" t="s">
        <v>166</v>
      </c>
      <c r="D90" s="108" t="s">
        <v>167</v>
      </c>
      <c r="E90" s="599" t="str">
        <f t="shared" si="9"/>
        <v>GunnarØsterbø</v>
      </c>
      <c r="F90" s="192">
        <f>YEAR(I$5)-_xlfn.XLOOKUP(E90,Deltakerliste!E$5:E$98,Deltakerliste!I$5:I$98)</f>
        <v>86</v>
      </c>
      <c r="G90" s="192">
        <f>_xlfn.XLOOKUP(E90,Deltakerliste!E$5:E$98,Deltakerliste!H$5:H$98)</f>
        <v>2</v>
      </c>
      <c r="H90" s="592">
        <f>VLOOKUP(F90,Deltakerliste!P$6:T$84,G90,FALSE)</f>
        <v>2.3089999999999997</v>
      </c>
      <c r="I90" s="18"/>
      <c r="J90" s="132"/>
      <c r="K90" s="18"/>
      <c r="L90" s="725"/>
      <c r="M90" s="717"/>
      <c r="N90" s="726"/>
      <c r="O90" s="719"/>
    </row>
    <row r="100" spans="4:11" ht="17" thickBot="1" x14ac:dyDescent="0.25"/>
    <row r="101" spans="4:11" ht="21" thickTop="1" thickBot="1" x14ac:dyDescent="0.3">
      <c r="D101" s="646" t="s">
        <v>288</v>
      </c>
      <c r="E101" s="647"/>
      <c r="F101" s="666"/>
      <c r="G101" s="666"/>
      <c r="H101" s="666"/>
      <c r="I101" s="648" t="s">
        <v>195</v>
      </c>
      <c r="J101" s="648" t="s">
        <v>196</v>
      </c>
      <c r="K101" s="649" t="s">
        <v>197</v>
      </c>
    </row>
    <row r="102" spans="4:11" ht="20" x14ac:dyDescent="0.25">
      <c r="D102" s="634" t="s">
        <v>172</v>
      </c>
      <c r="E102" s="320"/>
      <c r="F102" s="208"/>
      <c r="G102" s="208"/>
      <c r="H102" s="208"/>
      <c r="I102" s="635">
        <f>COUNT(I10:I94)+COUNTIF(I10:I94,"Brutt")+COUNTIF(I10:I94,"(*)")</f>
        <v>19</v>
      </c>
      <c r="J102" s="635">
        <f>COUNT(J10:J94)+COUNTIF(J10:J94,"Brutt")+COUNTIF(J10:J94,"(*)")</f>
        <v>18</v>
      </c>
      <c r="K102" s="636">
        <f>I102+J102</f>
        <v>37</v>
      </c>
    </row>
    <row r="103" spans="4:11" ht="19" x14ac:dyDescent="0.25">
      <c r="D103" s="637" t="s">
        <v>174</v>
      </c>
      <c r="E103" s="320"/>
      <c r="F103" s="208"/>
      <c r="G103" s="208"/>
      <c r="H103" s="208"/>
      <c r="I103" s="635">
        <f>COUNT(I10:I94)</f>
        <v>19</v>
      </c>
      <c r="J103" s="635">
        <f>COUNT(J10:J94)</f>
        <v>18</v>
      </c>
      <c r="K103" s="636">
        <f t="shared" ref="K103" si="10">I103+J103</f>
        <v>37</v>
      </c>
    </row>
    <row r="104" spans="4:11" ht="19" x14ac:dyDescent="0.25">
      <c r="D104" s="637" t="s">
        <v>173</v>
      </c>
      <c r="E104" s="320"/>
      <c r="F104" s="208"/>
      <c r="G104" s="208"/>
      <c r="H104" s="208"/>
      <c r="I104" s="208"/>
      <c r="J104" s="208"/>
      <c r="K104" s="636">
        <f>K102+COUNTIF(L10:L94,"Arr")+COUNTIF(L10:L94,"Løype")</f>
        <v>41</v>
      </c>
    </row>
    <row r="105" spans="4:11" ht="19" x14ac:dyDescent="0.25">
      <c r="D105" s="637" t="s">
        <v>341</v>
      </c>
      <c r="E105" s="320"/>
      <c r="F105" s="208"/>
      <c r="G105" s="208"/>
      <c r="H105" s="208"/>
      <c r="I105" s="208"/>
      <c r="J105" s="208"/>
      <c r="K105" s="638">
        <f>AVERAGEIF(M10:M94,"&gt;0",F10:F94)</f>
        <v>75.58536585365853</v>
      </c>
    </row>
    <row r="106" spans="4:11" ht="19" x14ac:dyDescent="0.25">
      <c r="D106" s="637" t="s">
        <v>296</v>
      </c>
      <c r="E106" s="320"/>
      <c r="F106" s="208"/>
      <c r="G106" s="208"/>
      <c r="H106" s="208"/>
      <c r="I106" s="208"/>
      <c r="J106" s="208"/>
      <c r="K106" s="638">
        <f>AVERAGE(I8:J8)</f>
        <v>2.35</v>
      </c>
    </row>
    <row r="107" spans="4:11" ht="19" x14ac:dyDescent="0.25">
      <c r="D107" s="637" t="s">
        <v>176</v>
      </c>
      <c r="E107" s="320"/>
      <c r="F107" s="208"/>
      <c r="G107" s="208"/>
      <c r="H107" s="208"/>
      <c r="I107" s="112">
        <f>I8*I103</f>
        <v>32.299999999999997</v>
      </c>
      <c r="J107" s="112">
        <f>J8*J103</f>
        <v>54</v>
      </c>
      <c r="K107" s="638">
        <f>I107+J107</f>
        <v>86.3</v>
      </c>
    </row>
    <row r="108" spans="4:11" ht="19" x14ac:dyDescent="0.25">
      <c r="D108" s="639" t="s">
        <v>286</v>
      </c>
      <c r="E108" s="320"/>
      <c r="F108" s="208"/>
      <c r="G108" s="208"/>
      <c r="H108" s="208"/>
      <c r="I108" s="103">
        <f>IF(SUM(I10:I94)=0," ",AVERAGE(I10:I94))</f>
        <v>2.2936159844054584E-2</v>
      </c>
      <c r="J108" s="103">
        <f>IF(SUM(J10:J94)=0," ",AVERAGE(J10:J94))</f>
        <v>3.0079732510288067E-2</v>
      </c>
      <c r="K108" s="640">
        <f>IF(SUM(I10:J94)=0," ",AVERAGE(I10:J94))</f>
        <v>2.6411411411411404E-2</v>
      </c>
    </row>
    <row r="109" spans="4:11" ht="20" thickBot="1" x14ac:dyDescent="0.3">
      <c r="D109" s="641" t="s">
        <v>287</v>
      </c>
      <c r="E109" s="642"/>
      <c r="F109" s="644"/>
      <c r="G109" s="644"/>
      <c r="H109" s="644"/>
      <c r="I109" s="643"/>
      <c r="J109" s="644"/>
      <c r="K109" s="645">
        <f>MIN(L10:L94)</f>
        <v>7.8356481481481489E-3</v>
      </c>
    </row>
    <row r="110" spans="4:11" ht="17" thickTop="1" x14ac:dyDescent="0.2"/>
  </sheetData>
  <autoFilter ref="B9:O90" xr:uid="{22F50339-921F-F044-8316-0EF4CD6B7848}">
    <sortState xmlns:xlrd2="http://schemas.microsoft.com/office/spreadsheetml/2017/richdata2" ref="B10:O90">
      <sortCondition ref="N9:N90"/>
    </sortState>
  </autoFilter>
  <mergeCells count="3">
    <mergeCell ref="W7:X7"/>
    <mergeCell ref="S8:U8"/>
    <mergeCell ref="W8:X8"/>
  </mergeCells>
  <pageMargins left="0.7" right="0.7" top="0.75" bottom="0.75" header="0.3" footer="0.3"/>
  <pageSetup paperSize="9" orientation="portrait" horizontalDpi="0" verticalDpi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EE1B1-CC8B-0F4A-922E-64EE0290D611}">
  <dimension ref="B1:AC110"/>
  <sheetViews>
    <sheetView topLeftCell="A57" zoomScale="90" zoomScaleNormal="90" workbookViewId="0">
      <selection activeCell="G1" sqref="G1:G1048576"/>
    </sheetView>
  </sheetViews>
  <sheetFormatPr baseColWidth="10" defaultColWidth="10.83203125" defaultRowHeight="16" x14ac:dyDescent="0.2"/>
  <cols>
    <col min="3" max="3" width="14.5" customWidth="1"/>
    <col min="4" max="4" width="20.1640625" customWidth="1"/>
    <col min="5" max="5" width="20.1640625" hidden="1" customWidth="1"/>
    <col min="6" max="6" width="14.5" style="15" customWidth="1"/>
    <col min="7" max="7" width="14.5" style="15" hidden="1" customWidth="1"/>
    <col min="8" max="8" width="14" style="15" customWidth="1"/>
    <col min="9" max="10" width="19.1640625" style="15" customWidth="1"/>
    <col min="11" max="11" width="17.6640625" style="15" customWidth="1"/>
    <col min="12" max="12" width="10.83203125" style="15"/>
    <col min="14" max="14" width="10.83203125" style="15"/>
    <col min="18" max="18" width="12.5" customWidth="1"/>
    <col min="19" max="19" width="13.5" customWidth="1"/>
    <col min="22" max="22" width="1.83203125" customWidth="1"/>
    <col min="23" max="23" width="15.83203125" customWidth="1"/>
    <col min="24" max="24" width="11" customWidth="1"/>
  </cols>
  <sheetData>
    <row r="1" spans="2:29" ht="8" customHeight="1" x14ac:dyDescent="0.2"/>
    <row r="2" spans="2:29" ht="8" customHeight="1" x14ac:dyDescent="0.2"/>
    <row r="5" spans="2:29" ht="26" x14ac:dyDescent="0.3">
      <c r="B5" s="21" t="s">
        <v>203</v>
      </c>
      <c r="C5" s="245" t="s">
        <v>40</v>
      </c>
      <c r="F5" s="667"/>
      <c r="G5" s="667"/>
      <c r="H5" s="671" t="s">
        <v>189</v>
      </c>
      <c r="I5" s="670">
        <f>'Løp 6'!I5+7</f>
        <v>45979</v>
      </c>
    </row>
    <row r="6" spans="2:29" ht="17" thickBot="1" x14ac:dyDescent="0.25">
      <c r="B6" s="15"/>
    </row>
    <row r="7" spans="2:29" ht="59" customHeight="1" thickBot="1" x14ac:dyDescent="0.35">
      <c r="B7" s="12" t="s">
        <v>194</v>
      </c>
      <c r="C7" s="662" t="s">
        <v>57</v>
      </c>
      <c r="D7" s="391" t="s">
        <v>58</v>
      </c>
      <c r="E7" s="663"/>
      <c r="F7" s="663" t="s">
        <v>234</v>
      </c>
      <c r="G7" s="391" t="s">
        <v>280</v>
      </c>
      <c r="H7" s="391" t="s">
        <v>235</v>
      </c>
      <c r="I7" s="391" t="s">
        <v>302</v>
      </c>
      <c r="J7" s="391" t="s">
        <v>303</v>
      </c>
      <c r="K7" s="391" t="s">
        <v>192</v>
      </c>
      <c r="L7" s="194" t="s">
        <v>209</v>
      </c>
      <c r="M7" s="392" t="s">
        <v>55</v>
      </c>
      <c r="N7" s="393" t="s">
        <v>242</v>
      </c>
      <c r="O7" s="393" t="s">
        <v>240</v>
      </c>
      <c r="Q7" s="319"/>
      <c r="R7" s="319"/>
      <c r="S7" s="755" t="str">
        <f>B5</f>
        <v>Løp 7</v>
      </c>
      <c r="T7" s="754" t="str">
        <f>C5</f>
        <v>Saupstad</v>
      </c>
      <c r="U7" s="730"/>
      <c r="V7" s="730"/>
      <c r="W7" s="941"/>
      <c r="X7" s="941"/>
    </row>
    <row r="8" spans="2:29" ht="23" customHeight="1" thickTop="1" thickBot="1" x14ac:dyDescent="0.35">
      <c r="B8" s="22"/>
      <c r="C8" s="394"/>
      <c r="D8" s="395"/>
      <c r="E8" s="597"/>
      <c r="F8" s="668"/>
      <c r="G8" s="668"/>
      <c r="H8" s="664"/>
      <c r="I8" s="391">
        <v>2.2000000000000002</v>
      </c>
      <c r="J8" s="789">
        <v>3.1</v>
      </c>
      <c r="K8" s="391"/>
      <c r="N8" s="720"/>
      <c r="O8" s="390"/>
      <c r="S8" s="942" t="s">
        <v>312</v>
      </c>
      <c r="T8" s="943"/>
      <c r="U8" s="944"/>
      <c r="V8" s="779"/>
      <c r="W8" s="945" t="s">
        <v>313</v>
      </c>
      <c r="X8" s="940"/>
      <c r="AB8" s="836" t="s">
        <v>361</v>
      </c>
      <c r="AC8" s="827"/>
    </row>
    <row r="9" spans="2:29" ht="21" thickBot="1" x14ac:dyDescent="0.3">
      <c r="B9" s="22"/>
      <c r="C9" s="109"/>
      <c r="D9" s="105"/>
      <c r="E9" s="598"/>
      <c r="F9" s="669"/>
      <c r="G9" s="669"/>
      <c r="H9" s="665"/>
      <c r="I9" s="12"/>
      <c r="J9" s="12"/>
      <c r="K9" s="12"/>
      <c r="N9" s="722"/>
      <c r="O9" s="200"/>
      <c r="Q9" s="110"/>
      <c r="S9" s="731"/>
      <c r="T9" s="727" t="s">
        <v>311</v>
      </c>
      <c r="U9" s="750" t="s">
        <v>55</v>
      </c>
      <c r="V9" s="780"/>
      <c r="W9" s="774"/>
      <c r="X9" s="732" t="s">
        <v>55</v>
      </c>
      <c r="AB9" s="834" t="s">
        <v>234</v>
      </c>
      <c r="AC9" s="835" t="s">
        <v>362</v>
      </c>
    </row>
    <row r="10" spans="2:29" ht="21" thickBot="1" x14ac:dyDescent="0.3">
      <c r="B10" s="16">
        <f t="shared" ref="B10:B73" si="0">B9+1</f>
        <v>1</v>
      </c>
      <c r="C10" s="106" t="s">
        <v>126</v>
      </c>
      <c r="D10" s="107" t="s">
        <v>127</v>
      </c>
      <c r="E10" s="599" t="str">
        <f t="shared" ref="E10:E41" si="1">_xlfn.CONCAT(C10:D10)</f>
        <v>ArneMikkelsen</v>
      </c>
      <c r="F10" s="192">
        <f>YEAR(I$5)-_xlfn.XLOOKUP(E10,Deltakerliste!E$5:E$98,Deltakerliste!I$5:I$98)</f>
        <v>72</v>
      </c>
      <c r="G10" s="192">
        <f>_xlfn.XLOOKUP(E10,Deltakerliste!E$5:E$98,Deltakerliste!H$5:H$98)</f>
        <v>2</v>
      </c>
      <c r="H10" s="592">
        <f>VLOOKUP(F10,Deltakerliste!P$6:T$84,G10,FALSE)</f>
        <v>1.4969999999999999</v>
      </c>
      <c r="I10" s="13"/>
      <c r="J10" s="13">
        <v>5.2141203703703703E-2</v>
      </c>
      <c r="K10" s="13"/>
      <c r="L10" s="600">
        <f t="shared" ref="L10:L39" si="2">IF(OR(I10="Arr",J10="Arr",K10="Arr"),"Arr",IF(OR(I10="Brutt",J10="Brutt",K10="Brutt"),"Brutt",IF(OR(I10="Løype",J10="Løype",K10="Løype"),"Løype",IF(I10&gt;0,I10/I$8,J10/J$8))))</f>
        <v>1.6819743130227001E-2</v>
      </c>
      <c r="M10" s="594">
        <f>IF(L10="Løype",Poengsammendrag!$F$2,IF(L10="Arr",Poengsammendrag!$F$3,IF(L10="Brutt",50,IF(L10="Disk",50,ROUND(MAXA(100*(MIN(L$10:L$88)/L10),50),0)))))</f>
        <v>100</v>
      </c>
      <c r="N10" s="724">
        <f t="shared" ref="N10:N39" si="3">IF(L10="Arr","Arr",IF(L10="Brutt","Brutt",IF(L10="Løype","Løype",L10/H10)))</f>
        <v>1.1235633353525051E-2</v>
      </c>
      <c r="O10" s="596">
        <f>IF(N10="Løype",Poengsammendrag!$F$2,IF(N10="Arr",Poengsammendrag!$F$3,IF(N10="Brutt",50,IF(N10="Disk",50,ROUND(MAXA(100*(MIN(N$10:N$88)/N10),50),0)))))</f>
        <v>78</v>
      </c>
      <c r="Q10" s="672"/>
      <c r="R10" s="672"/>
      <c r="S10" s="802" t="s">
        <v>126</v>
      </c>
      <c r="T10" s="734">
        <v>1.6819743130227001E-2</v>
      </c>
      <c r="U10" s="751">
        <v>100</v>
      </c>
      <c r="V10" s="781"/>
      <c r="W10" s="775" t="s">
        <v>96</v>
      </c>
      <c r="X10" s="739">
        <v>100</v>
      </c>
      <c r="AB10" s="832">
        <v>55</v>
      </c>
      <c r="AC10" s="833">
        <f t="shared" ref="AC10:AC50" si="4">COUNTIFS(F$10:F$95,AB10,M$10:M$95,"&gt;0")</f>
        <v>0</v>
      </c>
    </row>
    <row r="11" spans="2:29" ht="21" customHeight="1" thickBot="1" x14ac:dyDescent="0.3">
      <c r="B11" s="16">
        <f t="shared" si="0"/>
        <v>2</v>
      </c>
      <c r="C11" s="106" t="s">
        <v>120</v>
      </c>
      <c r="D11" s="107" t="s">
        <v>121</v>
      </c>
      <c r="E11" s="599" t="str">
        <f t="shared" si="1"/>
        <v>KlausLivik</v>
      </c>
      <c r="F11" s="192">
        <f>YEAR(I$5)-_xlfn.XLOOKUP(E11,Deltakerliste!E$5:E$98,Deltakerliste!I$5:I$98)</f>
        <v>71</v>
      </c>
      <c r="G11" s="192">
        <f>_xlfn.XLOOKUP(E11,Deltakerliste!E$5:E$98,Deltakerliste!H$5:H$98)</f>
        <v>2</v>
      </c>
      <c r="H11" s="592">
        <f>VLOOKUP(F11,Deltakerliste!P$6:T$84,G11,FALSE)</f>
        <v>1.4609999999999999</v>
      </c>
      <c r="I11" s="13"/>
      <c r="J11" s="13">
        <v>5.4872685185185184E-2</v>
      </c>
      <c r="K11" s="17"/>
      <c r="L11" s="600">
        <f t="shared" si="2"/>
        <v>1.7700866188769412E-2</v>
      </c>
      <c r="M11" s="594">
        <f>IF(L11="Løype",Poengsammendrag!$F$2,IF(L11="Arr",Poengsammendrag!$F$3,IF(L11="Brutt",50,IF(L11="Disk",50,ROUND(MAXA(100*(MIN(L$10:L$88)/L11),50),0)))))</f>
        <v>95</v>
      </c>
      <c r="N11" s="724">
        <f t="shared" si="3"/>
        <v>1.2115582606960584E-2</v>
      </c>
      <c r="O11" s="596">
        <f>IF(N11="Løype",Poengsammendrag!$F$2,IF(N11="Arr",Poengsammendrag!$F$3,IF(N11="Brutt",50,IF(N11="Disk",50,ROUND(MAXA(100*(MIN(N$10:N$88)/N11),50),0)))))</f>
        <v>72</v>
      </c>
      <c r="Q11" s="672"/>
      <c r="R11" s="672"/>
      <c r="S11" s="803" t="s">
        <v>120</v>
      </c>
      <c r="T11" s="736">
        <v>1.7700866188769412E-2</v>
      </c>
      <c r="U11" s="752">
        <v>95</v>
      </c>
      <c r="V11" s="781"/>
      <c r="W11" s="776" t="s">
        <v>138</v>
      </c>
      <c r="X11" s="740">
        <v>98</v>
      </c>
      <c r="AB11" s="828">
        <f>AB10+1</f>
        <v>56</v>
      </c>
      <c r="AC11" s="829">
        <f t="shared" si="4"/>
        <v>0</v>
      </c>
    </row>
    <row r="12" spans="2:29" ht="21" customHeight="1" thickBot="1" x14ac:dyDescent="0.3">
      <c r="B12" s="16">
        <f t="shared" si="0"/>
        <v>3</v>
      </c>
      <c r="C12" s="106" t="s">
        <v>63</v>
      </c>
      <c r="D12" s="107" t="s">
        <v>98</v>
      </c>
      <c r="E12" s="599" t="str">
        <f t="shared" si="1"/>
        <v>ToreHeggem</v>
      </c>
      <c r="F12" s="192">
        <f>YEAR(I$5)-_xlfn.XLOOKUP(E12,Deltakerliste!E$5:E$98,Deltakerliste!I$5:I$98)</f>
        <v>72</v>
      </c>
      <c r="G12" s="192">
        <f>_xlfn.XLOOKUP(E12,Deltakerliste!E$5:E$98,Deltakerliste!H$5:H$98)</f>
        <v>2</v>
      </c>
      <c r="H12" s="592">
        <f>VLOOKUP(F12,Deltakerliste!P$6:T$84,G12,FALSE)</f>
        <v>1.4969999999999999</v>
      </c>
      <c r="I12" s="86"/>
      <c r="J12" s="86">
        <v>5.590277777777778E-2</v>
      </c>
      <c r="K12" s="13"/>
      <c r="L12" s="600">
        <f t="shared" si="2"/>
        <v>1.8033154121863799E-2</v>
      </c>
      <c r="M12" s="594">
        <f>IF(L12="Løype",Poengsammendrag!$F$2,IF(L12="Arr",Poengsammendrag!$F$3,IF(L12="Brutt",50,IF(L12="Disk",50,ROUND(MAXA(100*(MIN(L$10:L$88)/L12),50),0)))))</f>
        <v>93</v>
      </c>
      <c r="N12" s="724">
        <f t="shared" si="3"/>
        <v>1.2046195138185571E-2</v>
      </c>
      <c r="O12" s="596">
        <f>IF(N12="Løype",Poengsammendrag!$F$2,IF(N12="Arr",Poengsammendrag!$F$3,IF(N12="Brutt",50,IF(N12="Disk",50,ROUND(MAXA(100*(MIN(N$10:N$88)/N12),50),0)))))</f>
        <v>73</v>
      </c>
      <c r="Q12" s="672"/>
      <c r="R12" s="672"/>
      <c r="S12" s="803" t="s">
        <v>340</v>
      </c>
      <c r="T12" s="736">
        <v>1.8033154121863799E-2</v>
      </c>
      <c r="U12" s="752">
        <v>93</v>
      </c>
      <c r="V12" s="781"/>
      <c r="W12" s="776" t="s">
        <v>114</v>
      </c>
      <c r="X12" s="740">
        <v>88</v>
      </c>
      <c r="AB12" s="828">
        <f t="shared" ref="AB12:AB50" si="5">AB11+1</f>
        <v>57</v>
      </c>
      <c r="AC12" s="829">
        <f t="shared" si="4"/>
        <v>0</v>
      </c>
    </row>
    <row r="13" spans="2:29" ht="21" customHeight="1" thickBot="1" x14ac:dyDescent="0.3">
      <c r="B13" s="16">
        <f t="shared" si="0"/>
        <v>4</v>
      </c>
      <c r="C13" s="106" t="s">
        <v>138</v>
      </c>
      <c r="D13" s="107" t="s">
        <v>137</v>
      </c>
      <c r="E13" s="599" t="str">
        <f t="shared" si="1"/>
        <v>GunnhildOftedal</v>
      </c>
      <c r="F13" s="192">
        <f>YEAR(I$5)-_xlfn.XLOOKUP(E13,Deltakerliste!E$5:E$98,Deltakerliste!I$5:I$98)</f>
        <v>72</v>
      </c>
      <c r="G13" s="192">
        <f>_xlfn.XLOOKUP(E13,Deltakerliste!E$5:E$98,Deltakerliste!H$5:H$98)</f>
        <v>4</v>
      </c>
      <c r="H13" s="592">
        <f>VLOOKUP(F13,Deltakerliste!P$6:T$84,G13,FALSE)</f>
        <v>2.0362000000000013</v>
      </c>
      <c r="I13" s="13"/>
      <c r="J13" s="13">
        <v>5.6122685185185185E-2</v>
      </c>
      <c r="K13" s="13"/>
      <c r="L13" s="600">
        <f t="shared" si="2"/>
        <v>1.8104091995221026E-2</v>
      </c>
      <c r="M13" s="594">
        <f>IF(L13="Løype",Poengsammendrag!$F$2,IF(L13="Arr",Poengsammendrag!$F$3,IF(L13="Brutt",50,IF(L13="Disk",50,ROUND(MAXA(100*(MIN(L$10:L$88)/L13),50),0)))))</f>
        <v>93</v>
      </c>
      <c r="N13" s="724">
        <f t="shared" si="3"/>
        <v>8.8911167838233059E-3</v>
      </c>
      <c r="O13" s="596">
        <f>IF(N13="Løype",Poengsammendrag!$F$2,IF(N13="Arr",Poengsammendrag!$F$3,IF(N13="Brutt",50,IF(N13="Disk",50,ROUND(MAXA(100*(MIN(N$10:N$88)/N13),50),0)))))</f>
        <v>98</v>
      </c>
      <c r="Q13" s="672"/>
      <c r="R13" s="672"/>
      <c r="S13" s="803" t="s">
        <v>138</v>
      </c>
      <c r="T13" s="736">
        <v>1.8104091995221026E-2</v>
      </c>
      <c r="U13" s="752">
        <v>93</v>
      </c>
      <c r="V13" s="781"/>
      <c r="W13" s="776" t="s">
        <v>108</v>
      </c>
      <c r="X13" s="740">
        <v>87</v>
      </c>
      <c r="AB13" s="828">
        <f t="shared" si="5"/>
        <v>58</v>
      </c>
      <c r="AC13" s="829">
        <f t="shared" si="4"/>
        <v>0</v>
      </c>
    </row>
    <row r="14" spans="2:29" ht="21" customHeight="1" thickBot="1" x14ac:dyDescent="0.3">
      <c r="B14" s="16">
        <f t="shared" si="0"/>
        <v>5</v>
      </c>
      <c r="C14" s="106" t="s">
        <v>116</v>
      </c>
      <c r="D14" s="107" t="s">
        <v>165</v>
      </c>
      <c r="E14" s="599" t="str">
        <f t="shared" si="1"/>
        <v>AndersWaage</v>
      </c>
      <c r="F14" s="192">
        <f>YEAR(I$5)-_xlfn.XLOOKUP(E14,Deltakerliste!E$5:E$98,Deltakerliste!I$5:I$98)</f>
        <v>77</v>
      </c>
      <c r="G14" s="192">
        <f>_xlfn.XLOOKUP(E14,Deltakerliste!E$5:E$98,Deltakerliste!H$5:H$98)</f>
        <v>2</v>
      </c>
      <c r="H14" s="592">
        <f>VLOOKUP(F14,Deltakerliste!P$6:T$84,G14,FALSE)</f>
        <v>1.7050000000000001</v>
      </c>
      <c r="I14" s="18"/>
      <c r="J14" s="132">
        <v>5.6689814814814818E-2</v>
      </c>
      <c r="K14" s="18"/>
      <c r="L14" s="600">
        <f t="shared" si="2"/>
        <v>1.8287037037037039E-2</v>
      </c>
      <c r="M14" s="594">
        <f>IF(L14="Løype",Poengsammendrag!$F$2,IF(L14="Arr",Poengsammendrag!$F$3,IF(L14="Brutt",50,IF(L14="Disk",50,ROUND(MAXA(100*(MIN(L$10:L$88)/L14),50),0)))))</f>
        <v>92</v>
      </c>
      <c r="N14" s="724">
        <f t="shared" si="3"/>
        <v>1.0725534919083308E-2</v>
      </c>
      <c r="O14" s="596">
        <f>IF(N14="Løype",Poengsammendrag!$F$2,IF(N14="Arr",Poengsammendrag!$F$3,IF(N14="Brutt",50,IF(N14="Disk",50,ROUND(MAXA(100*(MIN(N$10:N$88)/N14),50),0)))))</f>
        <v>82</v>
      </c>
      <c r="Q14" s="672"/>
      <c r="R14" s="672"/>
      <c r="S14" s="803" t="s">
        <v>314</v>
      </c>
      <c r="T14" s="736">
        <v>1.8287037037037039E-2</v>
      </c>
      <c r="U14" s="752">
        <v>92</v>
      </c>
      <c r="V14" s="781"/>
      <c r="W14" s="776" t="s">
        <v>80</v>
      </c>
      <c r="X14" s="740">
        <v>84</v>
      </c>
      <c r="AB14" s="828">
        <f t="shared" si="5"/>
        <v>59</v>
      </c>
      <c r="AC14" s="829">
        <f t="shared" si="4"/>
        <v>1</v>
      </c>
    </row>
    <row r="15" spans="2:29" ht="21" customHeight="1" thickBot="1" x14ac:dyDescent="0.3">
      <c r="B15" s="16">
        <f t="shared" si="0"/>
        <v>6</v>
      </c>
      <c r="C15" s="106" t="s">
        <v>265</v>
      </c>
      <c r="D15" s="107" t="s">
        <v>266</v>
      </c>
      <c r="E15" s="599" t="str">
        <f t="shared" si="1"/>
        <v>ØysteinWiggen</v>
      </c>
      <c r="F15" s="192">
        <f>YEAR(I$5)-_xlfn.XLOOKUP(E15,Deltakerliste!E$5:E$98,Deltakerliste!I$5:I$98)</f>
        <v>59</v>
      </c>
      <c r="G15" s="192">
        <f>_xlfn.XLOOKUP(E15,Deltakerliste!E$5:E$98,Deltakerliste!H$5:H$98)</f>
        <v>2</v>
      </c>
      <c r="H15" s="592">
        <f>VLOOKUP(F15,Deltakerliste!P$6:T$84,G15,FALSE)</f>
        <v>1.1860000000000002</v>
      </c>
      <c r="I15" s="18"/>
      <c r="J15" s="132">
        <v>5.7777777777777775E-2</v>
      </c>
      <c r="K15" s="18"/>
      <c r="L15" s="600">
        <f t="shared" si="2"/>
        <v>1.8637992831541217E-2</v>
      </c>
      <c r="M15" s="594">
        <f>IF(L15="Løype",Poengsammendrag!$F$2,IF(L15="Arr",Poengsammendrag!$F$3,IF(L15="Brutt",50,IF(L15="Disk",50,ROUND(MAXA(100*(MIN(L$10:L$88)/L15),50),0)))))</f>
        <v>90</v>
      </c>
      <c r="N15" s="724">
        <f t="shared" si="3"/>
        <v>1.5715002387471512E-2</v>
      </c>
      <c r="O15" s="596">
        <f>IF(N15="Løype",Poengsammendrag!$F$2,IF(N15="Arr",Poengsammendrag!$F$3,IF(N15="Brutt",50,IF(N15="Disk",50,ROUND(MAXA(100*(MIN(N$10:N$88)/N15),50),0)))))</f>
        <v>56</v>
      </c>
      <c r="Q15" s="672"/>
      <c r="R15" s="672"/>
      <c r="S15" s="803" t="s">
        <v>368</v>
      </c>
      <c r="T15" s="736">
        <v>1.8637992831541217E-2</v>
      </c>
      <c r="U15" s="752">
        <v>90</v>
      </c>
      <c r="V15" s="781"/>
      <c r="W15" s="776" t="s">
        <v>124</v>
      </c>
      <c r="X15" s="740">
        <v>84</v>
      </c>
      <c r="AB15" s="828">
        <f t="shared" si="5"/>
        <v>60</v>
      </c>
      <c r="AC15" s="829">
        <f t="shared" si="4"/>
        <v>0</v>
      </c>
    </row>
    <row r="16" spans="2:29" ht="21" customHeight="1" thickBot="1" x14ac:dyDescent="0.3">
      <c r="B16" s="16">
        <f t="shared" si="0"/>
        <v>7</v>
      </c>
      <c r="C16" s="106" t="s">
        <v>163</v>
      </c>
      <c r="D16" s="107" t="s">
        <v>164</v>
      </c>
      <c r="E16" s="599" t="str">
        <f t="shared" si="1"/>
        <v>ArnulfVilmo</v>
      </c>
      <c r="F16" s="192">
        <f>YEAR(I$5)-_xlfn.XLOOKUP(E16,Deltakerliste!E$5:E$98,Deltakerliste!I$5:I$98)</f>
        <v>72</v>
      </c>
      <c r="G16" s="192">
        <f>_xlfn.XLOOKUP(E16,Deltakerliste!E$5:E$98,Deltakerliste!H$5:H$98)</f>
        <v>2</v>
      </c>
      <c r="H16" s="592">
        <f>VLOOKUP(F16,Deltakerliste!P$6:T$84,G16,FALSE)</f>
        <v>1.4969999999999999</v>
      </c>
      <c r="I16" s="18"/>
      <c r="J16" s="132">
        <v>5.783564814814815E-2</v>
      </c>
      <c r="K16" s="18"/>
      <c r="L16" s="600">
        <f t="shared" si="2"/>
        <v>1.8656660692951015E-2</v>
      </c>
      <c r="M16" s="594">
        <f>IF(L16="Løype",Poengsammendrag!$F$2,IF(L16="Arr",Poengsammendrag!$F$3,IF(L16="Brutt",50,IF(L16="Disk",50,ROUND(MAXA(100*(MIN(L$10:L$88)/L16),50),0)))))</f>
        <v>90</v>
      </c>
      <c r="N16" s="724">
        <f t="shared" si="3"/>
        <v>1.2462699193688054E-2</v>
      </c>
      <c r="O16" s="596">
        <f>IF(N16="Løype",Poengsammendrag!$F$2,IF(N16="Arr",Poengsammendrag!$F$3,IF(N16="Brutt",50,IF(N16="Disk",50,ROUND(MAXA(100*(MIN(N$10:N$88)/N16),50),0)))))</f>
        <v>70</v>
      </c>
      <c r="Q16" s="672"/>
      <c r="R16" s="672"/>
      <c r="S16" s="803" t="s">
        <v>163</v>
      </c>
      <c r="T16" s="736">
        <v>1.8656660692951015E-2</v>
      </c>
      <c r="U16" s="752">
        <v>90</v>
      </c>
      <c r="V16" s="781"/>
      <c r="W16" s="776" t="s">
        <v>314</v>
      </c>
      <c r="X16" s="740">
        <v>82</v>
      </c>
      <c r="AB16" s="828">
        <f t="shared" si="5"/>
        <v>61</v>
      </c>
      <c r="AC16" s="829">
        <f t="shared" si="4"/>
        <v>0</v>
      </c>
    </row>
    <row r="17" spans="2:29" ht="21" customHeight="1" thickBot="1" x14ac:dyDescent="0.3">
      <c r="B17" s="16">
        <f t="shared" si="0"/>
        <v>8</v>
      </c>
      <c r="C17" s="106" t="s">
        <v>90</v>
      </c>
      <c r="D17" s="107" t="s">
        <v>91</v>
      </c>
      <c r="E17" s="599" t="str">
        <f t="shared" si="1"/>
        <v>TorGjermstad</v>
      </c>
      <c r="F17" s="192">
        <f>YEAR(I$5)-_xlfn.XLOOKUP(E17,Deltakerliste!E$5:E$98,Deltakerliste!I$5:I$98)</f>
        <v>75</v>
      </c>
      <c r="G17" s="192">
        <f>_xlfn.XLOOKUP(E17,Deltakerliste!E$5:E$98,Deltakerliste!H$5:H$98)</f>
        <v>2</v>
      </c>
      <c r="H17" s="592">
        <f>VLOOKUP(F17,Deltakerliste!P$6:T$84,G17,FALSE)</f>
        <v>1.605</v>
      </c>
      <c r="I17" s="86">
        <v>4.1145833333333333E-2</v>
      </c>
      <c r="J17" s="86"/>
      <c r="K17" s="13"/>
      <c r="L17" s="600">
        <f t="shared" si="2"/>
        <v>1.8702651515151512E-2</v>
      </c>
      <c r="M17" s="594">
        <f>IF(L17="Løype",Poengsammendrag!$F$2,IF(L17="Arr",Poengsammendrag!$F$3,IF(L17="Brutt",50,IF(L17="Disk",50,ROUND(MAXA(100*(MIN(L$10:L$88)/L17),50),0)))))</f>
        <v>90</v>
      </c>
      <c r="N17" s="724">
        <f t="shared" si="3"/>
        <v>1.165274237704144E-2</v>
      </c>
      <c r="O17" s="596">
        <f>IF(N17="Løype",Poengsammendrag!$F$2,IF(N17="Arr",Poengsammendrag!$F$3,IF(N17="Brutt",50,IF(N17="Disk",50,ROUND(MAXA(100*(MIN(N$10:N$88)/N17),50),0)))))</f>
        <v>75</v>
      </c>
      <c r="Q17" s="672"/>
      <c r="R17" s="672"/>
      <c r="S17" s="803" t="s">
        <v>90</v>
      </c>
      <c r="T17" s="736">
        <v>1.8702651515151512E-2</v>
      </c>
      <c r="U17" s="752">
        <v>90</v>
      </c>
      <c r="V17" s="781"/>
      <c r="W17" s="776" t="s">
        <v>94</v>
      </c>
      <c r="X17" s="740">
        <v>79</v>
      </c>
      <c r="AB17" s="828">
        <f t="shared" si="5"/>
        <v>62</v>
      </c>
      <c r="AC17" s="829">
        <f t="shared" si="4"/>
        <v>0</v>
      </c>
    </row>
    <row r="18" spans="2:29" ht="21" customHeight="1" thickBot="1" x14ac:dyDescent="0.3">
      <c r="B18" s="16">
        <f t="shared" si="0"/>
        <v>9</v>
      </c>
      <c r="C18" s="106" t="s">
        <v>80</v>
      </c>
      <c r="D18" s="107" t="s">
        <v>81</v>
      </c>
      <c r="E18" s="599" t="str">
        <f t="shared" si="1"/>
        <v>HalvorFlatberg</v>
      </c>
      <c r="F18" s="192">
        <f>YEAR(I$5)-_xlfn.XLOOKUP(E18,Deltakerliste!E$5:E$98,Deltakerliste!I$5:I$98)</f>
        <v>79</v>
      </c>
      <c r="G18" s="192">
        <f>_xlfn.XLOOKUP(E18,Deltakerliste!E$5:E$98,Deltakerliste!H$5:H$98)</f>
        <v>2</v>
      </c>
      <c r="H18" s="592">
        <f>VLOOKUP(F18,Deltakerliste!P$6:T$84,G18,FALSE)</f>
        <v>1.8050000000000002</v>
      </c>
      <c r="I18" s="86">
        <v>4.1400462962962965E-2</v>
      </c>
      <c r="J18" s="86"/>
      <c r="K18" s="13"/>
      <c r="L18" s="600">
        <f t="shared" si="2"/>
        <v>1.8818392255892255E-2</v>
      </c>
      <c r="M18" s="594">
        <f>IF(L18="Løype",Poengsammendrag!$F$2,IF(L18="Arr",Poengsammendrag!$F$3,IF(L18="Brutt",50,IF(L18="Disk",50,ROUND(MAXA(100*(MIN(L$10:L$88)/L18),50),0)))))</f>
        <v>89</v>
      </c>
      <c r="N18" s="724">
        <f t="shared" si="3"/>
        <v>1.0425702080826733E-2</v>
      </c>
      <c r="O18" s="596">
        <f>IF(N18="Løype",Poengsammendrag!$F$2,IF(N18="Arr",Poengsammendrag!$F$3,IF(N18="Brutt",50,IF(N18="Disk",50,ROUND(MAXA(100*(MIN(N$10:N$88)/N18),50),0)))))</f>
        <v>84</v>
      </c>
      <c r="Q18" s="672"/>
      <c r="R18" s="672"/>
      <c r="S18" s="803" t="s">
        <v>80</v>
      </c>
      <c r="T18" s="736">
        <v>1.8818392255892255E-2</v>
      </c>
      <c r="U18" s="752">
        <v>89</v>
      </c>
      <c r="V18" s="781"/>
      <c r="W18" s="776" t="s">
        <v>126</v>
      </c>
      <c r="X18" s="740">
        <v>78</v>
      </c>
      <c r="AB18" s="828">
        <f t="shared" si="5"/>
        <v>63</v>
      </c>
      <c r="AC18" s="829">
        <f t="shared" si="4"/>
        <v>0</v>
      </c>
    </row>
    <row r="19" spans="2:29" ht="21" thickBot="1" x14ac:dyDescent="0.3">
      <c r="B19" s="16">
        <f t="shared" si="0"/>
        <v>10</v>
      </c>
      <c r="C19" s="106" t="s">
        <v>94</v>
      </c>
      <c r="D19" s="107" t="s">
        <v>95</v>
      </c>
      <c r="E19" s="599" t="str">
        <f t="shared" si="1"/>
        <v>TerjeHanssen</v>
      </c>
      <c r="F19" s="192">
        <f>YEAR(I$5)-_xlfn.XLOOKUP(E19,Deltakerliste!E$5:E$98,Deltakerliste!I$5:I$98)</f>
        <v>77</v>
      </c>
      <c r="G19" s="192">
        <f>_xlfn.XLOOKUP(E19,Deltakerliste!E$5:E$98,Deltakerliste!H$5:H$98)</f>
        <v>2</v>
      </c>
      <c r="H19" s="592">
        <f>VLOOKUP(F19,Deltakerliste!P$6:T$84,G19,FALSE)</f>
        <v>1.7050000000000001</v>
      </c>
      <c r="I19" s="86">
        <v>4.175925925925926E-2</v>
      </c>
      <c r="J19" s="86"/>
      <c r="K19" s="17"/>
      <c r="L19" s="600">
        <f t="shared" si="2"/>
        <v>1.8981481481481481E-2</v>
      </c>
      <c r="M19" s="594">
        <f>IF(L19="Løype",Poengsammendrag!$F$2,IF(L19="Arr",Poengsammendrag!$F$3,IF(L19="Brutt",50,IF(L19="Disk",50,ROUND(MAXA(100*(MIN(L$10:L$88)/L19),50),0)))))</f>
        <v>89</v>
      </c>
      <c r="N19" s="724">
        <f t="shared" si="3"/>
        <v>1.1132833713478875E-2</v>
      </c>
      <c r="O19" s="596">
        <f>IF(N19="Løype",Poengsammendrag!$F$2,IF(N19="Arr",Poengsammendrag!$F$3,IF(N19="Brutt",50,IF(N19="Disk",50,ROUND(MAXA(100*(MIN(N$10:N$88)/N19),50),0)))))</f>
        <v>79</v>
      </c>
      <c r="Q19" s="672"/>
      <c r="R19" s="672"/>
      <c r="S19" s="803" t="s">
        <v>94</v>
      </c>
      <c r="T19" s="736">
        <v>1.8981481481481481E-2</v>
      </c>
      <c r="U19" s="752">
        <v>89</v>
      </c>
      <c r="V19" s="781"/>
      <c r="W19" s="776" t="s">
        <v>90</v>
      </c>
      <c r="X19" s="740">
        <v>75</v>
      </c>
      <c r="AB19" s="828">
        <f t="shared" si="5"/>
        <v>64</v>
      </c>
      <c r="AC19" s="829">
        <f t="shared" si="4"/>
        <v>0</v>
      </c>
    </row>
    <row r="20" spans="2:29" ht="21" thickBot="1" x14ac:dyDescent="0.3">
      <c r="B20" s="16">
        <f t="shared" si="0"/>
        <v>11</v>
      </c>
      <c r="C20" s="106" t="s">
        <v>64</v>
      </c>
      <c r="D20" s="107" t="s">
        <v>65</v>
      </c>
      <c r="E20" s="599" t="str">
        <f t="shared" si="1"/>
        <v>BjørnBerger</v>
      </c>
      <c r="F20" s="192">
        <f>YEAR(I$5)-_xlfn.XLOOKUP(E20,Deltakerliste!E$5:E$98,Deltakerliste!I$5:I$98)</f>
        <v>74</v>
      </c>
      <c r="G20" s="192">
        <f>_xlfn.XLOOKUP(E20,Deltakerliste!E$5:E$98,Deltakerliste!H$5:H$98)</f>
        <v>2</v>
      </c>
      <c r="H20" s="592">
        <f>VLOOKUP(F20,Deltakerliste!P$6:T$84,G20,FALSE)</f>
        <v>1.569</v>
      </c>
      <c r="I20" s="13"/>
      <c r="J20" s="13">
        <v>5.8842592592592592E-2</v>
      </c>
      <c r="K20" s="19"/>
      <c r="L20" s="600">
        <f t="shared" si="2"/>
        <v>1.8981481481481481E-2</v>
      </c>
      <c r="M20" s="594">
        <f>IF(L20="Løype",Poengsammendrag!$F$2,IF(L20="Arr",Poengsammendrag!$F$3,IF(L20="Brutt",50,IF(L20="Disk",50,ROUND(MAXA(100*(MIN(L$10:L$88)/L20),50),0)))))</f>
        <v>89</v>
      </c>
      <c r="N20" s="724">
        <f t="shared" si="3"/>
        <v>1.2097821211906617E-2</v>
      </c>
      <c r="O20" s="596">
        <f>IF(N20="Løype",Poengsammendrag!$F$2,IF(N20="Arr",Poengsammendrag!$F$3,IF(N20="Brutt",50,IF(N20="Disk",50,ROUND(MAXA(100*(MIN(N$10:N$88)/N20),50),0)))))</f>
        <v>72</v>
      </c>
      <c r="Q20" s="672"/>
      <c r="R20" s="672"/>
      <c r="S20" s="803" t="s">
        <v>64</v>
      </c>
      <c r="T20" s="736">
        <v>1.8981481481481481E-2</v>
      </c>
      <c r="U20" s="752">
        <v>89</v>
      </c>
      <c r="V20" s="781"/>
      <c r="W20" s="776" t="s">
        <v>78</v>
      </c>
      <c r="X20" s="740">
        <v>75</v>
      </c>
      <c r="AB20" s="828">
        <f t="shared" si="5"/>
        <v>65</v>
      </c>
      <c r="AC20" s="829">
        <f t="shared" si="4"/>
        <v>0</v>
      </c>
    </row>
    <row r="21" spans="2:29" ht="21" customHeight="1" thickBot="1" x14ac:dyDescent="0.3">
      <c r="B21" s="16">
        <f t="shared" si="0"/>
        <v>12</v>
      </c>
      <c r="C21" s="106" t="s">
        <v>63</v>
      </c>
      <c r="D21" s="107" t="s">
        <v>336</v>
      </c>
      <c r="E21" s="599" t="str">
        <f t="shared" si="1"/>
        <v>ToreFornes</v>
      </c>
      <c r="F21" s="192">
        <f>YEAR(I$5)-_xlfn.XLOOKUP(E21,Deltakerliste!E$5:E$98,Deltakerliste!I$5:I$98)</f>
        <v>66</v>
      </c>
      <c r="G21" s="192">
        <f>_xlfn.XLOOKUP(E21,Deltakerliste!E$5:E$98,Deltakerliste!H$5:H$98)</f>
        <v>2</v>
      </c>
      <c r="H21" s="592">
        <f>VLOOKUP(F21,Deltakerliste!P$6:T$84,G21,FALSE)</f>
        <v>1.3209999999999997</v>
      </c>
      <c r="I21" s="86"/>
      <c r="J21" s="86">
        <v>6.0104166666666667E-2</v>
      </c>
      <c r="K21" s="13"/>
      <c r="L21" s="600">
        <f t="shared" si="2"/>
        <v>1.9388440860215052E-2</v>
      </c>
      <c r="M21" s="594">
        <f>IF(L21="Løype",Poengsammendrag!$F$2,IF(L21="Arr",Poengsammendrag!$F$3,IF(L21="Brutt",50,IF(L21="Disk",50,ROUND(MAXA(100*(MIN(L$10:L$88)/L21),50),0)))))</f>
        <v>87</v>
      </c>
      <c r="N21" s="724">
        <f t="shared" si="3"/>
        <v>1.4677093762464085E-2</v>
      </c>
      <c r="O21" s="596">
        <f>IF(N21="Løype",Poengsammendrag!$F$2,IF(N21="Arr",Poengsammendrag!$F$3,IF(N21="Brutt",50,IF(N21="Disk",50,ROUND(MAXA(100*(MIN(N$10:N$88)/N21),50),0)))))</f>
        <v>60</v>
      </c>
      <c r="Q21" s="672"/>
      <c r="R21" s="672"/>
      <c r="S21" s="803" t="s">
        <v>346</v>
      </c>
      <c r="T21" s="736">
        <v>1.9388440860215052E-2</v>
      </c>
      <c r="U21" s="752">
        <v>87</v>
      </c>
      <c r="V21" s="781"/>
      <c r="W21" s="776" t="s">
        <v>340</v>
      </c>
      <c r="X21" s="740">
        <v>73</v>
      </c>
      <c r="AB21" s="828">
        <f t="shared" si="5"/>
        <v>66</v>
      </c>
      <c r="AC21" s="829">
        <f t="shared" si="4"/>
        <v>2</v>
      </c>
    </row>
    <row r="22" spans="2:29" ht="21" customHeight="1" thickBot="1" x14ac:dyDescent="0.3">
      <c r="B22" s="16">
        <f t="shared" si="0"/>
        <v>13</v>
      </c>
      <c r="C22" s="106" t="s">
        <v>101</v>
      </c>
      <c r="D22" s="107" t="s">
        <v>102</v>
      </c>
      <c r="E22" s="599" t="str">
        <f t="shared" si="1"/>
        <v>EvenHofstad</v>
      </c>
      <c r="F22" s="192">
        <f>YEAR(I$5)-_xlfn.XLOOKUP(E22,Deltakerliste!E$5:E$98,Deltakerliste!I$5:I$98)</f>
        <v>71</v>
      </c>
      <c r="G22" s="192">
        <f>_xlfn.XLOOKUP(E22,Deltakerliste!E$5:E$98,Deltakerliste!H$5:H$98)</f>
        <v>2</v>
      </c>
      <c r="H22" s="592">
        <f>VLOOKUP(F22,Deltakerliste!P$6:T$84,G22,FALSE)</f>
        <v>1.4609999999999999</v>
      </c>
      <c r="I22" s="86"/>
      <c r="J22" s="86">
        <v>6.0624999999999998E-2</v>
      </c>
      <c r="K22" s="13"/>
      <c r="L22" s="600">
        <f t="shared" si="2"/>
        <v>1.9556451612903224E-2</v>
      </c>
      <c r="M22" s="594">
        <f>IF(L22="Løype",Poengsammendrag!$F$2,IF(L22="Arr",Poengsammendrag!$F$3,IF(L22="Brutt",50,IF(L22="Disk",50,ROUND(MAXA(100*(MIN(L$10:L$88)/L22),50),0)))))</f>
        <v>86</v>
      </c>
      <c r="N22" s="724">
        <f t="shared" si="3"/>
        <v>1.3385661610474487E-2</v>
      </c>
      <c r="O22" s="596">
        <f>IF(N22="Løype",Poengsammendrag!$F$2,IF(N22="Arr",Poengsammendrag!$F$3,IF(N22="Brutt",50,IF(N22="Disk",50,ROUND(MAXA(100*(MIN(N$10:N$88)/N22),50),0)))))</f>
        <v>65</v>
      </c>
      <c r="Q22" s="672"/>
      <c r="R22" s="672"/>
      <c r="S22" s="803" t="s">
        <v>101</v>
      </c>
      <c r="T22" s="736">
        <v>1.9556451612903224E-2</v>
      </c>
      <c r="U22" s="752">
        <v>86</v>
      </c>
      <c r="V22" s="781"/>
      <c r="W22" s="776" t="s">
        <v>64</v>
      </c>
      <c r="X22" s="740">
        <v>72</v>
      </c>
      <c r="AB22" s="828">
        <f t="shared" si="5"/>
        <v>67</v>
      </c>
      <c r="AC22" s="829">
        <f t="shared" si="4"/>
        <v>0</v>
      </c>
    </row>
    <row r="23" spans="2:29" ht="21" customHeight="1" thickBot="1" x14ac:dyDescent="0.3">
      <c r="B23" s="16">
        <f t="shared" si="0"/>
        <v>14</v>
      </c>
      <c r="C23" s="106" t="s">
        <v>114</v>
      </c>
      <c r="D23" s="107" t="s">
        <v>115</v>
      </c>
      <c r="E23" s="599" t="str">
        <f t="shared" si="1"/>
        <v>MagnusLandstad</v>
      </c>
      <c r="F23" s="192">
        <f>YEAR(I$5)-_xlfn.XLOOKUP(E23,Deltakerliste!E$5:E$98,Deltakerliste!I$5:I$98)</f>
        <v>82</v>
      </c>
      <c r="G23" s="192">
        <f>_xlfn.XLOOKUP(E23,Deltakerliste!E$5:E$98,Deltakerliste!H$5:H$98)</f>
        <v>2</v>
      </c>
      <c r="H23" s="592">
        <f>VLOOKUP(F23,Deltakerliste!P$6:T$84,G23,FALSE)</f>
        <v>2.0030000000000001</v>
      </c>
      <c r="I23" s="86"/>
      <c r="J23" s="86">
        <v>6.2037037037037036E-2</v>
      </c>
      <c r="K23" s="13"/>
      <c r="L23" s="600">
        <f t="shared" si="2"/>
        <v>2.001194743130227E-2</v>
      </c>
      <c r="M23" s="594">
        <f>IF(L23="Løype",Poengsammendrag!$F$2,IF(L23="Arr",Poengsammendrag!$F$3,IF(L23="Brutt",50,IF(L23="Disk",50,ROUND(MAXA(100*(MIN(L$10:L$88)/L23),50),0)))))</f>
        <v>84</v>
      </c>
      <c r="N23" s="724">
        <f t="shared" si="3"/>
        <v>9.990987234798937E-3</v>
      </c>
      <c r="O23" s="596">
        <f>IF(N23="Løype",Poengsammendrag!$F$2,IF(N23="Arr",Poengsammendrag!$F$3,IF(N23="Brutt",50,IF(N23="Disk",50,ROUND(MAXA(100*(MIN(N$10:N$88)/N23),50),0)))))</f>
        <v>88</v>
      </c>
      <c r="Q23" s="672"/>
      <c r="R23" s="672"/>
      <c r="S23" s="803" t="s">
        <v>114</v>
      </c>
      <c r="T23" s="736">
        <v>2.001194743130227E-2</v>
      </c>
      <c r="U23" s="752">
        <v>84</v>
      </c>
      <c r="V23" s="781"/>
      <c r="W23" s="776" t="s">
        <v>120</v>
      </c>
      <c r="X23" s="740">
        <v>72</v>
      </c>
      <c r="AB23" s="828">
        <f t="shared" si="5"/>
        <v>68</v>
      </c>
      <c r="AC23" s="829">
        <f t="shared" si="4"/>
        <v>0</v>
      </c>
    </row>
    <row r="24" spans="2:29" ht="21" thickBot="1" x14ac:dyDescent="0.3">
      <c r="B24" s="16">
        <f t="shared" si="0"/>
        <v>15</v>
      </c>
      <c r="C24" s="106" t="s">
        <v>96</v>
      </c>
      <c r="D24" s="107" t="s">
        <v>97</v>
      </c>
      <c r="E24" s="599" t="str">
        <f t="shared" si="1"/>
        <v>StigHaugskott</v>
      </c>
      <c r="F24" s="192">
        <f>YEAR(I$5)-_xlfn.XLOOKUP(E24,Deltakerliste!E$5:E$98,Deltakerliste!I$5:I$98)</f>
        <v>86</v>
      </c>
      <c r="G24" s="192">
        <f>_xlfn.XLOOKUP(E24,Deltakerliste!E$5:E$98,Deltakerliste!H$5:H$98)</f>
        <v>2</v>
      </c>
      <c r="H24" s="592">
        <f>VLOOKUP(F24,Deltakerliste!P$6:T$84,G24,FALSE)</f>
        <v>2.3089999999999997</v>
      </c>
      <c r="I24" s="86">
        <v>4.4409722222222225E-2</v>
      </c>
      <c r="J24" s="86"/>
      <c r="K24" s="86"/>
      <c r="L24" s="600">
        <f t="shared" si="2"/>
        <v>2.0186237373737374E-2</v>
      </c>
      <c r="M24" s="594">
        <f>IF(L24="Løype",Poengsammendrag!$F$2,IF(L24="Arr",Poengsammendrag!$F$3,IF(L24="Brutt",50,IF(L24="Disk",50,ROUND(MAXA(100*(MIN(L$10:L$88)/L24),50),0)))))</f>
        <v>83</v>
      </c>
      <c r="N24" s="724">
        <f t="shared" si="3"/>
        <v>8.7424154931733979E-3</v>
      </c>
      <c r="O24" s="596">
        <f>IF(N24="Løype",Poengsammendrag!$F$2,IF(N24="Arr",Poengsammendrag!$F$3,IF(N24="Brutt",50,IF(N24="Disk",50,ROUND(MAXA(100*(MIN(N$10:N$88)/N24),50),0)))))</f>
        <v>100</v>
      </c>
      <c r="Q24" s="672"/>
      <c r="R24" s="672"/>
      <c r="S24" s="803" t="s">
        <v>96</v>
      </c>
      <c r="T24" s="736">
        <v>2.0186237373737374E-2</v>
      </c>
      <c r="U24" s="752">
        <v>83</v>
      </c>
      <c r="V24" s="781"/>
      <c r="W24" s="776" t="s">
        <v>347</v>
      </c>
      <c r="X24" s="740">
        <v>72</v>
      </c>
      <c r="AB24" s="828">
        <f t="shared" si="5"/>
        <v>69</v>
      </c>
      <c r="AC24" s="829">
        <f t="shared" si="4"/>
        <v>1</v>
      </c>
    </row>
    <row r="25" spans="2:29" ht="21" thickBot="1" x14ac:dyDescent="0.3">
      <c r="B25" s="16">
        <f t="shared" si="0"/>
        <v>16</v>
      </c>
      <c r="C25" s="106" t="s">
        <v>124</v>
      </c>
      <c r="D25" s="107" t="s">
        <v>125</v>
      </c>
      <c r="E25" s="599" t="str">
        <f t="shared" si="1"/>
        <v>Heidi Midttun</v>
      </c>
      <c r="F25" s="192">
        <f>YEAR(I$5)-_xlfn.XLOOKUP(E25,Deltakerliste!E$5:E$98,Deltakerliste!I$5:I$98)</f>
        <v>70</v>
      </c>
      <c r="G25" s="192">
        <f>_xlfn.XLOOKUP(E25,Deltakerliste!E$5:E$98,Deltakerliste!H$5:H$98)</f>
        <v>4</v>
      </c>
      <c r="H25" s="592">
        <f>VLOOKUP(F25,Deltakerliste!P$6:T$84,G25,FALSE)</f>
        <v>1.9490000000000012</v>
      </c>
      <c r="I25" s="13">
        <v>4.4837962962962961E-2</v>
      </c>
      <c r="J25" s="13"/>
      <c r="K25" s="13"/>
      <c r="L25" s="600">
        <f t="shared" si="2"/>
        <v>2.0380892255892253E-2</v>
      </c>
      <c r="M25" s="594">
        <f>IF(L25="Løype",Poengsammendrag!$F$2,IF(L25="Arr",Poengsammendrag!$F$3,IF(L25="Brutt",50,IF(L25="Disk",50,ROUND(MAXA(100*(MIN(L$10:L$88)/L25),50),0)))))</f>
        <v>83</v>
      </c>
      <c r="N25" s="724">
        <f t="shared" si="3"/>
        <v>1.0457102234937014E-2</v>
      </c>
      <c r="O25" s="596">
        <f>IF(N25="Løype",Poengsammendrag!$F$2,IF(N25="Arr",Poengsammendrag!$F$3,IF(N25="Brutt",50,IF(N25="Disk",50,ROUND(MAXA(100*(MIN(N$10:N$88)/N25),50),0)))))</f>
        <v>84</v>
      </c>
      <c r="Q25" s="672"/>
      <c r="R25" s="672"/>
      <c r="S25" s="803" t="s">
        <v>124</v>
      </c>
      <c r="T25" s="736">
        <v>2.0380892255892253E-2</v>
      </c>
      <c r="U25" s="752">
        <v>83</v>
      </c>
      <c r="V25" s="781"/>
      <c r="W25" s="776" t="s">
        <v>64</v>
      </c>
      <c r="X25" s="740">
        <v>71</v>
      </c>
      <c r="AB25" s="828">
        <f t="shared" si="5"/>
        <v>70</v>
      </c>
      <c r="AC25" s="829">
        <f t="shared" si="4"/>
        <v>1</v>
      </c>
    </row>
    <row r="26" spans="2:29" ht="21" customHeight="1" thickBot="1" x14ac:dyDescent="0.3">
      <c r="B26" s="16">
        <f t="shared" si="0"/>
        <v>17</v>
      </c>
      <c r="C26" s="106" t="s">
        <v>168</v>
      </c>
      <c r="D26" s="107" t="s">
        <v>169</v>
      </c>
      <c r="E26" s="599" t="str">
        <f t="shared" si="1"/>
        <v>SteinØvstedal</v>
      </c>
      <c r="F26" s="192">
        <f>YEAR(I$5)-_xlfn.XLOOKUP(E26,Deltakerliste!E$5:E$98,Deltakerliste!I$5:I$98)</f>
        <v>74</v>
      </c>
      <c r="G26" s="192">
        <f>_xlfn.XLOOKUP(E26,Deltakerliste!E$5:E$98,Deltakerliste!H$5:H$98)</f>
        <v>2</v>
      </c>
      <c r="H26" s="592">
        <f>VLOOKUP(F26,Deltakerliste!P$6:T$84,G26,FALSE)</f>
        <v>1.569</v>
      </c>
      <c r="I26" s="132">
        <v>4.5543981481481484E-2</v>
      </c>
      <c r="J26" s="132"/>
      <c r="K26" s="18"/>
      <c r="L26" s="600">
        <f t="shared" si="2"/>
        <v>2.0701809764309763E-2</v>
      </c>
      <c r="M26" s="594">
        <f>IF(L26="Løype",Poengsammendrag!$F$2,IF(L26="Arr",Poengsammendrag!$F$3,IF(L26="Brutt",50,IF(L26="Disk",50,ROUND(MAXA(100*(MIN(L$10:L$88)/L26),50),0)))))</f>
        <v>81</v>
      </c>
      <c r="N26" s="724">
        <f t="shared" si="3"/>
        <v>1.3194270085602144E-2</v>
      </c>
      <c r="O26" s="596">
        <f>IF(N26="Løype",Poengsammendrag!$F$2,IF(N26="Arr",Poengsammendrag!$F$3,IF(N26="Brutt",50,IF(N26="Disk",50,ROUND(MAXA(100*(MIN(N$10:N$88)/N26),50),0)))))</f>
        <v>66</v>
      </c>
      <c r="Q26" s="672"/>
      <c r="R26" s="672"/>
      <c r="S26" s="803" t="s">
        <v>168</v>
      </c>
      <c r="T26" s="736">
        <v>2.0701809764309763E-2</v>
      </c>
      <c r="U26" s="752">
        <v>81</v>
      </c>
      <c r="V26" s="781"/>
      <c r="W26" s="776" t="s">
        <v>163</v>
      </c>
      <c r="X26" s="740">
        <v>70</v>
      </c>
      <c r="AB26" s="828">
        <f t="shared" si="5"/>
        <v>71</v>
      </c>
      <c r="AC26" s="829">
        <f t="shared" si="4"/>
        <v>2</v>
      </c>
    </row>
    <row r="27" spans="2:29" ht="21" thickBot="1" x14ac:dyDescent="0.3">
      <c r="B27" s="16">
        <f t="shared" si="0"/>
        <v>18</v>
      </c>
      <c r="C27" s="106" t="s">
        <v>108</v>
      </c>
      <c r="D27" s="107" t="s">
        <v>109</v>
      </c>
      <c r="E27" s="599" t="str">
        <f t="shared" si="1"/>
        <v>Finn FayeKnudsen</v>
      </c>
      <c r="F27" s="192">
        <f>YEAR(I$5)-_xlfn.XLOOKUP(E27,Deltakerliste!E$5:E$98,Deltakerliste!I$5:I$98)</f>
        <v>83</v>
      </c>
      <c r="G27" s="192">
        <f>_xlfn.XLOOKUP(E27,Deltakerliste!E$5:E$98,Deltakerliste!H$5:H$98)</f>
        <v>2</v>
      </c>
      <c r="H27" s="592">
        <f>VLOOKUP(F27,Deltakerliste!P$6:T$84,G27,FALSE)</f>
        <v>2.077</v>
      </c>
      <c r="I27" s="86">
        <v>4.5729166666666668E-2</v>
      </c>
      <c r="J27" s="86"/>
      <c r="K27" s="13"/>
      <c r="L27" s="600">
        <f t="shared" si="2"/>
        <v>2.0785984848484849E-2</v>
      </c>
      <c r="M27" s="594">
        <f>IF(L27="Løype",Poengsammendrag!$F$2,IF(L27="Arr",Poengsammendrag!$F$3,IF(L27="Brutt",50,IF(L27="Disk",50,ROUND(MAXA(100*(MIN(L$10:L$88)/L27),50),0)))))</f>
        <v>81</v>
      </c>
      <c r="N27" s="724">
        <f t="shared" si="3"/>
        <v>1.0007696123488131E-2</v>
      </c>
      <c r="O27" s="596">
        <f>IF(N27="Løype",Poengsammendrag!$F$2,IF(N27="Arr",Poengsammendrag!$F$3,IF(N27="Brutt",50,IF(N27="Disk",50,ROUND(MAXA(100*(MIN(N$10:N$88)/N27),50),0)))))</f>
        <v>87</v>
      </c>
      <c r="Q27" s="672"/>
      <c r="R27" s="672"/>
      <c r="S27" s="803" t="s">
        <v>108</v>
      </c>
      <c r="T27" s="736">
        <v>2.0785984848484849E-2</v>
      </c>
      <c r="U27" s="752">
        <v>81</v>
      </c>
      <c r="V27" s="781"/>
      <c r="W27" s="776" t="s">
        <v>130</v>
      </c>
      <c r="X27" s="740">
        <v>67</v>
      </c>
      <c r="AB27" s="828">
        <f t="shared" si="5"/>
        <v>72</v>
      </c>
      <c r="AC27" s="829">
        <f t="shared" si="4"/>
        <v>4</v>
      </c>
    </row>
    <row r="28" spans="2:29" ht="21" customHeight="1" thickBot="1" x14ac:dyDescent="0.3">
      <c r="B28" s="16">
        <f t="shared" si="0"/>
        <v>19</v>
      </c>
      <c r="C28" s="106" t="s">
        <v>64</v>
      </c>
      <c r="D28" s="107" t="s">
        <v>366</v>
      </c>
      <c r="E28" s="599" t="str">
        <f t="shared" si="1"/>
        <v>BjørnHafskjold</v>
      </c>
      <c r="F28" s="192">
        <f>YEAR(I$5)-_xlfn.XLOOKUP(E28,Deltakerliste!E$5:E$98,Deltakerliste!I$5:I$98)</f>
        <v>78</v>
      </c>
      <c r="G28" s="192">
        <f>_xlfn.XLOOKUP(E28,Deltakerliste!E$5:E$98,Deltakerliste!H$5:H$98)</f>
        <v>2</v>
      </c>
      <c r="H28" s="592">
        <f>VLOOKUP(F28,Deltakerliste!P$6:T$84,G28,FALSE)</f>
        <v>1.7550000000000001</v>
      </c>
      <c r="I28" s="14">
        <v>4.746527777777778E-2</v>
      </c>
      <c r="J28" s="14"/>
      <c r="K28" s="18"/>
      <c r="L28" s="600">
        <f t="shared" si="2"/>
        <v>2.1575126262626261E-2</v>
      </c>
      <c r="M28" s="594">
        <f>IF(L28="Løype",Poengsammendrag!$F$2,IF(L28="Arr",Poengsammendrag!$F$3,IF(L28="Brutt",50,IF(L28="Disk",50,ROUND(MAXA(100*(MIN(L$10:L$88)/L28),50),0)))))</f>
        <v>78</v>
      </c>
      <c r="N28" s="724">
        <f t="shared" si="3"/>
        <v>1.2293519237963681E-2</v>
      </c>
      <c r="O28" s="596">
        <f>IF(N28="Løype",Poengsammendrag!$F$2,IF(N28="Arr",Poengsammendrag!$F$3,IF(N28="Brutt",50,IF(N28="Disk",50,ROUND(MAXA(100*(MIN(N$10:N$88)/N28),50),0)))))</f>
        <v>71</v>
      </c>
      <c r="Q28" s="672"/>
      <c r="R28" s="672"/>
      <c r="S28" s="803" t="s">
        <v>64</v>
      </c>
      <c r="T28" s="736">
        <v>2.1575126262626261E-2</v>
      </c>
      <c r="U28" s="752">
        <v>78</v>
      </c>
      <c r="V28" s="781"/>
      <c r="W28" s="776" t="s">
        <v>168</v>
      </c>
      <c r="X28" s="740">
        <v>66</v>
      </c>
      <c r="AB28" s="828">
        <f t="shared" si="5"/>
        <v>73</v>
      </c>
      <c r="AC28" s="829">
        <f t="shared" si="4"/>
        <v>1</v>
      </c>
    </row>
    <row r="29" spans="2:29" ht="21" thickBot="1" x14ac:dyDescent="0.3">
      <c r="B29" s="16">
        <f t="shared" si="0"/>
        <v>20</v>
      </c>
      <c r="C29" s="106" t="s">
        <v>130</v>
      </c>
      <c r="D29" s="107" t="s">
        <v>131</v>
      </c>
      <c r="E29" s="599" t="str">
        <f t="shared" si="1"/>
        <v>AtleMørk</v>
      </c>
      <c r="F29" s="192">
        <f>YEAR(I$5)-_xlfn.XLOOKUP(E29,Deltakerliste!E$5:E$98,Deltakerliste!I$5:I$98)</f>
        <v>76</v>
      </c>
      <c r="G29" s="192">
        <f>_xlfn.XLOOKUP(E29,Deltakerliste!E$5:E$98,Deltakerliste!H$5:H$98)</f>
        <v>2</v>
      </c>
      <c r="H29" s="592">
        <f>VLOOKUP(F29,Deltakerliste!P$6:T$84,G29,FALSE)</f>
        <v>1.655</v>
      </c>
      <c r="I29" s="132">
        <v>4.7754629629629633E-2</v>
      </c>
      <c r="J29" s="132"/>
      <c r="K29" s="132"/>
      <c r="L29" s="600">
        <f t="shared" si="2"/>
        <v>2.170664983164983E-2</v>
      </c>
      <c r="M29" s="594">
        <f>IF(L29="Løype",Poengsammendrag!$F$2,IF(L29="Arr",Poengsammendrag!$F$3,IF(L29="Brutt",50,IF(L29="Disk",50,ROUND(MAXA(100*(MIN(L$10:L$88)/L29),50),0)))))</f>
        <v>77</v>
      </c>
      <c r="N29" s="724">
        <f t="shared" si="3"/>
        <v>1.3115800502507451E-2</v>
      </c>
      <c r="O29" s="596">
        <f>IF(N29="Løype",Poengsammendrag!$F$2,IF(N29="Arr",Poengsammendrag!$F$3,IF(N29="Brutt",50,IF(N29="Disk",50,ROUND(MAXA(100*(MIN(N$10:N$88)/N29),50),0)))))</f>
        <v>67</v>
      </c>
      <c r="Q29" s="672"/>
      <c r="R29" s="672"/>
      <c r="S29" s="803" t="s">
        <v>130</v>
      </c>
      <c r="T29" s="736">
        <v>2.170664983164983E-2</v>
      </c>
      <c r="U29" s="752">
        <v>77</v>
      </c>
      <c r="V29" s="781"/>
      <c r="W29" s="776" t="s">
        <v>101</v>
      </c>
      <c r="X29" s="740">
        <v>65</v>
      </c>
      <c r="AB29" s="828">
        <f t="shared" si="5"/>
        <v>74</v>
      </c>
      <c r="AC29" s="829">
        <f t="shared" si="4"/>
        <v>2</v>
      </c>
    </row>
    <row r="30" spans="2:29" ht="21" thickBot="1" x14ac:dyDescent="0.3">
      <c r="B30" s="16">
        <f t="shared" si="0"/>
        <v>21</v>
      </c>
      <c r="C30" s="106" t="s">
        <v>170</v>
      </c>
      <c r="D30" s="107" t="s">
        <v>171</v>
      </c>
      <c r="E30" s="599" t="str">
        <f t="shared" si="1"/>
        <v>ØisteinÅsmul</v>
      </c>
      <c r="F30" s="192">
        <f>YEAR(I$5)-_xlfn.XLOOKUP(E30,Deltakerliste!E$5:E$98,Deltakerliste!I$5:I$98)</f>
        <v>80</v>
      </c>
      <c r="G30" s="192">
        <f>_xlfn.XLOOKUP(E30,Deltakerliste!E$5:E$98,Deltakerliste!H$5:H$98)</f>
        <v>2</v>
      </c>
      <c r="H30" s="592">
        <f>VLOOKUP(F30,Deltakerliste!P$6:T$84,G30,FALSE)</f>
        <v>1.8550000000000002</v>
      </c>
      <c r="I30" s="132">
        <v>4.9606481481481481E-2</v>
      </c>
      <c r="J30" s="132"/>
      <c r="K30" s="18"/>
      <c r="L30" s="600">
        <f t="shared" si="2"/>
        <v>2.2548400673400672E-2</v>
      </c>
      <c r="M30" s="594">
        <f>IF(L30="Løype",Poengsammendrag!$F$2,IF(L30="Arr",Poengsammendrag!$F$3,IF(L30="Brutt",50,IF(L30="Disk",50,ROUND(MAXA(100*(MIN(L$10:L$88)/L30),50),0)))))</f>
        <v>75</v>
      </c>
      <c r="N30" s="724">
        <f t="shared" si="3"/>
        <v>1.2155472061132436E-2</v>
      </c>
      <c r="O30" s="596">
        <f>IF(N30="Løype",Poengsammendrag!$F$2,IF(N30="Arr",Poengsammendrag!$F$3,IF(N30="Brutt",50,IF(N30="Disk",50,ROUND(MAXA(100*(MIN(N$10:N$88)/N30),50),0)))))</f>
        <v>72</v>
      </c>
      <c r="Q30" s="672"/>
      <c r="R30" s="672"/>
      <c r="S30" s="803" t="s">
        <v>347</v>
      </c>
      <c r="T30" s="736">
        <v>2.2548400673400672E-2</v>
      </c>
      <c r="U30" s="752">
        <v>75</v>
      </c>
      <c r="V30" s="781"/>
      <c r="W30" s="776" t="s">
        <v>309</v>
      </c>
      <c r="X30" s="740">
        <v>65</v>
      </c>
      <c r="AB30" s="828">
        <f t="shared" si="5"/>
        <v>75</v>
      </c>
      <c r="AC30" s="829">
        <f t="shared" si="4"/>
        <v>1</v>
      </c>
    </row>
    <row r="31" spans="2:29" ht="21" customHeight="1" thickBot="1" x14ac:dyDescent="0.3">
      <c r="B31" s="16">
        <f t="shared" si="0"/>
        <v>22</v>
      </c>
      <c r="C31" s="106" t="s">
        <v>78</v>
      </c>
      <c r="D31" s="107" t="s">
        <v>146</v>
      </c>
      <c r="E31" s="599" t="str">
        <f t="shared" si="1"/>
        <v>LeifRøhjell</v>
      </c>
      <c r="F31" s="192">
        <f>YEAR(I$5)-_xlfn.XLOOKUP(E31,Deltakerliste!E$5:E$98,Deltakerliste!I$5:I$98)</f>
        <v>81</v>
      </c>
      <c r="G31" s="192">
        <f>_xlfn.XLOOKUP(E31,Deltakerliste!E$5:E$98,Deltakerliste!H$5:H$98)</f>
        <v>2</v>
      </c>
      <c r="H31" s="592">
        <f>VLOOKUP(F31,Deltakerliste!P$6:T$84,G31,FALSE)</f>
        <v>1.9290000000000003</v>
      </c>
      <c r="I31" s="132">
        <v>4.9641203703703701E-2</v>
      </c>
      <c r="J31" s="18"/>
      <c r="K31" s="18"/>
      <c r="L31" s="600">
        <f t="shared" si="2"/>
        <v>2.2564183501683498E-2</v>
      </c>
      <c r="M31" s="594">
        <f>IF(L31="Løype",Poengsammendrag!$F$2,IF(L31="Arr",Poengsammendrag!$F$3,IF(L31="Brutt",50,IF(L31="Disk",50,ROUND(MAXA(100*(MIN(L$10:L$88)/L31),50),0)))))</f>
        <v>75</v>
      </c>
      <c r="N31" s="724">
        <f t="shared" si="3"/>
        <v>1.1697347590297303E-2</v>
      </c>
      <c r="O31" s="596">
        <f>IF(N31="Løype",Poengsammendrag!$F$2,IF(N31="Arr",Poengsammendrag!$F$3,IF(N31="Brutt",50,IF(N31="Disk",50,ROUND(MAXA(100*(MIN(N$10:N$88)/N31),50),0)))))</f>
        <v>75</v>
      </c>
      <c r="Q31" s="672"/>
      <c r="R31" s="672"/>
      <c r="S31" s="803" t="s">
        <v>78</v>
      </c>
      <c r="T31" s="736">
        <v>2.2564183501683498E-2</v>
      </c>
      <c r="U31" s="752">
        <v>75</v>
      </c>
      <c r="V31" s="781"/>
      <c r="W31" s="776" t="s">
        <v>356</v>
      </c>
      <c r="X31" s="740">
        <v>64</v>
      </c>
      <c r="AB31" s="828">
        <f t="shared" si="5"/>
        <v>76</v>
      </c>
      <c r="AC31" s="829">
        <f t="shared" si="4"/>
        <v>3</v>
      </c>
    </row>
    <row r="32" spans="2:29" ht="21" customHeight="1" thickBot="1" x14ac:dyDescent="0.3">
      <c r="B32" s="16">
        <f t="shared" si="0"/>
        <v>23</v>
      </c>
      <c r="C32" s="106" t="s">
        <v>136</v>
      </c>
      <c r="D32" s="107" t="s">
        <v>137</v>
      </c>
      <c r="E32" s="599" t="str">
        <f t="shared" si="1"/>
        <v>HaraldOftedal</v>
      </c>
      <c r="F32" s="192">
        <f>YEAR(I$5)-_xlfn.XLOOKUP(E32,Deltakerliste!E$5:E$98,Deltakerliste!I$5:I$98)</f>
        <v>73</v>
      </c>
      <c r="G32" s="192">
        <f>_xlfn.XLOOKUP(E32,Deltakerliste!E$5:E$98,Deltakerliste!H$5:H$98)</f>
        <v>2</v>
      </c>
      <c r="H32" s="592">
        <f>VLOOKUP(F32,Deltakerliste!P$6:T$84,G32,FALSE)</f>
        <v>1.5329999999999999</v>
      </c>
      <c r="I32" s="134"/>
      <c r="J32" s="132">
        <v>7.0578703703703699E-2</v>
      </c>
      <c r="K32" s="134"/>
      <c r="L32" s="600">
        <f t="shared" si="2"/>
        <v>2.2767323775388291E-2</v>
      </c>
      <c r="M32" s="594">
        <f>IF(L32="Løype",Poengsammendrag!$F$2,IF(L32="Arr",Poengsammendrag!$F$3,IF(L32="Brutt",50,IF(L32="Disk",50,ROUND(MAXA(100*(MIN(L$10:L$88)/L32),50),0)))))</f>
        <v>74</v>
      </c>
      <c r="N32" s="724">
        <f t="shared" si="3"/>
        <v>1.4851483219431371E-2</v>
      </c>
      <c r="O32" s="596">
        <f>IF(N32="Løype",Poengsammendrag!$F$2,IF(N32="Arr",Poengsammendrag!$F$3,IF(N32="Brutt",50,IF(N32="Disk",50,ROUND(MAXA(100*(MIN(N$10:N$88)/N32),50),0)))))</f>
        <v>59</v>
      </c>
      <c r="S32" s="803" t="s">
        <v>136</v>
      </c>
      <c r="T32" s="736">
        <v>2.2767323775388291E-2</v>
      </c>
      <c r="U32" s="752">
        <v>74</v>
      </c>
      <c r="V32" s="781"/>
      <c r="W32" s="776" t="s">
        <v>346</v>
      </c>
      <c r="X32" s="740">
        <v>60</v>
      </c>
      <c r="AB32" s="828">
        <f t="shared" si="5"/>
        <v>77</v>
      </c>
      <c r="AC32" s="829">
        <f t="shared" si="4"/>
        <v>2</v>
      </c>
    </row>
    <row r="33" spans="2:29" ht="21" customHeight="1" thickBot="1" x14ac:dyDescent="0.3">
      <c r="B33" s="16">
        <f t="shared" si="0"/>
        <v>24</v>
      </c>
      <c r="C33" s="106" t="s">
        <v>309</v>
      </c>
      <c r="D33" s="107" t="s">
        <v>310</v>
      </c>
      <c r="E33" s="599" t="str">
        <f t="shared" si="1"/>
        <v>VigdisHeimly</v>
      </c>
      <c r="F33" s="192">
        <f>YEAR(I$5)-_xlfn.XLOOKUP(E33,Deltakerliste!E$5:E$98,Deltakerliste!I$5:I$98)</f>
        <v>66</v>
      </c>
      <c r="G33" s="192">
        <f>_xlfn.XLOOKUP(E33,Deltakerliste!E$5:E$98,Deltakerliste!H$5:H$98)</f>
        <v>4</v>
      </c>
      <c r="H33" s="592">
        <f>VLOOKUP(F33,Deltakerliste!P$6:T$84,G33,FALSE)</f>
        <v>1.8066000000000009</v>
      </c>
      <c r="I33" s="86">
        <v>5.347222222222222E-2</v>
      </c>
      <c r="J33" s="86"/>
      <c r="K33" s="17"/>
      <c r="L33" s="600">
        <f t="shared" si="2"/>
        <v>2.4305555555555552E-2</v>
      </c>
      <c r="M33" s="594">
        <f>IF(L33="Løype",Poengsammendrag!$F$2,IF(L33="Arr",Poengsammendrag!$F$3,IF(L33="Brutt",50,IF(L33="Disk",50,ROUND(MAXA(100*(MIN(L$10:L$88)/L33),50),0)))))</f>
        <v>69</v>
      </c>
      <c r="N33" s="724">
        <f t="shared" si="3"/>
        <v>1.3453755981155509E-2</v>
      </c>
      <c r="O33" s="596">
        <f>IF(N33="Løype",Poengsammendrag!$F$2,IF(N33="Arr",Poengsammendrag!$F$3,IF(N33="Brutt",50,IF(N33="Disk",50,ROUND(MAXA(100*(MIN(N$10:N$88)/N33),50),0)))))</f>
        <v>65</v>
      </c>
      <c r="S33" s="803" t="s">
        <v>309</v>
      </c>
      <c r="T33" s="736">
        <v>2.4305555555555552E-2</v>
      </c>
      <c r="U33" s="752">
        <v>69</v>
      </c>
      <c r="V33" s="781"/>
      <c r="W33" s="776" t="s">
        <v>136</v>
      </c>
      <c r="X33" s="740">
        <v>59</v>
      </c>
      <c r="AB33" s="828">
        <f t="shared" si="5"/>
        <v>78</v>
      </c>
      <c r="AC33" s="829">
        <f t="shared" si="4"/>
        <v>1</v>
      </c>
    </row>
    <row r="34" spans="2:29" ht="21" customHeight="1" thickBot="1" x14ac:dyDescent="0.3">
      <c r="B34" s="16">
        <f t="shared" si="0"/>
        <v>25</v>
      </c>
      <c r="C34" s="106" t="s">
        <v>142</v>
      </c>
      <c r="D34" s="107" t="s">
        <v>143</v>
      </c>
      <c r="E34" s="599" t="str">
        <f t="shared" si="1"/>
        <v>EgilRepvik</v>
      </c>
      <c r="F34" s="192">
        <f>YEAR(I$5)-_xlfn.XLOOKUP(E34,Deltakerliste!E$5:E$98,Deltakerliste!I$5:I$98)</f>
        <v>79</v>
      </c>
      <c r="G34" s="192">
        <f>_xlfn.XLOOKUP(E34,Deltakerliste!E$5:E$98,Deltakerliste!H$5:H$98)</f>
        <v>2</v>
      </c>
      <c r="H34" s="592">
        <f>VLOOKUP(F34,Deltakerliste!P$6:T$84,G34,FALSE)</f>
        <v>1.8050000000000002</v>
      </c>
      <c r="I34" s="132">
        <v>5.4155092592592595E-2</v>
      </c>
      <c r="J34" s="18"/>
      <c r="K34" s="18"/>
      <c r="L34" s="600">
        <f t="shared" si="2"/>
        <v>2.4615951178451178E-2</v>
      </c>
      <c r="M34" s="594">
        <f>IF(L34="Løype",Poengsammendrag!$F$2,IF(L34="Arr",Poengsammendrag!$F$3,IF(L34="Brutt",50,IF(L34="Disk",50,ROUND(MAXA(100*(MIN(L$10:L$88)/L34),50),0)))))</f>
        <v>68</v>
      </c>
      <c r="N34" s="724">
        <f t="shared" si="3"/>
        <v>1.3637646082244419E-2</v>
      </c>
      <c r="O34" s="596">
        <f>IF(N34="Løype",Poengsammendrag!$F$2,IF(N34="Arr",Poengsammendrag!$F$3,IF(N34="Brutt",50,IF(N34="Disk",50,ROUND(MAXA(100*(MIN(N$10:N$88)/N34),50),0)))))</f>
        <v>64</v>
      </c>
      <c r="S34" s="803" t="s">
        <v>356</v>
      </c>
      <c r="T34" s="736">
        <v>2.4615951178451178E-2</v>
      </c>
      <c r="U34" s="752">
        <v>68</v>
      </c>
      <c r="V34" s="781"/>
      <c r="W34" s="776" t="s">
        <v>368</v>
      </c>
      <c r="X34" s="740">
        <v>56</v>
      </c>
      <c r="AB34" s="828">
        <f t="shared" si="5"/>
        <v>79</v>
      </c>
      <c r="AC34" s="829">
        <f t="shared" si="4"/>
        <v>2</v>
      </c>
    </row>
    <row r="35" spans="2:29" ht="21" customHeight="1" thickBot="1" x14ac:dyDescent="0.3">
      <c r="B35" s="16">
        <f t="shared" si="0"/>
        <v>26</v>
      </c>
      <c r="C35" s="106" t="s">
        <v>63</v>
      </c>
      <c r="D35" s="107" t="s">
        <v>105</v>
      </c>
      <c r="E35" s="599" t="str">
        <f t="shared" si="1"/>
        <v>ToreKiste</v>
      </c>
      <c r="F35" s="192">
        <f>YEAR(I$5)-_xlfn.XLOOKUP(E35,Deltakerliste!E$5:E$98,Deltakerliste!I$5:I$98)</f>
        <v>80</v>
      </c>
      <c r="G35" s="192">
        <f>_xlfn.XLOOKUP(E35,Deltakerliste!E$5:E$98,Deltakerliste!H$5:H$98)</f>
        <v>2</v>
      </c>
      <c r="H35" s="592">
        <f>VLOOKUP(F35,Deltakerliste!P$6:T$84,G35,FALSE)</f>
        <v>1.8550000000000002</v>
      </c>
      <c r="I35" s="86"/>
      <c r="J35" s="86" t="s">
        <v>7</v>
      </c>
      <c r="K35" s="13"/>
      <c r="L35" s="600" t="str">
        <f t="shared" si="2"/>
        <v>Arr</v>
      </c>
      <c r="M35" s="594">
        <f>IF(L35="Løype",Poengsammendrag!$F$2,IF(L35="Arr",Poengsammendrag!$F$3,IF(L35="Brutt",50,IF(L35="Disk",50,ROUND(MAXA(100*(MIN(L$10:L$88)/L35),50),0)))))</f>
        <v>94</v>
      </c>
      <c r="N35" s="724" t="str">
        <f t="shared" si="3"/>
        <v>Arr</v>
      </c>
      <c r="O35" s="596">
        <f>IF(N35="Løype",Poengsammendrag!$F$2,IF(N35="Arr",Poengsammendrag!$F$3,IF(N35="Brutt",50,IF(N35="Disk",50,ROUND(MAXA(100*(MIN(N$10:N$88)/N35),50),0)))))</f>
        <v>94</v>
      </c>
      <c r="S35" s="803" t="s">
        <v>339</v>
      </c>
      <c r="T35" s="736" t="s">
        <v>7</v>
      </c>
      <c r="U35" s="752">
        <v>94</v>
      </c>
      <c r="V35" s="781"/>
      <c r="W35" s="776" t="s">
        <v>339</v>
      </c>
      <c r="X35" s="740">
        <v>94</v>
      </c>
      <c r="AB35" s="828">
        <f t="shared" si="5"/>
        <v>80</v>
      </c>
      <c r="AC35" s="829">
        <f t="shared" si="4"/>
        <v>2</v>
      </c>
    </row>
    <row r="36" spans="2:29" ht="21" thickBot="1" x14ac:dyDescent="0.3">
      <c r="B36" s="16">
        <f t="shared" si="0"/>
        <v>27</v>
      </c>
      <c r="C36" s="106" t="s">
        <v>134</v>
      </c>
      <c r="D36" s="107" t="s">
        <v>135</v>
      </c>
      <c r="E36" s="599" t="str">
        <f t="shared" si="1"/>
        <v>IngeNørstebø</v>
      </c>
      <c r="F36" s="192">
        <f>YEAR(I$5)-_xlfn.XLOOKUP(E36,Deltakerliste!E$5:E$98,Deltakerliste!I$5:I$98)</f>
        <v>69</v>
      </c>
      <c r="G36" s="192">
        <f>_xlfn.XLOOKUP(E36,Deltakerliste!E$5:E$98,Deltakerliste!H$5:H$98)</f>
        <v>2</v>
      </c>
      <c r="H36" s="592">
        <f>VLOOKUP(F36,Deltakerliste!P$6:T$84,G36,FALSE)</f>
        <v>1.3989999999999998</v>
      </c>
      <c r="I36" s="13"/>
      <c r="J36" s="13" t="s">
        <v>7</v>
      </c>
      <c r="K36" s="13"/>
      <c r="L36" s="600" t="str">
        <f t="shared" si="2"/>
        <v>Arr</v>
      </c>
      <c r="M36" s="594">
        <f>IF(L36="Løype",Poengsammendrag!$F$2,IF(L36="Arr",Poengsammendrag!$F$3,IF(L36="Brutt",50,IF(L36="Disk",50,ROUND(MAXA(100*(MIN(L$10:L$88)/L36),50),0)))))</f>
        <v>94</v>
      </c>
      <c r="N36" s="724" t="str">
        <f t="shared" si="3"/>
        <v>Arr</v>
      </c>
      <c r="O36" s="596">
        <f>IF(N36="Løype",Poengsammendrag!$F$2,IF(N36="Arr",Poengsammendrag!$F$3,IF(N36="Brutt",50,IF(N36="Disk",50,ROUND(MAXA(100*(MIN(N$10:N$88)/N36),50),0)))))</f>
        <v>94</v>
      </c>
      <c r="S36" s="803" t="s">
        <v>134</v>
      </c>
      <c r="T36" s="736" t="s">
        <v>7</v>
      </c>
      <c r="U36" s="752">
        <v>94</v>
      </c>
      <c r="V36" s="781"/>
      <c r="W36" s="776" t="s">
        <v>134</v>
      </c>
      <c r="X36" s="740">
        <v>94</v>
      </c>
      <c r="AB36" s="828">
        <f t="shared" si="5"/>
        <v>81</v>
      </c>
      <c r="AC36" s="829">
        <f t="shared" si="4"/>
        <v>1</v>
      </c>
    </row>
    <row r="37" spans="2:29" ht="21" customHeight="1" thickBot="1" x14ac:dyDescent="0.3">
      <c r="B37" s="16">
        <f t="shared" si="0"/>
        <v>28</v>
      </c>
      <c r="C37" s="106" t="s">
        <v>159</v>
      </c>
      <c r="D37" s="107" t="s">
        <v>160</v>
      </c>
      <c r="E37" s="599" t="str">
        <f t="shared" si="1"/>
        <v>EigilSørli</v>
      </c>
      <c r="F37" s="192">
        <f>YEAR(I$5)-_xlfn.XLOOKUP(E37,Deltakerliste!E$5:E$98,Deltakerliste!I$5:I$98)</f>
        <v>85</v>
      </c>
      <c r="G37" s="192">
        <f>_xlfn.XLOOKUP(E37,Deltakerliste!E$5:E$98,Deltakerliste!H$5:H$98)</f>
        <v>2</v>
      </c>
      <c r="H37" s="592">
        <f>VLOOKUP(F37,Deltakerliste!P$6:T$84,G37,FALSE)</f>
        <v>2.2249999999999996</v>
      </c>
      <c r="I37" s="132" t="s">
        <v>306</v>
      </c>
      <c r="J37" s="18"/>
      <c r="K37" s="18"/>
      <c r="L37" s="600" t="str">
        <f t="shared" si="2"/>
        <v>Brutt</v>
      </c>
      <c r="M37" s="594">
        <f>IF(L37="Løype",Poengsammendrag!$F$2,IF(L37="Arr",Poengsammendrag!$F$3,IF(L37="Brutt",50,IF(L37="Disk",50,ROUND(MAXA(100*(MIN(L$10:L$88)/L37),50),0)))))</f>
        <v>50</v>
      </c>
      <c r="N37" s="724" t="str">
        <f t="shared" si="3"/>
        <v>Brutt</v>
      </c>
      <c r="O37" s="596">
        <f>IF(N37="Løype",Poengsammendrag!$F$2,IF(N37="Arr",Poengsammendrag!$F$3,IF(N37="Brutt",50,IF(N37="Disk",50,ROUND(MAXA(100*(MIN(N$10:N$88)/N37),50),0)))))</f>
        <v>50</v>
      </c>
      <c r="S37" s="803" t="s">
        <v>357</v>
      </c>
      <c r="T37" s="736" t="s">
        <v>306</v>
      </c>
      <c r="U37" s="752">
        <v>50</v>
      </c>
      <c r="V37" s="781"/>
      <c r="W37" s="776" t="s">
        <v>357</v>
      </c>
      <c r="X37" s="740">
        <v>50</v>
      </c>
      <c r="AB37" s="828">
        <f t="shared" si="5"/>
        <v>82</v>
      </c>
      <c r="AC37" s="829">
        <f t="shared" si="4"/>
        <v>1</v>
      </c>
    </row>
    <row r="38" spans="2:29" ht="21" customHeight="1" thickBot="1" x14ac:dyDescent="0.3">
      <c r="B38" s="16">
        <f t="shared" si="0"/>
        <v>29</v>
      </c>
      <c r="C38" s="106" t="s">
        <v>118</v>
      </c>
      <c r="D38" s="107" t="s">
        <v>119</v>
      </c>
      <c r="E38" s="599" t="str">
        <f t="shared" si="1"/>
        <v>KnutLillealtern</v>
      </c>
      <c r="F38" s="192">
        <f>YEAR(I$5)-_xlfn.XLOOKUP(E38,Deltakerliste!E$5:E$98,Deltakerliste!I$5:I$98)</f>
        <v>76</v>
      </c>
      <c r="G38" s="192">
        <f>_xlfn.XLOOKUP(E38,Deltakerliste!E$5:E$98,Deltakerliste!H$5:H$98)</f>
        <v>2</v>
      </c>
      <c r="H38" s="592">
        <f>VLOOKUP(F38,Deltakerliste!P$6:T$84,G38,FALSE)</f>
        <v>1.655</v>
      </c>
      <c r="I38" s="13"/>
      <c r="J38" s="13" t="s">
        <v>306</v>
      </c>
      <c r="K38" s="17"/>
      <c r="L38" s="600" t="str">
        <f t="shared" si="2"/>
        <v>Brutt</v>
      </c>
      <c r="M38" s="594">
        <f>IF(L38="Løype",Poengsammendrag!$F$2,IF(L38="Arr",Poengsammendrag!$F$3,IF(L38="Brutt",50,IF(L38="Disk",50,ROUND(MAXA(100*(MIN(L$10:L$88)/L38),50),0)))))</f>
        <v>50</v>
      </c>
      <c r="N38" s="724" t="str">
        <f t="shared" si="3"/>
        <v>Brutt</v>
      </c>
      <c r="O38" s="596">
        <f>IF(N38="Løype",Poengsammendrag!$F$2,IF(N38="Arr",Poengsammendrag!$F$3,IF(N38="Brutt",50,IF(N38="Disk",50,ROUND(MAXA(100*(MIN(N$10:N$88)/N38),50),0)))))</f>
        <v>50</v>
      </c>
      <c r="S38" s="803" t="s">
        <v>118</v>
      </c>
      <c r="T38" s="736" t="s">
        <v>306</v>
      </c>
      <c r="U38" s="752">
        <v>50</v>
      </c>
      <c r="V38" s="781"/>
      <c r="W38" s="776" t="s">
        <v>118</v>
      </c>
      <c r="X38" s="740">
        <v>50</v>
      </c>
      <c r="AB38" s="828">
        <f t="shared" si="5"/>
        <v>83</v>
      </c>
      <c r="AC38" s="829">
        <f t="shared" si="4"/>
        <v>1</v>
      </c>
    </row>
    <row r="39" spans="2:29" ht="21" customHeight="1" thickBot="1" x14ac:dyDescent="0.3">
      <c r="B39" s="16">
        <f t="shared" si="0"/>
        <v>30</v>
      </c>
      <c r="C39" s="106" t="s">
        <v>106</v>
      </c>
      <c r="D39" s="107" t="s">
        <v>107</v>
      </c>
      <c r="E39" s="599" t="str">
        <f t="shared" si="1"/>
        <v>Jon ArneKlemetsaune</v>
      </c>
      <c r="F39" s="192">
        <f>YEAR(I$5)-_xlfn.XLOOKUP(E39,Deltakerliste!E$5:E$98,Deltakerliste!I$5:I$98)</f>
        <v>76</v>
      </c>
      <c r="G39" s="192">
        <f>_xlfn.XLOOKUP(E39,Deltakerliste!E$5:E$98,Deltakerliste!H$5:H$98)</f>
        <v>2</v>
      </c>
      <c r="H39" s="592">
        <f>VLOOKUP(F39,Deltakerliste!P$6:T$84,G39,FALSE)</f>
        <v>1.655</v>
      </c>
      <c r="I39" s="86"/>
      <c r="J39" s="86" t="s">
        <v>62</v>
      </c>
      <c r="K39" s="17"/>
      <c r="L39" s="600" t="str">
        <f t="shared" si="2"/>
        <v>Løype</v>
      </c>
      <c r="M39" s="594">
        <f>IF(L39="Løype",Poengsammendrag!$F$2,IF(L39="Arr",Poengsammendrag!$F$3,IF(L39="Brutt",50,IF(L39="Disk",50,ROUND(MAXA(100*(MIN(L$10:L$88)/L39),50),0)))))</f>
        <v>100</v>
      </c>
      <c r="N39" s="724" t="str">
        <f t="shared" si="3"/>
        <v>Løype</v>
      </c>
      <c r="O39" s="596">
        <f>IF(N39="Løype",Poengsammendrag!$F$2,IF(N39="Arr",Poengsammendrag!$F$3,IF(N39="Brutt",50,IF(N39="Disk",50,ROUND(MAXA(100*(MIN(N$10:N$88)/N39),50),0)))))</f>
        <v>100</v>
      </c>
      <c r="S39" s="803" t="s">
        <v>106</v>
      </c>
      <c r="T39" s="736" t="s">
        <v>62</v>
      </c>
      <c r="U39" s="752">
        <v>100</v>
      </c>
      <c r="V39" s="781"/>
      <c r="W39" s="776" t="s">
        <v>106</v>
      </c>
      <c r="X39" s="740">
        <v>100</v>
      </c>
      <c r="AB39" s="828">
        <f t="shared" si="5"/>
        <v>84</v>
      </c>
      <c r="AC39" s="829">
        <f t="shared" si="4"/>
        <v>0</v>
      </c>
    </row>
    <row r="40" spans="2:29" ht="21" thickBot="1" x14ac:dyDescent="0.3">
      <c r="B40" s="16">
        <f t="shared" si="0"/>
        <v>31</v>
      </c>
      <c r="C40" s="106" t="s">
        <v>60</v>
      </c>
      <c r="D40" s="107" t="s">
        <v>61</v>
      </c>
      <c r="E40" s="599" t="str">
        <f t="shared" si="1"/>
        <v>JosteinAlvestad</v>
      </c>
      <c r="F40" s="192">
        <f>YEAR(I$5)-_xlfn.XLOOKUP(E40,Deltakerliste!E$5:E$98,Deltakerliste!I$5:I$98)</f>
        <v>70</v>
      </c>
      <c r="G40" s="192">
        <f>_xlfn.XLOOKUP(E40,Deltakerliste!E$5:E$98,Deltakerliste!H$5:H$98)</f>
        <v>2</v>
      </c>
      <c r="H40" s="592">
        <f>VLOOKUP(F40,Deltakerliste!P$6:T$84,G40,FALSE)</f>
        <v>1.4249999999999998</v>
      </c>
      <c r="I40" s="13"/>
      <c r="J40" s="13"/>
      <c r="K40" s="17"/>
      <c r="L40" s="600"/>
      <c r="M40" s="594"/>
      <c r="N40" s="724"/>
      <c r="O40" s="596"/>
      <c r="S40" s="803"/>
      <c r="T40" s="736"/>
      <c r="U40" s="752"/>
      <c r="V40" s="781"/>
      <c r="W40" s="776"/>
      <c r="X40" s="740"/>
      <c r="AB40" s="828">
        <f t="shared" si="5"/>
        <v>85</v>
      </c>
      <c r="AC40" s="829">
        <f t="shared" si="4"/>
        <v>1</v>
      </c>
    </row>
    <row r="41" spans="2:29" ht="21" thickBot="1" x14ac:dyDescent="0.3">
      <c r="B41" s="16">
        <f t="shared" si="0"/>
        <v>32</v>
      </c>
      <c r="C41" s="106" t="s">
        <v>66</v>
      </c>
      <c r="D41" s="107" t="s">
        <v>67</v>
      </c>
      <c r="E41" s="599" t="str">
        <f t="shared" si="1"/>
        <v>FrankBjarkø</v>
      </c>
      <c r="F41" s="192">
        <f>YEAR(I$5)-_xlfn.XLOOKUP(E41,Deltakerliste!E$5:E$98,Deltakerliste!I$5:I$98)</f>
        <v>73</v>
      </c>
      <c r="G41" s="192">
        <f>_xlfn.XLOOKUP(E41,Deltakerliste!E$5:E$98,Deltakerliste!H$5:H$98)</f>
        <v>2</v>
      </c>
      <c r="H41" s="592">
        <f>VLOOKUP(F41,Deltakerliste!P$6:T$84,G41,FALSE)</f>
        <v>1.5329999999999999</v>
      </c>
      <c r="I41" s="13"/>
      <c r="J41" s="13"/>
      <c r="K41" s="13"/>
      <c r="L41" s="600"/>
      <c r="M41" s="594"/>
      <c r="N41" s="724"/>
      <c r="O41" s="596"/>
      <c r="S41" s="803"/>
      <c r="T41" s="736"/>
      <c r="U41" s="752"/>
      <c r="V41" s="781"/>
      <c r="W41" s="776"/>
      <c r="X41" s="740"/>
      <c r="AB41" s="828">
        <f t="shared" si="5"/>
        <v>86</v>
      </c>
      <c r="AC41" s="829">
        <f t="shared" si="4"/>
        <v>1</v>
      </c>
    </row>
    <row r="42" spans="2:29" ht="21" customHeight="1" thickBot="1" x14ac:dyDescent="0.3">
      <c r="B42" s="16">
        <f t="shared" si="0"/>
        <v>33</v>
      </c>
      <c r="C42" s="106" t="s">
        <v>364</v>
      </c>
      <c r="D42" s="107" t="s">
        <v>365</v>
      </c>
      <c r="E42" s="599" t="str">
        <f t="shared" ref="E42:E73" si="6">_xlfn.CONCAT(C42:D42)</f>
        <v>GerdBjørset</v>
      </c>
      <c r="F42" s="192">
        <f>YEAR(I$5)-_xlfn.XLOOKUP(E42,Deltakerliste!E$5:E$98,Deltakerliste!I$5:I$98)</f>
        <v>71</v>
      </c>
      <c r="G42" s="192">
        <f>_xlfn.XLOOKUP(E42,Deltakerliste!E$5:E$98,Deltakerliste!H$5:H$98)</f>
        <v>4</v>
      </c>
      <c r="H42" s="592">
        <f>VLOOKUP(F42,Deltakerliste!P$6:T$84,G42,FALSE)</f>
        <v>1.9926000000000013</v>
      </c>
      <c r="I42" s="13"/>
      <c r="J42" s="13"/>
      <c r="K42" s="13"/>
      <c r="L42" s="600"/>
      <c r="M42" s="594"/>
      <c r="N42" s="724"/>
      <c r="O42" s="596"/>
      <c r="S42" s="803"/>
      <c r="T42" s="796"/>
      <c r="U42" s="765"/>
      <c r="V42" s="782"/>
      <c r="W42" s="777"/>
      <c r="X42" s="762"/>
      <c r="AB42" s="828">
        <f t="shared" si="5"/>
        <v>87</v>
      </c>
      <c r="AC42" s="829">
        <f t="shared" si="4"/>
        <v>0</v>
      </c>
    </row>
    <row r="43" spans="2:29" ht="21" thickBot="1" x14ac:dyDescent="0.3">
      <c r="B43" s="16">
        <f t="shared" si="0"/>
        <v>34</v>
      </c>
      <c r="C43" s="106" t="s">
        <v>64</v>
      </c>
      <c r="D43" s="107" t="s">
        <v>267</v>
      </c>
      <c r="E43" s="599" t="str">
        <f t="shared" si="6"/>
        <v>BjørnBrenne</v>
      </c>
      <c r="F43" s="192">
        <f>YEAR(I$5)-_xlfn.XLOOKUP(E43,Deltakerliste!E$5:E$98,Deltakerliste!I$5:I$98)</f>
        <v>80</v>
      </c>
      <c r="G43" s="192">
        <f>_xlfn.XLOOKUP(E43,Deltakerliste!E$5:E$98,Deltakerliste!H$5:H$98)</f>
        <v>2</v>
      </c>
      <c r="H43" s="592">
        <f>VLOOKUP(F43,Deltakerliste!P$6:T$84,G43,FALSE)</f>
        <v>1.8550000000000002</v>
      </c>
      <c r="I43" s="86"/>
      <c r="J43" s="86"/>
      <c r="K43" s="13"/>
      <c r="L43" s="600"/>
      <c r="M43" s="594"/>
      <c r="N43" s="724"/>
      <c r="O43" s="596"/>
      <c r="S43" s="803"/>
      <c r="T43" s="797"/>
      <c r="U43" s="770"/>
      <c r="V43" s="778"/>
      <c r="W43" s="783"/>
      <c r="X43" s="740"/>
      <c r="AB43" s="828">
        <f t="shared" si="5"/>
        <v>88</v>
      </c>
      <c r="AC43" s="829">
        <f t="shared" si="4"/>
        <v>0</v>
      </c>
    </row>
    <row r="44" spans="2:29" ht="21" customHeight="1" thickBot="1" x14ac:dyDescent="0.3">
      <c r="B44" s="16">
        <f t="shared" si="0"/>
        <v>35</v>
      </c>
      <c r="C44" s="106" t="s">
        <v>68</v>
      </c>
      <c r="D44" s="107" t="s">
        <v>69</v>
      </c>
      <c r="E44" s="599" t="str">
        <f t="shared" si="6"/>
        <v>JanBøhle</v>
      </c>
      <c r="F44" s="192">
        <f>YEAR(I$5)-_xlfn.XLOOKUP(E44,Deltakerliste!E$5:E$98,Deltakerliste!I$5:I$98)</f>
        <v>73</v>
      </c>
      <c r="G44" s="192">
        <f>_xlfn.XLOOKUP(E44,Deltakerliste!E$5:E$98,Deltakerliste!H$5:H$98)</f>
        <v>2</v>
      </c>
      <c r="H44" s="592">
        <f>VLOOKUP(F44,Deltakerliste!P$6:T$84,G44,FALSE)</f>
        <v>1.5329999999999999</v>
      </c>
      <c r="I44" s="86"/>
      <c r="J44" s="86"/>
      <c r="K44" s="13"/>
      <c r="L44" s="600"/>
      <c r="M44" s="594"/>
      <c r="N44" s="724"/>
      <c r="O44" s="596"/>
      <c r="S44" s="803"/>
      <c r="T44" s="797"/>
      <c r="U44" s="770"/>
      <c r="V44" s="772"/>
      <c r="W44" s="783"/>
      <c r="X44" s="740"/>
      <c r="AB44" s="828">
        <f t="shared" si="5"/>
        <v>89</v>
      </c>
      <c r="AC44" s="829">
        <f t="shared" si="4"/>
        <v>0</v>
      </c>
    </row>
    <row r="45" spans="2:29" ht="21" thickBot="1" x14ac:dyDescent="0.3">
      <c r="B45" s="16">
        <f t="shared" si="0"/>
        <v>36</v>
      </c>
      <c r="C45" s="106" t="s">
        <v>70</v>
      </c>
      <c r="D45" s="107" t="s">
        <v>71</v>
      </c>
      <c r="E45" s="599" t="str">
        <f t="shared" si="6"/>
        <v>TrondDamås</v>
      </c>
      <c r="F45" s="192">
        <f>YEAR(I$5)-_xlfn.XLOOKUP(E45,Deltakerliste!E$5:E$98,Deltakerliste!I$5:I$98)</f>
        <v>75</v>
      </c>
      <c r="G45" s="192">
        <f>_xlfn.XLOOKUP(E45,Deltakerliste!E$5:E$98,Deltakerliste!H$5:H$98)</f>
        <v>2</v>
      </c>
      <c r="H45" s="592">
        <f>VLOOKUP(F45,Deltakerliste!P$6:T$84,G45,FALSE)</f>
        <v>1.605</v>
      </c>
      <c r="I45" s="13"/>
      <c r="J45" s="13"/>
      <c r="K45" s="13"/>
      <c r="L45" s="600"/>
      <c r="M45" s="594"/>
      <c r="N45" s="724"/>
      <c r="O45" s="596"/>
      <c r="S45" s="803"/>
      <c r="T45" s="797"/>
      <c r="U45" s="770"/>
      <c r="V45" s="772"/>
      <c r="W45" s="783"/>
      <c r="X45" s="740"/>
      <c r="AB45" s="828">
        <f t="shared" si="5"/>
        <v>90</v>
      </c>
      <c r="AC45" s="829">
        <f t="shared" si="4"/>
        <v>0</v>
      </c>
    </row>
    <row r="46" spans="2:29" ht="21" thickBot="1" x14ac:dyDescent="0.3">
      <c r="B46" s="16">
        <f t="shared" si="0"/>
        <v>37</v>
      </c>
      <c r="C46" s="106" t="s">
        <v>72</v>
      </c>
      <c r="D46" s="107" t="s">
        <v>73</v>
      </c>
      <c r="E46" s="599" t="str">
        <f t="shared" si="6"/>
        <v>KåreEggereide</v>
      </c>
      <c r="F46" s="192">
        <f>YEAR(I$5)-_xlfn.XLOOKUP(E46,Deltakerliste!E$5:E$98,Deltakerliste!I$5:I$98)</f>
        <v>74</v>
      </c>
      <c r="G46" s="192">
        <f>_xlfn.XLOOKUP(E46,Deltakerliste!E$5:E$98,Deltakerliste!H$5:H$98)</f>
        <v>2</v>
      </c>
      <c r="H46" s="592">
        <f>VLOOKUP(F46,Deltakerliste!P$6:T$84,G46,FALSE)</f>
        <v>1.569</v>
      </c>
      <c r="I46" s="593"/>
      <c r="J46" s="13"/>
      <c r="K46" s="13"/>
      <c r="L46" s="600"/>
      <c r="M46" s="594"/>
      <c r="N46" s="724"/>
      <c r="O46" s="596"/>
      <c r="S46" s="803"/>
      <c r="T46" s="797"/>
      <c r="U46" s="770"/>
      <c r="V46" s="772"/>
      <c r="W46" s="783"/>
      <c r="X46" s="740"/>
      <c r="AB46" s="828">
        <f t="shared" si="5"/>
        <v>91</v>
      </c>
      <c r="AC46" s="829">
        <f t="shared" si="4"/>
        <v>0</v>
      </c>
    </row>
    <row r="47" spans="2:29" ht="21" customHeight="1" thickBot="1" x14ac:dyDescent="0.3">
      <c r="B47" s="16">
        <f t="shared" si="0"/>
        <v>38</v>
      </c>
      <c r="C47" s="106" t="s">
        <v>74</v>
      </c>
      <c r="D47" s="107" t="s">
        <v>75</v>
      </c>
      <c r="E47" s="599" t="str">
        <f t="shared" si="6"/>
        <v>StinaElfving</v>
      </c>
      <c r="F47" s="192">
        <f>YEAR(I$5)-_xlfn.XLOOKUP(E47,Deltakerliste!E$5:E$98,Deltakerliste!I$5:I$98)</f>
        <v>75</v>
      </c>
      <c r="G47" s="192">
        <f>_xlfn.XLOOKUP(E47,Deltakerliste!E$5:E$98,Deltakerliste!H$5:H$98)</f>
        <v>4</v>
      </c>
      <c r="H47" s="592">
        <f>VLOOKUP(F47,Deltakerliste!P$6:T$84,G47,FALSE)</f>
        <v>2.1670000000000016</v>
      </c>
      <c r="I47" s="13"/>
      <c r="J47" s="13"/>
      <c r="K47" s="17"/>
      <c r="L47" s="600"/>
      <c r="M47" s="594"/>
      <c r="N47" s="724"/>
      <c r="O47" s="596"/>
      <c r="S47" s="803"/>
      <c r="T47" s="797"/>
      <c r="U47" s="770"/>
      <c r="V47" s="772"/>
      <c r="W47" s="783"/>
      <c r="X47" s="740"/>
      <c r="AB47" s="828">
        <f t="shared" si="5"/>
        <v>92</v>
      </c>
      <c r="AC47" s="829">
        <f t="shared" si="4"/>
        <v>0</v>
      </c>
    </row>
    <row r="48" spans="2:29" ht="21" customHeight="1" thickBot="1" x14ac:dyDescent="0.3">
      <c r="B48" s="16">
        <f t="shared" si="0"/>
        <v>39</v>
      </c>
      <c r="C48" s="106" t="s">
        <v>76</v>
      </c>
      <c r="D48" s="107" t="s">
        <v>77</v>
      </c>
      <c r="E48" s="599" t="str">
        <f t="shared" si="6"/>
        <v>ReinoldEllingsen</v>
      </c>
      <c r="F48" s="192">
        <f>YEAR(I$5)-_xlfn.XLOOKUP(E48,Deltakerliste!E$5:E$98,Deltakerliste!I$5:I$98)</f>
        <v>74</v>
      </c>
      <c r="G48" s="192">
        <f>_xlfn.XLOOKUP(E48,Deltakerliste!E$5:E$98,Deltakerliste!H$5:H$98)</f>
        <v>2</v>
      </c>
      <c r="H48" s="592">
        <f>VLOOKUP(F48,Deltakerliste!P$6:T$84,G48,FALSE)</f>
        <v>1.569</v>
      </c>
      <c r="I48" s="13"/>
      <c r="J48" s="13"/>
      <c r="K48" s="13"/>
      <c r="L48" s="600"/>
      <c r="M48" s="594"/>
      <c r="N48" s="724"/>
      <c r="O48" s="596"/>
      <c r="S48" s="803"/>
      <c r="T48" s="797"/>
      <c r="U48" s="770"/>
      <c r="V48" s="772"/>
      <c r="W48" s="783"/>
      <c r="X48" s="740"/>
      <c r="AB48" s="828">
        <f t="shared" si="5"/>
        <v>93</v>
      </c>
      <c r="AC48" s="829">
        <f t="shared" si="4"/>
        <v>0</v>
      </c>
    </row>
    <row r="49" spans="2:29" ht="21" customHeight="1" thickBot="1" x14ac:dyDescent="0.3">
      <c r="B49" s="16">
        <f t="shared" si="0"/>
        <v>40</v>
      </c>
      <c r="C49" s="106" t="s">
        <v>216</v>
      </c>
      <c r="D49" s="107" t="s">
        <v>77</v>
      </c>
      <c r="E49" s="599" t="str">
        <f t="shared" si="6"/>
        <v>Åse RitaEllingsen</v>
      </c>
      <c r="F49" s="192">
        <f>YEAR(I$5)-_xlfn.XLOOKUP(E49,Deltakerliste!E$5:E$98,Deltakerliste!I$5:I$98)</f>
        <v>61</v>
      </c>
      <c r="G49" s="192">
        <f>_xlfn.XLOOKUP(E49,Deltakerliste!E$5:E$98,Deltakerliste!H$5:H$98)</f>
        <v>4</v>
      </c>
      <c r="H49" s="592">
        <f>VLOOKUP(F49,Deltakerliste!P$6:T$84,G49,FALSE)</f>
        <v>1.6542000000000003</v>
      </c>
      <c r="I49" s="593"/>
      <c r="J49" s="14"/>
      <c r="K49" s="13"/>
      <c r="L49" s="600"/>
      <c r="M49" s="594"/>
      <c r="N49" s="724"/>
      <c r="O49" s="596"/>
      <c r="S49" s="803"/>
      <c r="T49" s="796"/>
      <c r="U49" s="793"/>
      <c r="V49" s="794"/>
      <c r="W49" s="795"/>
      <c r="X49" s="762"/>
      <c r="AB49" s="828">
        <f t="shared" si="5"/>
        <v>94</v>
      </c>
      <c r="AC49" s="829">
        <f t="shared" si="4"/>
        <v>0</v>
      </c>
    </row>
    <row r="50" spans="2:29" ht="21" thickBot="1" x14ac:dyDescent="0.3">
      <c r="B50" s="16">
        <f t="shared" si="0"/>
        <v>41</v>
      </c>
      <c r="C50" s="106" t="s">
        <v>78</v>
      </c>
      <c r="D50" s="107" t="s">
        <v>79</v>
      </c>
      <c r="E50" s="599" t="str">
        <f t="shared" si="6"/>
        <v>LeifEngen</v>
      </c>
      <c r="F50" s="192">
        <f>YEAR(I$5)-_xlfn.XLOOKUP(E50,Deltakerliste!E$5:E$98,Deltakerliste!I$5:I$98)</f>
        <v>84</v>
      </c>
      <c r="G50" s="192">
        <f>_xlfn.XLOOKUP(E50,Deltakerliste!E$5:E$98,Deltakerliste!H$5:H$98)</f>
        <v>2</v>
      </c>
      <c r="H50" s="592">
        <f>VLOOKUP(F50,Deltakerliste!P$6:T$84,G50,FALSE)</f>
        <v>2.1509999999999998</v>
      </c>
      <c r="I50" s="86"/>
      <c r="J50" s="86"/>
      <c r="K50" s="13"/>
      <c r="L50" s="600"/>
      <c r="M50" s="594"/>
      <c r="N50" s="724"/>
      <c r="O50" s="596"/>
      <c r="S50" s="803"/>
      <c r="T50" s="851"/>
      <c r="U50" s="770"/>
      <c r="V50" s="772"/>
      <c r="W50" s="783"/>
      <c r="X50" s="740"/>
      <c r="AB50" s="830">
        <f t="shared" si="5"/>
        <v>95</v>
      </c>
      <c r="AC50" s="831">
        <f t="shared" si="4"/>
        <v>0</v>
      </c>
    </row>
    <row r="51" spans="2:29" ht="21" customHeight="1" thickBot="1" x14ac:dyDescent="0.3">
      <c r="B51" s="16">
        <f t="shared" si="0"/>
        <v>42</v>
      </c>
      <c r="C51" s="106" t="s">
        <v>271</v>
      </c>
      <c r="D51" s="107" t="s">
        <v>272</v>
      </c>
      <c r="E51" s="599" t="str">
        <f t="shared" si="6"/>
        <v>Arne KjellFoldvik</v>
      </c>
      <c r="F51" s="192">
        <f>YEAR(I$5)-_xlfn.XLOOKUP(E51,Deltakerliste!E$5:E$98,Deltakerliste!I$5:I$98)</f>
        <v>91</v>
      </c>
      <c r="G51" s="192">
        <f>_xlfn.XLOOKUP(E51,Deltakerliste!E$5:E$98,Deltakerliste!H$5:H$98)</f>
        <v>2</v>
      </c>
      <c r="H51" s="592">
        <f>VLOOKUP(F51,Deltakerliste!P$6:T$84,G51,FALSE)</f>
        <v>2.7290000000000001</v>
      </c>
      <c r="I51" s="14"/>
      <c r="J51" s="14"/>
      <c r="K51" s="13"/>
      <c r="L51" s="600"/>
      <c r="M51" s="594"/>
      <c r="N51" s="724"/>
      <c r="O51" s="596"/>
      <c r="S51" s="803"/>
      <c r="T51" s="797"/>
      <c r="U51" s="770"/>
      <c r="V51" s="772"/>
      <c r="W51" s="783"/>
      <c r="X51" s="740"/>
    </row>
    <row r="52" spans="2:29" ht="21" thickBot="1" x14ac:dyDescent="0.3">
      <c r="B52" s="16">
        <f t="shared" si="0"/>
        <v>43</v>
      </c>
      <c r="C52" s="106" t="s">
        <v>82</v>
      </c>
      <c r="D52" s="107" t="s">
        <v>83</v>
      </c>
      <c r="E52" s="599" t="str">
        <f t="shared" si="6"/>
        <v>RoarForbord</v>
      </c>
      <c r="F52" s="192">
        <f>YEAR(I$5)-_xlfn.XLOOKUP(E52,Deltakerliste!E$5:E$98,Deltakerliste!I$5:I$98)</f>
        <v>82</v>
      </c>
      <c r="G52" s="192">
        <f>_xlfn.XLOOKUP(E52,Deltakerliste!E$5:E$98,Deltakerliste!H$5:H$98)</f>
        <v>2</v>
      </c>
      <c r="H52" s="592">
        <f>VLOOKUP(F52,Deltakerliste!P$6:T$84,G52,FALSE)</f>
        <v>2.0030000000000001</v>
      </c>
      <c r="I52" s="86"/>
      <c r="J52" s="86"/>
      <c r="K52" s="13"/>
      <c r="L52" s="600"/>
      <c r="M52" s="594"/>
      <c r="N52" s="724"/>
      <c r="O52" s="596"/>
      <c r="S52" s="803"/>
      <c r="T52" s="798"/>
      <c r="U52" s="770"/>
      <c r="V52" s="772"/>
      <c r="W52" s="783"/>
      <c r="X52" s="740"/>
    </row>
    <row r="53" spans="2:29" ht="21" thickBot="1" x14ac:dyDescent="0.3">
      <c r="B53" s="16">
        <f t="shared" si="0"/>
        <v>44</v>
      </c>
      <c r="C53" s="106" t="s">
        <v>84</v>
      </c>
      <c r="D53" s="107" t="s">
        <v>85</v>
      </c>
      <c r="E53" s="599" t="str">
        <f t="shared" si="6"/>
        <v>PaulForseth</v>
      </c>
      <c r="F53" s="192">
        <f>YEAR(I$5)-_xlfn.XLOOKUP(E53,Deltakerliste!E$5:E$98,Deltakerliste!I$5:I$98)</f>
        <v>93</v>
      </c>
      <c r="G53" s="192">
        <f>_xlfn.XLOOKUP(E53,Deltakerliste!E$5:E$98,Deltakerliste!H$5:H$98)</f>
        <v>2</v>
      </c>
      <c r="H53" s="592">
        <f>VLOOKUP(F53,Deltakerliste!P$6:T$84,G53,FALSE)</f>
        <v>2.8970000000000002</v>
      </c>
      <c r="I53" s="86"/>
      <c r="J53" s="86"/>
      <c r="K53" s="17"/>
      <c r="L53" s="600"/>
      <c r="M53" s="594"/>
      <c r="N53" s="724"/>
      <c r="O53" s="596"/>
      <c r="S53" s="803"/>
      <c r="T53" s="798"/>
      <c r="U53" s="770"/>
      <c r="V53" s="772"/>
      <c r="W53" s="783"/>
      <c r="X53" s="740"/>
    </row>
    <row r="54" spans="2:29" ht="21" thickBot="1" x14ac:dyDescent="0.3">
      <c r="B54" s="16">
        <f t="shared" si="0"/>
        <v>45</v>
      </c>
      <c r="C54" s="106" t="s">
        <v>86</v>
      </c>
      <c r="D54" s="107" t="s">
        <v>87</v>
      </c>
      <c r="E54" s="599" t="str">
        <f t="shared" si="6"/>
        <v>KristianFougner</v>
      </c>
      <c r="F54" s="192">
        <f>YEAR(I$5)-_xlfn.XLOOKUP(E54,Deltakerliste!E$5:E$98,Deltakerliste!I$5:I$98)</f>
        <v>75</v>
      </c>
      <c r="G54" s="192">
        <f>_xlfn.XLOOKUP(E54,Deltakerliste!E$5:E$98,Deltakerliste!H$5:H$98)</f>
        <v>2</v>
      </c>
      <c r="H54" s="592">
        <f>VLOOKUP(F54,Deltakerliste!P$6:T$84,G54,FALSE)</f>
        <v>1.605</v>
      </c>
      <c r="I54" s="86"/>
      <c r="J54" s="86"/>
      <c r="K54" s="13"/>
      <c r="L54" s="600"/>
      <c r="M54" s="594"/>
      <c r="N54" s="724"/>
      <c r="O54" s="596"/>
      <c r="S54" s="846"/>
      <c r="T54" s="847"/>
      <c r="U54" s="848"/>
      <c r="V54" s="778"/>
      <c r="W54" s="849"/>
      <c r="X54" s="850"/>
    </row>
    <row r="55" spans="2:29" ht="21" customHeight="1" thickBot="1" x14ac:dyDescent="0.3">
      <c r="B55" s="16">
        <f t="shared" si="0"/>
        <v>46</v>
      </c>
      <c r="C55" s="106" t="s">
        <v>88</v>
      </c>
      <c r="D55" s="107" t="s">
        <v>89</v>
      </c>
      <c r="E55" s="599" t="str">
        <f t="shared" si="6"/>
        <v>EdgarFuruholt</v>
      </c>
      <c r="F55" s="192">
        <f>YEAR(I$5)-_xlfn.XLOOKUP(E55,Deltakerliste!E$5:E$98,Deltakerliste!I$5:I$98)</f>
        <v>78</v>
      </c>
      <c r="G55" s="192">
        <f>_xlfn.XLOOKUP(E55,Deltakerliste!E$5:E$98,Deltakerliste!H$5:H$98)</f>
        <v>2</v>
      </c>
      <c r="H55" s="592">
        <f>VLOOKUP(F55,Deltakerliste!P$6:T$84,G55,FALSE)</f>
        <v>1.7550000000000001</v>
      </c>
      <c r="I55" s="18"/>
      <c r="J55" s="132"/>
      <c r="K55" s="18"/>
      <c r="L55" s="600"/>
      <c r="M55" s="594"/>
      <c r="N55" s="724"/>
      <c r="O55" s="596"/>
      <c r="S55" s="803"/>
      <c r="T55" s="798"/>
      <c r="U55" s="770"/>
      <c r="V55" s="772"/>
      <c r="W55" s="783"/>
      <c r="X55" s="740"/>
    </row>
    <row r="56" spans="2:29" ht="21" thickBot="1" x14ac:dyDescent="0.3">
      <c r="B56" s="16">
        <f t="shared" si="0"/>
        <v>47</v>
      </c>
      <c r="C56" s="106" t="s">
        <v>207</v>
      </c>
      <c r="D56" s="107" t="s">
        <v>89</v>
      </c>
      <c r="E56" s="599" t="str">
        <f t="shared" si="6"/>
        <v>AnneFuruholt</v>
      </c>
      <c r="F56" s="192">
        <f>YEAR(I$5)-_xlfn.XLOOKUP(E56,Deltakerliste!E$5:E$98,Deltakerliste!I$5:I$98)</f>
        <v>78</v>
      </c>
      <c r="G56" s="192">
        <f>_xlfn.XLOOKUP(E56,Deltakerliste!E$5:E$98,Deltakerliste!H$5:H$98)</f>
        <v>4</v>
      </c>
      <c r="H56" s="592">
        <f>VLOOKUP(F56,Deltakerliste!P$6:T$84,G56,FALSE)</f>
        <v>2.3398000000000012</v>
      </c>
      <c r="I56" s="13"/>
      <c r="J56" s="13"/>
      <c r="K56" s="13"/>
      <c r="L56" s="600"/>
      <c r="M56" s="594"/>
      <c r="N56" s="724"/>
      <c r="O56" s="596"/>
      <c r="S56" s="803"/>
      <c r="T56" s="798"/>
      <c r="U56" s="770"/>
      <c r="V56" s="772"/>
      <c r="W56" s="783"/>
      <c r="X56" s="740"/>
    </row>
    <row r="57" spans="2:29" ht="21" thickBot="1" x14ac:dyDescent="0.3">
      <c r="B57" s="16">
        <f t="shared" si="0"/>
        <v>48</v>
      </c>
      <c r="C57" s="106" t="s">
        <v>116</v>
      </c>
      <c r="D57" s="107" t="s">
        <v>353</v>
      </c>
      <c r="E57" s="599" t="str">
        <f t="shared" si="6"/>
        <v>AndersGjermo</v>
      </c>
      <c r="F57" s="192">
        <f>YEAR(I$5)-_xlfn.XLOOKUP(E57,Deltakerliste!E$5:E$98,Deltakerliste!I$5:I$98)</f>
        <v>67</v>
      </c>
      <c r="G57" s="192">
        <f>_xlfn.XLOOKUP(E57,Deltakerliste!E$5:E$98,Deltakerliste!H$5:H$98)</f>
        <v>2</v>
      </c>
      <c r="H57" s="592">
        <f>VLOOKUP(F57,Deltakerliste!P$6:T$84,G57,FALSE)</f>
        <v>1.3469999999999998</v>
      </c>
      <c r="I57" s="132"/>
      <c r="J57" s="132"/>
      <c r="K57" s="18"/>
      <c r="L57" s="600"/>
      <c r="M57" s="594"/>
      <c r="N57" s="724"/>
      <c r="O57" s="596"/>
      <c r="S57" s="804"/>
      <c r="T57" s="801"/>
      <c r="U57" s="771"/>
      <c r="V57" s="773"/>
      <c r="W57" s="784"/>
      <c r="X57" s="741"/>
    </row>
    <row r="58" spans="2:29" ht="20" customHeight="1" thickBot="1" x14ac:dyDescent="0.3">
      <c r="B58" s="16">
        <f t="shared" si="0"/>
        <v>49</v>
      </c>
      <c r="C58" s="106" t="s">
        <v>92</v>
      </c>
      <c r="D58" s="107" t="s">
        <v>93</v>
      </c>
      <c r="E58" s="599" t="str">
        <f t="shared" si="6"/>
        <v>Jens ØysteinGjersvold</v>
      </c>
      <c r="F58" s="192">
        <f>YEAR(I$5)-_xlfn.XLOOKUP(E58,Deltakerliste!E$5:E$98,Deltakerliste!I$5:I$98)</f>
        <v>73</v>
      </c>
      <c r="G58" s="192">
        <f>_xlfn.XLOOKUP(E58,Deltakerliste!E$5:E$98,Deltakerliste!H$5:H$98)</f>
        <v>2</v>
      </c>
      <c r="H58" s="592">
        <f>VLOOKUP(F58,Deltakerliste!P$6:T$84,G58,FALSE)</f>
        <v>1.5329999999999999</v>
      </c>
      <c r="I58" s="14"/>
      <c r="J58" s="14"/>
      <c r="K58" s="18"/>
      <c r="L58" s="600"/>
      <c r="M58" s="594"/>
      <c r="N58" s="724"/>
      <c r="O58" s="596"/>
    </row>
    <row r="59" spans="2:29" ht="21" thickBot="1" x14ac:dyDescent="0.3">
      <c r="B59" s="16">
        <f t="shared" si="0"/>
        <v>50</v>
      </c>
      <c r="C59" s="106" t="s">
        <v>60</v>
      </c>
      <c r="D59" s="107" t="s">
        <v>372</v>
      </c>
      <c r="E59" s="599" t="str">
        <f t="shared" si="6"/>
        <v>JosteinGrepstad</v>
      </c>
      <c r="F59" s="192">
        <f>YEAR(I$5)-_xlfn.XLOOKUP(E59,Deltakerliste!E$5:E$98,Deltakerliste!I$5:I$98)</f>
        <v>74</v>
      </c>
      <c r="G59" s="192">
        <f>_xlfn.XLOOKUP(E59,Deltakerliste!E$5:E$98,Deltakerliste!H$5:H$98)</f>
        <v>2</v>
      </c>
      <c r="H59" s="592">
        <f>VLOOKUP(F59,Deltakerliste!P$6:T$84,G59,FALSE)</f>
        <v>1.569</v>
      </c>
      <c r="I59" s="14"/>
      <c r="J59" s="14"/>
      <c r="K59" s="18"/>
      <c r="L59" s="600"/>
      <c r="M59" s="594"/>
      <c r="N59" s="724"/>
      <c r="O59" s="596"/>
    </row>
    <row r="60" spans="2:29" ht="21" customHeight="1" thickBot="1" x14ac:dyDescent="0.3">
      <c r="B60" s="16">
        <f t="shared" si="0"/>
        <v>51</v>
      </c>
      <c r="C60" s="106" t="s">
        <v>342</v>
      </c>
      <c r="D60" s="107" t="s">
        <v>343</v>
      </c>
      <c r="E60" s="599" t="str">
        <f t="shared" si="6"/>
        <v>ArildHeggeset</v>
      </c>
      <c r="F60" s="192">
        <f>YEAR(I$5)-_xlfn.XLOOKUP(E60,Deltakerliste!E$5:E$98,Deltakerliste!I$5:I$98)</f>
        <v>58</v>
      </c>
      <c r="G60" s="192">
        <f>_xlfn.XLOOKUP(E60,Deltakerliste!E$5:E$98,Deltakerliste!H$5:H$98)</f>
        <v>2</v>
      </c>
      <c r="H60" s="592">
        <f>VLOOKUP(F60,Deltakerliste!P$6:T$84,G60,FALSE)</f>
        <v>1.1720000000000002</v>
      </c>
      <c r="I60" s="86"/>
      <c r="J60" s="86"/>
      <c r="K60" s="13"/>
      <c r="L60" s="600"/>
      <c r="M60" s="594"/>
      <c r="N60" s="724"/>
      <c r="O60" s="596"/>
    </row>
    <row r="61" spans="2:29" ht="21" customHeight="1" thickBot="1" x14ac:dyDescent="0.3">
      <c r="B61" s="16">
        <f t="shared" si="0"/>
        <v>52</v>
      </c>
      <c r="C61" s="106" t="s">
        <v>99</v>
      </c>
      <c r="D61" s="107" t="s">
        <v>100</v>
      </c>
      <c r="E61" s="599" t="str">
        <f t="shared" si="6"/>
        <v>RobertHirsch</v>
      </c>
      <c r="F61" s="192">
        <f>YEAR(I$5)-_xlfn.XLOOKUP(E61,Deltakerliste!E$5:E$98,Deltakerliste!I$5:I$98)</f>
        <v>68</v>
      </c>
      <c r="G61" s="192">
        <f>_xlfn.XLOOKUP(E61,Deltakerliste!E$5:E$98,Deltakerliste!H$5:H$98)</f>
        <v>2</v>
      </c>
      <c r="H61" s="592">
        <f>VLOOKUP(F61,Deltakerliste!P$6:T$84,G61,FALSE)</f>
        <v>1.3729999999999998</v>
      </c>
      <c r="I61" s="86"/>
      <c r="J61" s="86"/>
      <c r="K61" s="13"/>
      <c r="L61" s="600"/>
      <c r="M61" s="594"/>
      <c r="N61" s="724"/>
      <c r="O61" s="596"/>
    </row>
    <row r="62" spans="2:29" ht="21" customHeight="1" thickBot="1" x14ac:dyDescent="0.3">
      <c r="B62" s="16">
        <f t="shared" si="0"/>
        <v>53</v>
      </c>
      <c r="C62" s="106" t="s">
        <v>263</v>
      </c>
      <c r="D62" s="107" t="s">
        <v>264</v>
      </c>
      <c r="E62" s="599" t="str">
        <f t="shared" si="6"/>
        <v>RuneHolt</v>
      </c>
      <c r="F62" s="192">
        <f>YEAR(I$5)-_xlfn.XLOOKUP(E62,Deltakerliste!E$5:E$98,Deltakerliste!I$5:I$98)</f>
        <v>72</v>
      </c>
      <c r="G62" s="192">
        <f>_xlfn.XLOOKUP(E62,Deltakerliste!E$5:E$98,Deltakerliste!H$5:H$98)</f>
        <v>2</v>
      </c>
      <c r="H62" s="592">
        <f>VLOOKUP(F62,Deltakerliste!P$6:T$84,G62,FALSE)</f>
        <v>1.4969999999999999</v>
      </c>
      <c r="I62" s="86"/>
      <c r="J62" s="86"/>
      <c r="K62" s="17"/>
      <c r="L62" s="600"/>
      <c r="M62" s="594"/>
      <c r="N62" s="724"/>
      <c r="O62" s="596"/>
    </row>
    <row r="63" spans="2:29" ht="21" thickBot="1" x14ac:dyDescent="0.3">
      <c r="B63" s="16">
        <f t="shared" si="0"/>
        <v>54</v>
      </c>
      <c r="C63" s="106" t="s">
        <v>103</v>
      </c>
      <c r="D63" s="107" t="s">
        <v>104</v>
      </c>
      <c r="E63" s="599" t="str">
        <f t="shared" si="6"/>
        <v>SveinHove</v>
      </c>
      <c r="F63" s="192">
        <f>YEAR(I$5)-_xlfn.XLOOKUP(E63,Deltakerliste!E$5:E$98,Deltakerliste!I$5:I$98)</f>
        <v>78</v>
      </c>
      <c r="G63" s="192">
        <f>_xlfn.XLOOKUP(E63,Deltakerliste!E$5:E$98,Deltakerliste!H$5:H$98)</f>
        <v>2</v>
      </c>
      <c r="H63" s="592">
        <f>VLOOKUP(F63,Deltakerliste!P$6:T$84,G63,FALSE)</f>
        <v>1.7550000000000001</v>
      </c>
      <c r="I63" s="86"/>
      <c r="J63" s="86"/>
      <c r="K63" s="17"/>
      <c r="L63" s="600"/>
      <c r="M63" s="594"/>
      <c r="N63" s="724"/>
      <c r="O63" s="596"/>
    </row>
    <row r="64" spans="2:29" ht="21" thickBot="1" x14ac:dyDescent="0.3">
      <c r="B64" s="16">
        <f t="shared" si="0"/>
        <v>55</v>
      </c>
      <c r="C64" s="106" t="s">
        <v>269</v>
      </c>
      <c r="D64" s="107" t="s">
        <v>270</v>
      </c>
      <c r="E64" s="599" t="str">
        <f t="shared" si="6"/>
        <v>Per OlavJohansen</v>
      </c>
      <c r="F64" s="192">
        <f>YEAR(I$5)-_xlfn.XLOOKUP(E64,Deltakerliste!E$5:E$98,Deltakerliste!I$5:I$98)</f>
        <v>67</v>
      </c>
      <c r="G64" s="192">
        <f>_xlfn.XLOOKUP(E64,Deltakerliste!E$5:E$98,Deltakerliste!H$5:H$98)</f>
        <v>2</v>
      </c>
      <c r="H64" s="592">
        <f>VLOOKUP(F64,Deltakerliste!P$6:T$84,G64,FALSE)</f>
        <v>1.3469999999999998</v>
      </c>
      <c r="I64" s="132"/>
      <c r="J64" s="132"/>
      <c r="K64" s="134"/>
      <c r="L64" s="600"/>
      <c r="M64" s="594"/>
      <c r="N64" s="724"/>
      <c r="O64" s="596"/>
    </row>
    <row r="65" spans="2:17" ht="21" thickBot="1" x14ac:dyDescent="0.3">
      <c r="B65" s="16">
        <f t="shared" si="0"/>
        <v>56</v>
      </c>
      <c r="C65" s="106" t="s">
        <v>110</v>
      </c>
      <c r="D65" s="107" t="s">
        <v>111</v>
      </c>
      <c r="E65" s="599" t="str">
        <f t="shared" si="6"/>
        <v>Jan ErikKofoed</v>
      </c>
      <c r="F65" s="192">
        <f>YEAR(I$5)-_xlfn.XLOOKUP(E65,Deltakerliste!E$5:E$98,Deltakerliste!I$5:I$98)</f>
        <v>71</v>
      </c>
      <c r="G65" s="192">
        <f>_xlfn.XLOOKUP(E65,Deltakerliste!E$5:E$98,Deltakerliste!H$5:H$98)</f>
        <v>2</v>
      </c>
      <c r="H65" s="592">
        <f>VLOOKUP(F65,Deltakerliste!P$6:T$84,G65,FALSE)</f>
        <v>1.4609999999999999</v>
      </c>
      <c r="I65" s="86"/>
      <c r="J65" s="86"/>
      <c r="K65" s="13"/>
      <c r="L65" s="600"/>
      <c r="M65" s="594"/>
      <c r="N65" s="724"/>
      <c r="O65" s="596"/>
    </row>
    <row r="66" spans="2:17" ht="21" thickBot="1" x14ac:dyDescent="0.3">
      <c r="B66" s="16">
        <f t="shared" si="0"/>
        <v>57</v>
      </c>
      <c r="C66" s="106" t="s">
        <v>251</v>
      </c>
      <c r="D66" s="107" t="s">
        <v>252</v>
      </c>
      <c r="E66" s="599" t="str">
        <f t="shared" si="6"/>
        <v>OttarKristiansen</v>
      </c>
      <c r="F66" s="192">
        <f>YEAR(I$5)-_xlfn.XLOOKUP(E66,Deltakerliste!E$5:E$98,Deltakerliste!I$5:I$98)</f>
        <v>76</v>
      </c>
      <c r="G66" s="192">
        <f>_xlfn.XLOOKUP(E66,Deltakerliste!E$5:E$98,Deltakerliste!H$5:H$98)</f>
        <v>2</v>
      </c>
      <c r="H66" s="592">
        <f>VLOOKUP(F66,Deltakerliste!P$6:T$84,G66,FALSE)</f>
        <v>1.655</v>
      </c>
      <c r="I66" s="86"/>
      <c r="J66" s="86"/>
      <c r="K66" s="17"/>
      <c r="L66" s="600"/>
      <c r="M66" s="594"/>
      <c r="N66" s="724"/>
      <c r="O66" s="596"/>
    </row>
    <row r="67" spans="2:17" ht="21" thickBot="1" x14ac:dyDescent="0.3">
      <c r="B67" s="16">
        <f t="shared" si="0"/>
        <v>58</v>
      </c>
      <c r="C67" s="106" t="s">
        <v>299</v>
      </c>
      <c r="D67" s="107" t="s">
        <v>300</v>
      </c>
      <c r="E67" s="599" t="str">
        <f t="shared" si="6"/>
        <v>OlavKvittem</v>
      </c>
      <c r="F67" s="192">
        <f>YEAR(I$5)-_xlfn.XLOOKUP(E67,Deltakerliste!E$5:E$98,Deltakerliste!I$5:I$98)</f>
        <v>70</v>
      </c>
      <c r="G67" s="192">
        <f>_xlfn.XLOOKUP(E67,Deltakerliste!E$5:E$98,Deltakerliste!H$5:H$98)</f>
        <v>2</v>
      </c>
      <c r="H67" s="592">
        <f>VLOOKUP(F67,Deltakerliste!P$6:T$84,G67,FALSE)</f>
        <v>1.4249999999999998</v>
      </c>
      <c r="I67" s="86"/>
      <c r="J67" s="86"/>
      <c r="K67" s="13"/>
      <c r="L67" s="600"/>
      <c r="M67" s="594"/>
      <c r="N67" s="724"/>
      <c r="O67" s="596"/>
    </row>
    <row r="68" spans="2:17" ht="21" thickBot="1" x14ac:dyDescent="0.3">
      <c r="B68" s="16">
        <f t="shared" si="0"/>
        <v>59</v>
      </c>
      <c r="C68" s="106" t="s">
        <v>112</v>
      </c>
      <c r="D68" s="107" t="s">
        <v>113</v>
      </c>
      <c r="E68" s="599" t="str">
        <f t="shared" si="6"/>
        <v>ToridKvaal</v>
      </c>
      <c r="F68" s="192">
        <f>YEAR(I$5)-_xlfn.XLOOKUP(E68,Deltakerliste!E$5:E$98,Deltakerliste!I$5:I$98)</f>
        <v>83</v>
      </c>
      <c r="G68" s="192">
        <f>_xlfn.XLOOKUP(E68,Deltakerliste!E$5:E$98,Deltakerliste!H$5:H$98)</f>
        <v>4</v>
      </c>
      <c r="H68" s="592">
        <f>VLOOKUP(F68,Deltakerliste!P$6:T$84,G68,FALSE)</f>
        <v>2.6998000000000006</v>
      </c>
      <c r="I68" s="86"/>
      <c r="J68" s="86"/>
      <c r="K68" s="13"/>
      <c r="L68" s="600"/>
      <c r="M68" s="594"/>
      <c r="N68" s="724"/>
      <c r="O68" s="596"/>
    </row>
    <row r="69" spans="2:17" ht="21" thickBot="1" x14ac:dyDescent="0.3">
      <c r="B69" s="16">
        <f t="shared" si="0"/>
        <v>60</v>
      </c>
      <c r="C69" s="106" t="s">
        <v>254</v>
      </c>
      <c r="D69" s="107" t="s">
        <v>255</v>
      </c>
      <c r="E69" s="599" t="str">
        <f t="shared" si="6"/>
        <v>ArnfinnLangeland</v>
      </c>
      <c r="F69" s="192">
        <f>YEAR(I$5)-_xlfn.XLOOKUP(E69,Deltakerliste!E$5:E$98,Deltakerliste!I$5:I$98)</f>
        <v>89</v>
      </c>
      <c r="G69" s="192">
        <f>_xlfn.XLOOKUP(E69,Deltakerliste!E$5:E$98,Deltakerliste!H$5:H$98)</f>
        <v>2</v>
      </c>
      <c r="H69" s="592">
        <f>VLOOKUP(F69,Deltakerliste!P$6:T$84,G69,FALSE)</f>
        <v>2.5609999999999999</v>
      </c>
      <c r="I69" s="86"/>
      <c r="J69" s="86"/>
      <c r="K69" s="13"/>
      <c r="L69" s="600"/>
      <c r="M69" s="594"/>
      <c r="N69" s="724"/>
      <c r="O69" s="596"/>
    </row>
    <row r="70" spans="2:17" ht="21" thickBot="1" x14ac:dyDescent="0.3">
      <c r="B70" s="16">
        <f t="shared" si="0"/>
        <v>61</v>
      </c>
      <c r="C70" s="106" t="s">
        <v>116</v>
      </c>
      <c r="D70" s="107" t="s">
        <v>117</v>
      </c>
      <c r="E70" s="599" t="str">
        <f t="shared" si="6"/>
        <v>AndersLauglo</v>
      </c>
      <c r="F70" s="192">
        <f>YEAR(I$5)-_xlfn.XLOOKUP(E70,Deltakerliste!E$5:E$98,Deltakerliste!I$5:I$98)</f>
        <v>86</v>
      </c>
      <c r="G70" s="192">
        <f>_xlfn.XLOOKUP(E70,Deltakerliste!E$5:E$98,Deltakerliste!H$5:H$98)</f>
        <v>2</v>
      </c>
      <c r="H70" s="592">
        <f>VLOOKUP(F70,Deltakerliste!P$6:T$84,G70,FALSE)</f>
        <v>2.3089999999999997</v>
      </c>
      <c r="I70" s="13"/>
      <c r="J70" s="13"/>
      <c r="K70" s="86"/>
      <c r="L70" s="600"/>
      <c r="M70" s="594"/>
      <c r="N70" s="724"/>
      <c r="O70" s="596"/>
    </row>
    <row r="71" spans="2:17" ht="21" thickBot="1" x14ac:dyDescent="0.3">
      <c r="B71" s="16">
        <f t="shared" si="0"/>
        <v>62</v>
      </c>
      <c r="C71" s="106" t="s">
        <v>248</v>
      </c>
      <c r="D71" s="107" t="s">
        <v>249</v>
      </c>
      <c r="E71" s="599" t="str">
        <f t="shared" si="6"/>
        <v>ErikLund</v>
      </c>
      <c r="F71" s="192">
        <f>YEAR(I$5)-_xlfn.XLOOKUP(E71,Deltakerliste!E$5:E$98,Deltakerliste!I$5:I$98)</f>
        <v>78</v>
      </c>
      <c r="G71" s="192">
        <f>_xlfn.XLOOKUP(E71,Deltakerliste!E$5:E$98,Deltakerliste!H$5:H$98)</f>
        <v>2</v>
      </c>
      <c r="H71" s="592">
        <f>VLOOKUP(F71,Deltakerliste!P$6:T$84,G71,FALSE)</f>
        <v>1.7550000000000001</v>
      </c>
      <c r="I71" s="13"/>
      <c r="J71" s="13"/>
      <c r="K71" s="17"/>
      <c r="L71" s="600"/>
      <c r="M71" s="594"/>
      <c r="N71" s="724"/>
      <c r="O71" s="596"/>
    </row>
    <row r="72" spans="2:17" ht="21" thickBot="1" x14ac:dyDescent="0.3">
      <c r="B72" s="16">
        <f t="shared" si="0"/>
        <v>63</v>
      </c>
      <c r="C72" s="106" t="s">
        <v>222</v>
      </c>
      <c r="D72" s="107" t="s">
        <v>221</v>
      </c>
      <c r="E72" s="599" t="str">
        <f t="shared" si="6"/>
        <v>Kjell Maroni</v>
      </c>
      <c r="F72" s="192">
        <f>YEAR(I$5)-_xlfn.XLOOKUP(E72,Deltakerliste!E$5:E$98,Deltakerliste!I$5:I$98)</f>
        <v>69</v>
      </c>
      <c r="G72" s="192">
        <f>_xlfn.XLOOKUP(E72,Deltakerliste!E$5:E$98,Deltakerliste!H$5:H$98)</f>
        <v>2</v>
      </c>
      <c r="H72" s="592">
        <f>VLOOKUP(F72,Deltakerliste!P$6:T$84,G72,FALSE)</f>
        <v>1.3989999999999998</v>
      </c>
      <c r="I72" s="13"/>
      <c r="J72" s="13"/>
      <c r="K72" s="13"/>
      <c r="L72" s="600"/>
      <c r="M72" s="594"/>
      <c r="N72" s="724"/>
      <c r="O72" s="596"/>
    </row>
    <row r="73" spans="2:17" ht="21" thickBot="1" x14ac:dyDescent="0.3">
      <c r="B73" s="16">
        <f t="shared" si="0"/>
        <v>64</v>
      </c>
      <c r="C73" s="106" t="s">
        <v>122</v>
      </c>
      <c r="D73" s="107" t="s">
        <v>123</v>
      </c>
      <c r="E73" s="599" t="str">
        <f t="shared" si="6"/>
        <v>MartinMelhuus</v>
      </c>
      <c r="F73" s="192">
        <f>YEAR(I$5)-_xlfn.XLOOKUP(E73,Deltakerliste!E$5:E$98,Deltakerliste!I$5:I$98)</f>
        <v>81</v>
      </c>
      <c r="G73" s="192">
        <f>_xlfn.XLOOKUP(E73,Deltakerliste!E$5:E$98,Deltakerliste!H$5:H$98)</f>
        <v>2</v>
      </c>
      <c r="H73" s="592">
        <f>VLOOKUP(F73,Deltakerliste!P$6:T$84,G73,FALSE)</f>
        <v>1.9290000000000003</v>
      </c>
      <c r="I73" s="13"/>
      <c r="J73" s="13"/>
      <c r="K73" s="13"/>
      <c r="L73" s="600"/>
      <c r="M73" s="594"/>
      <c r="N73" s="724"/>
      <c r="O73" s="596"/>
    </row>
    <row r="74" spans="2:17" ht="21" thickBot="1" x14ac:dyDescent="0.3">
      <c r="B74" s="16">
        <f t="shared" ref="B74:B90" si="7">B73+1</f>
        <v>65</v>
      </c>
      <c r="C74" s="106" t="s">
        <v>128</v>
      </c>
      <c r="D74" s="107" t="s">
        <v>129</v>
      </c>
      <c r="E74" s="599" t="str">
        <f t="shared" ref="E74:E90" si="8">_xlfn.CONCAT(C74:D74)</f>
        <v>OddMusum</v>
      </c>
      <c r="F74" s="192">
        <f>YEAR(I$5)-_xlfn.XLOOKUP(E74,Deltakerliste!E$5:E$98,Deltakerliste!I$5:I$98)</f>
        <v>83</v>
      </c>
      <c r="G74" s="192">
        <f>_xlfn.XLOOKUP(E74,Deltakerliste!E$5:E$98,Deltakerliste!H$5:H$98)</f>
        <v>2</v>
      </c>
      <c r="H74" s="592">
        <f>VLOOKUP(F74,Deltakerliste!P$6:T$84,G74,FALSE)</f>
        <v>2.077</v>
      </c>
      <c r="I74" s="13"/>
      <c r="J74" s="13"/>
      <c r="K74" s="13"/>
      <c r="L74" s="600"/>
      <c r="M74" s="594"/>
      <c r="N74" s="724"/>
      <c r="O74" s="596"/>
    </row>
    <row r="75" spans="2:17" ht="21" thickBot="1" x14ac:dyDescent="0.3">
      <c r="B75" s="16">
        <f t="shared" si="7"/>
        <v>66</v>
      </c>
      <c r="C75" s="106" t="s">
        <v>132</v>
      </c>
      <c r="D75" s="107" t="s">
        <v>133</v>
      </c>
      <c r="E75" s="599" t="str">
        <f t="shared" si="8"/>
        <v>JarleNestvold</v>
      </c>
      <c r="F75" s="192">
        <f>YEAR(I$5)-_xlfn.XLOOKUP(E75,Deltakerliste!E$5:E$98,Deltakerliste!I$5:I$98)</f>
        <v>88</v>
      </c>
      <c r="G75" s="192">
        <f>_xlfn.XLOOKUP(E75,Deltakerliste!E$5:E$98,Deltakerliste!H$5:H$98)</f>
        <v>2</v>
      </c>
      <c r="H75" s="592">
        <f>VLOOKUP(F75,Deltakerliste!P$6:T$84,G75,FALSE)</f>
        <v>2.4769999999999999</v>
      </c>
      <c r="I75" s="132"/>
      <c r="J75" s="18"/>
      <c r="K75" s="18"/>
      <c r="L75" s="600"/>
      <c r="M75" s="594"/>
      <c r="N75" s="724"/>
      <c r="O75" s="596"/>
      <c r="Q75" s="112"/>
    </row>
    <row r="76" spans="2:17" ht="21" thickBot="1" x14ac:dyDescent="0.3">
      <c r="B76" s="16">
        <f t="shared" si="7"/>
        <v>67</v>
      </c>
      <c r="C76" s="106" t="s">
        <v>265</v>
      </c>
      <c r="D76" s="107" t="s">
        <v>344</v>
      </c>
      <c r="E76" s="599" t="str">
        <f t="shared" si="8"/>
        <v>ØysteinNytrø</v>
      </c>
      <c r="F76" s="192">
        <f>YEAR(I$5)-_xlfn.XLOOKUP(E76,Deltakerliste!E$5:E$98,Deltakerliste!I$5:I$98)</f>
        <v>65</v>
      </c>
      <c r="G76" s="192">
        <f>_xlfn.XLOOKUP(E76,Deltakerliste!E$5:E$98,Deltakerliste!H$5:H$98)</f>
        <v>2</v>
      </c>
      <c r="H76" s="592">
        <f>VLOOKUP(F76,Deltakerliste!P$6:T$84,G76,FALSE)</f>
        <v>1.2949999999999997</v>
      </c>
      <c r="I76" s="18"/>
      <c r="J76" s="132"/>
      <c r="K76" s="18"/>
      <c r="L76" s="600"/>
      <c r="M76" s="594"/>
      <c r="N76" s="724"/>
      <c r="O76" s="596"/>
    </row>
    <row r="77" spans="2:17" ht="21" thickBot="1" x14ac:dyDescent="0.3">
      <c r="B77" s="16">
        <f t="shared" si="7"/>
        <v>68</v>
      </c>
      <c r="C77" s="106" t="s">
        <v>72</v>
      </c>
      <c r="D77" s="107" t="s">
        <v>139</v>
      </c>
      <c r="E77" s="599" t="str">
        <f t="shared" si="8"/>
        <v>KåreOnsøyen</v>
      </c>
      <c r="F77" s="192">
        <f>YEAR(I$5)-_xlfn.XLOOKUP(E77,Deltakerliste!E$5:E$98,Deltakerliste!I$5:I$98)</f>
        <v>77</v>
      </c>
      <c r="G77" s="192">
        <f>_xlfn.XLOOKUP(E77,Deltakerliste!E$5:E$98,Deltakerliste!H$5:H$98)</f>
        <v>2</v>
      </c>
      <c r="H77" s="592">
        <f>VLOOKUP(F77,Deltakerliste!P$6:T$84,G77,FALSE)</f>
        <v>1.7050000000000001</v>
      </c>
      <c r="I77" s="13"/>
      <c r="J77" s="13"/>
      <c r="K77" s="13"/>
      <c r="L77" s="600"/>
      <c r="M77" s="594"/>
      <c r="N77" s="724"/>
      <c r="O77" s="596"/>
    </row>
    <row r="78" spans="2:17" ht="21" thickBot="1" x14ac:dyDescent="0.3">
      <c r="B78" s="16">
        <f t="shared" si="7"/>
        <v>69</v>
      </c>
      <c r="C78" s="106" t="s">
        <v>140</v>
      </c>
      <c r="D78" s="107" t="s">
        <v>141</v>
      </c>
      <c r="E78" s="599" t="str">
        <f t="shared" si="8"/>
        <v>Grete BergeOwren</v>
      </c>
      <c r="F78" s="192">
        <f>YEAR(I$5)-_xlfn.XLOOKUP(E78,Deltakerliste!E$5:E$98,Deltakerliste!I$5:I$98)</f>
        <v>67</v>
      </c>
      <c r="G78" s="192">
        <f>_xlfn.XLOOKUP(E78,Deltakerliste!E$5:E$98,Deltakerliste!H$5:H$98)</f>
        <v>4</v>
      </c>
      <c r="H78" s="592">
        <f>VLOOKUP(F78,Deltakerliste!P$6:T$84,G78,FALSE)</f>
        <v>1.8422000000000009</v>
      </c>
      <c r="I78" s="18"/>
      <c r="J78" s="18"/>
      <c r="K78" s="18"/>
      <c r="L78" s="600"/>
      <c r="M78" s="594"/>
      <c r="N78" s="724"/>
      <c r="O78" s="596"/>
    </row>
    <row r="79" spans="2:17" ht="21" thickBot="1" x14ac:dyDescent="0.3">
      <c r="B79" s="16">
        <f t="shared" si="7"/>
        <v>70</v>
      </c>
      <c r="C79" s="111" t="s">
        <v>144</v>
      </c>
      <c r="D79" s="193" t="s">
        <v>145</v>
      </c>
      <c r="E79" s="599" t="str">
        <f t="shared" si="8"/>
        <v>Bjørn Rindstad</v>
      </c>
      <c r="F79" s="192">
        <f>YEAR(I$5)-_xlfn.XLOOKUP(E79,Deltakerliste!E$5:E$98,Deltakerliste!I$5:I$98)</f>
        <v>74</v>
      </c>
      <c r="G79" s="192">
        <f>_xlfn.XLOOKUP(E79,Deltakerliste!E$5:E$98,Deltakerliste!H$5:H$98)</f>
        <v>2</v>
      </c>
      <c r="H79" s="592">
        <f>VLOOKUP(F79,Deltakerliste!P$6:T$84,G79,FALSE)</f>
        <v>1.569</v>
      </c>
      <c r="I79" s="18"/>
      <c r="J79" s="18"/>
      <c r="K79" s="18"/>
      <c r="L79" s="600"/>
      <c r="M79" s="594"/>
      <c r="N79" s="724"/>
      <c r="O79" s="596"/>
    </row>
    <row r="80" spans="2:17" ht="21" thickBot="1" x14ac:dyDescent="0.3">
      <c r="B80" s="16">
        <f t="shared" si="7"/>
        <v>71</v>
      </c>
      <c r="C80" s="111" t="s">
        <v>228</v>
      </c>
      <c r="D80" s="193" t="s">
        <v>229</v>
      </c>
      <c r="E80" s="599" t="str">
        <f t="shared" si="8"/>
        <v>May-LisRønning</v>
      </c>
      <c r="F80" s="192">
        <f>YEAR(I$5)-_xlfn.XLOOKUP(E80,Deltakerliste!E$5:E$98,Deltakerliste!I$5:I$98)</f>
        <v>55</v>
      </c>
      <c r="G80" s="192">
        <f>_xlfn.XLOOKUP(E80,Deltakerliste!E$5:E$98,Deltakerliste!H$5:H$98)</f>
        <v>4</v>
      </c>
      <c r="H80" s="592">
        <f>VLOOKUP(F80,Deltakerliste!P$6:T$84,G80,FALSE)</f>
        <v>1.5099999999999996</v>
      </c>
      <c r="I80" s="18"/>
      <c r="J80" s="18"/>
      <c r="K80" s="18"/>
      <c r="L80" s="600"/>
      <c r="M80" s="594"/>
      <c r="N80" s="724"/>
      <c r="O80" s="596"/>
    </row>
    <row r="81" spans="2:15" ht="21" thickBot="1" x14ac:dyDescent="0.3">
      <c r="B81" s="16">
        <f t="shared" si="7"/>
        <v>72</v>
      </c>
      <c r="C81" s="111" t="s">
        <v>147</v>
      </c>
      <c r="D81" s="108" t="s">
        <v>148</v>
      </c>
      <c r="E81" s="599" t="str">
        <f t="shared" si="8"/>
        <v>ViggoSchei</v>
      </c>
      <c r="F81" s="192">
        <f>YEAR(I$5)-_xlfn.XLOOKUP(E81,Deltakerliste!E$5:E$98,Deltakerliste!I$5:I$98)</f>
        <v>74</v>
      </c>
      <c r="G81" s="192">
        <f>_xlfn.XLOOKUP(E81,Deltakerliste!E$5:E$98,Deltakerliste!H$5:H$98)</f>
        <v>2</v>
      </c>
      <c r="H81" s="592">
        <f>VLOOKUP(F81,Deltakerliste!P$6:T$84,G81,FALSE)</f>
        <v>1.569</v>
      </c>
      <c r="I81" s="18"/>
      <c r="J81" s="132"/>
      <c r="K81" s="18"/>
      <c r="L81" s="600"/>
      <c r="M81" s="594"/>
      <c r="N81" s="724"/>
      <c r="O81" s="596"/>
    </row>
    <row r="82" spans="2:15" ht="21" thickBot="1" x14ac:dyDescent="0.3">
      <c r="B82" s="16">
        <f t="shared" si="7"/>
        <v>73</v>
      </c>
      <c r="C82" s="111" t="s">
        <v>298</v>
      </c>
      <c r="D82" s="193" t="s">
        <v>297</v>
      </c>
      <c r="E82" s="599" t="str">
        <f t="shared" si="8"/>
        <v>ØyvindSchjelderup</v>
      </c>
      <c r="F82" s="192">
        <f>YEAR(I$5)-_xlfn.XLOOKUP(E82,Deltakerliste!E$5:E$98,Deltakerliste!I$5:I$98)</f>
        <v>60</v>
      </c>
      <c r="G82" s="192">
        <f>_xlfn.XLOOKUP(E82,Deltakerliste!E$5:E$98,Deltakerliste!H$5:H$98)</f>
        <v>2</v>
      </c>
      <c r="H82" s="592">
        <f>VLOOKUP(F82,Deltakerliste!P$6:T$84,G82,FALSE)</f>
        <v>1.2000000000000002</v>
      </c>
      <c r="I82" s="18"/>
      <c r="J82" s="18"/>
      <c r="K82" s="18"/>
      <c r="L82" s="600"/>
      <c r="M82" s="594"/>
      <c r="N82" s="724"/>
      <c r="O82" s="596"/>
    </row>
    <row r="83" spans="2:15" ht="21" thickBot="1" x14ac:dyDescent="0.3">
      <c r="B83" s="16">
        <f t="shared" si="7"/>
        <v>74</v>
      </c>
      <c r="C83" s="111" t="s">
        <v>149</v>
      </c>
      <c r="D83" s="193" t="s">
        <v>150</v>
      </c>
      <c r="E83" s="599" t="str">
        <f t="shared" si="8"/>
        <v>BenteSkorge</v>
      </c>
      <c r="F83" s="192">
        <f>YEAR(I$5)-_xlfn.XLOOKUP(E83,Deltakerliste!E$5:E$98,Deltakerliste!I$5:I$98)</f>
        <v>66</v>
      </c>
      <c r="G83" s="192">
        <f>_xlfn.XLOOKUP(E83,Deltakerliste!E$5:E$98,Deltakerliste!H$5:H$98)</f>
        <v>4</v>
      </c>
      <c r="H83" s="592">
        <f>VLOOKUP(F83,Deltakerliste!P$6:T$84,G83,FALSE)</f>
        <v>1.8066000000000009</v>
      </c>
      <c r="I83" s="18"/>
      <c r="J83" s="132"/>
      <c r="K83" s="18"/>
      <c r="L83" s="600"/>
      <c r="M83" s="594"/>
      <c r="N83" s="724"/>
      <c r="O83" s="596"/>
    </row>
    <row r="84" spans="2:15" ht="21" thickBot="1" x14ac:dyDescent="0.3">
      <c r="B84" s="16">
        <f t="shared" si="7"/>
        <v>75</v>
      </c>
      <c r="C84" s="111" t="s">
        <v>153</v>
      </c>
      <c r="D84" s="108" t="s">
        <v>154</v>
      </c>
      <c r="E84" s="599" t="str">
        <f t="shared" si="8"/>
        <v>ReidunSmaavik</v>
      </c>
      <c r="F84" s="192">
        <f>YEAR(I$5)-_xlfn.XLOOKUP(E84,Deltakerliste!E$5:E$98,Deltakerliste!I$5:I$98)</f>
        <v>70</v>
      </c>
      <c r="G84" s="192">
        <f>_xlfn.XLOOKUP(E84,Deltakerliste!E$5:E$98,Deltakerliste!H$5:H$98)</f>
        <v>4</v>
      </c>
      <c r="H84" s="592">
        <f>VLOOKUP(F84,Deltakerliste!P$6:T$84,G84,FALSE)</f>
        <v>1.9490000000000012</v>
      </c>
      <c r="I84" s="132"/>
      <c r="J84" s="18"/>
      <c r="K84" s="18"/>
      <c r="L84" s="600"/>
      <c r="M84" s="594"/>
      <c r="N84" s="724"/>
      <c r="O84" s="596"/>
    </row>
    <row r="85" spans="2:15" ht="21" thickBot="1" x14ac:dyDescent="0.3">
      <c r="B85" s="16">
        <f t="shared" si="7"/>
        <v>76</v>
      </c>
      <c r="C85" s="111" t="s">
        <v>155</v>
      </c>
      <c r="D85" s="108" t="s">
        <v>156</v>
      </c>
      <c r="E85" s="599" t="str">
        <f t="shared" si="8"/>
        <v>KjellrunSporild</v>
      </c>
      <c r="F85" s="192">
        <f>YEAR(I$5)-_xlfn.XLOOKUP(E85,Deltakerliste!E$5:E$98,Deltakerliste!I$5:I$98)</f>
        <v>70</v>
      </c>
      <c r="G85" s="192">
        <f>_xlfn.XLOOKUP(E85,Deltakerliste!E$5:E$98,Deltakerliste!H$5:H$98)</f>
        <v>4</v>
      </c>
      <c r="H85" s="592">
        <f>VLOOKUP(F85,Deltakerliste!P$6:T$84,G85,FALSE)</f>
        <v>1.9490000000000012</v>
      </c>
      <c r="I85" s="18"/>
      <c r="J85" s="132"/>
      <c r="K85" s="18"/>
      <c r="L85" s="600"/>
      <c r="M85" s="594"/>
      <c r="N85" s="724"/>
      <c r="O85" s="596"/>
    </row>
    <row r="86" spans="2:15" ht="21" thickBot="1" x14ac:dyDescent="0.3">
      <c r="B86" s="16">
        <f t="shared" si="7"/>
        <v>77</v>
      </c>
      <c r="C86" s="193" t="s">
        <v>232</v>
      </c>
      <c r="D86" s="133" t="s">
        <v>231</v>
      </c>
      <c r="E86" s="599" t="str">
        <f t="shared" si="8"/>
        <v>BeritSunnset</v>
      </c>
      <c r="F86" s="192">
        <f>YEAR(I$5)-_xlfn.XLOOKUP(E86,Deltakerliste!E$5:E$98,Deltakerliste!I$5:I$98)</f>
        <v>62</v>
      </c>
      <c r="G86" s="192">
        <f>_xlfn.XLOOKUP(E86,Deltakerliste!E$5:E$98,Deltakerliste!H$5:H$98)</f>
        <v>4</v>
      </c>
      <c r="H86" s="592">
        <f>VLOOKUP(F86,Deltakerliste!P$6:T$84,G86,FALSE)</f>
        <v>1.6834000000000005</v>
      </c>
      <c r="I86" s="18"/>
      <c r="J86" s="18"/>
      <c r="K86" s="18"/>
      <c r="L86" s="600"/>
      <c r="M86" s="594"/>
      <c r="N86" s="724"/>
      <c r="O86" s="596"/>
    </row>
    <row r="87" spans="2:15" ht="21" thickBot="1" x14ac:dyDescent="0.3">
      <c r="B87" s="16">
        <f t="shared" si="7"/>
        <v>78</v>
      </c>
      <c r="C87" s="193" t="s">
        <v>230</v>
      </c>
      <c r="D87" s="108" t="s">
        <v>231</v>
      </c>
      <c r="E87" s="599" t="str">
        <f t="shared" si="8"/>
        <v>TrineSunnset</v>
      </c>
      <c r="F87" s="192">
        <f>YEAR(I$5)-_xlfn.XLOOKUP(E87,Deltakerliste!E$5:E$98,Deltakerliste!I$5:I$98)</f>
        <v>62</v>
      </c>
      <c r="G87" s="192">
        <f>_xlfn.XLOOKUP(E87,Deltakerliste!E$5:E$98,Deltakerliste!H$5:H$98)</f>
        <v>4</v>
      </c>
      <c r="H87" s="592">
        <f>VLOOKUP(F87,Deltakerliste!P$6:T$84,G87,FALSE)</f>
        <v>1.6834000000000005</v>
      </c>
      <c r="I87" s="18"/>
      <c r="J87" s="18"/>
      <c r="K87" s="18"/>
      <c r="L87" s="600"/>
      <c r="M87" s="594"/>
      <c r="N87" s="724"/>
      <c r="O87" s="596"/>
    </row>
    <row r="88" spans="2:15" ht="21" thickBot="1" x14ac:dyDescent="0.3">
      <c r="B88" s="16">
        <f t="shared" si="7"/>
        <v>79</v>
      </c>
      <c r="C88" s="193" t="s">
        <v>161</v>
      </c>
      <c r="D88" s="108" t="s">
        <v>162</v>
      </c>
      <c r="E88" s="599" t="str">
        <f t="shared" si="8"/>
        <v>Nils OlavVennevik</v>
      </c>
      <c r="F88" s="192">
        <f>YEAR(I$5)-_xlfn.XLOOKUP(E88,Deltakerliste!E$5:E$98,Deltakerliste!I$5:I$98)</f>
        <v>77</v>
      </c>
      <c r="G88" s="192">
        <f>_xlfn.XLOOKUP(E88,Deltakerliste!E$5:E$98,Deltakerliste!H$5:H$98)</f>
        <v>2</v>
      </c>
      <c r="H88" s="592">
        <f>VLOOKUP(F88,Deltakerliste!P$6:T$84,G88,FALSE)</f>
        <v>1.7050000000000001</v>
      </c>
      <c r="I88" s="132"/>
      <c r="J88" s="18"/>
      <c r="K88" s="18"/>
      <c r="L88" s="790"/>
      <c r="M88" s="594"/>
      <c r="N88" s="724"/>
      <c r="O88" s="596"/>
    </row>
    <row r="89" spans="2:15" ht="21" thickBot="1" x14ac:dyDescent="0.3">
      <c r="B89" s="16">
        <f t="shared" si="7"/>
        <v>80</v>
      </c>
      <c r="C89" s="193" t="s">
        <v>307</v>
      </c>
      <c r="D89" s="108" t="s">
        <v>308</v>
      </c>
      <c r="E89" s="599" t="str">
        <f t="shared" si="8"/>
        <v>RolfWærnes</v>
      </c>
      <c r="F89" s="192">
        <f>YEAR(I$5)-_xlfn.XLOOKUP(E89,Deltakerliste!E$5:E$98,Deltakerliste!I$5:I$98)</f>
        <v>74</v>
      </c>
      <c r="G89" s="192">
        <f>_xlfn.XLOOKUP(E89,Deltakerliste!E$5:E$98,Deltakerliste!H$5:H$98)</f>
        <v>2</v>
      </c>
      <c r="H89" s="592">
        <f>VLOOKUP(F89,Deltakerliste!P$6:T$84,G89,FALSE)</f>
        <v>1.569</v>
      </c>
      <c r="I89" s="18"/>
      <c r="J89" s="132"/>
      <c r="K89" s="18"/>
      <c r="L89" s="791"/>
      <c r="M89" s="594"/>
      <c r="N89" s="792"/>
      <c r="O89" s="596"/>
    </row>
    <row r="90" spans="2:15" ht="21" thickBot="1" x14ac:dyDescent="0.3">
      <c r="B90" s="16">
        <f t="shared" si="7"/>
        <v>81</v>
      </c>
      <c r="C90" s="193" t="s">
        <v>166</v>
      </c>
      <c r="D90" s="108" t="s">
        <v>167</v>
      </c>
      <c r="E90" s="599" t="str">
        <f t="shared" si="8"/>
        <v>GunnarØsterbø</v>
      </c>
      <c r="F90" s="192">
        <f>YEAR(I$5)-_xlfn.XLOOKUP(E90,Deltakerliste!E$5:E$98,Deltakerliste!I$5:I$98)</f>
        <v>86</v>
      </c>
      <c r="G90" s="192">
        <f>_xlfn.XLOOKUP(E90,Deltakerliste!E$5:E$98,Deltakerliste!H$5:H$98)</f>
        <v>2</v>
      </c>
      <c r="H90" s="592">
        <f>VLOOKUP(F90,Deltakerliste!P$6:T$84,G90,FALSE)</f>
        <v>2.3089999999999997</v>
      </c>
      <c r="I90" s="18"/>
      <c r="J90" s="132"/>
      <c r="K90" s="18"/>
      <c r="L90" s="725"/>
      <c r="M90" s="717"/>
      <c r="N90" s="726"/>
      <c r="O90" s="719"/>
    </row>
    <row r="100" spans="4:11" ht="17" thickBot="1" x14ac:dyDescent="0.25"/>
    <row r="101" spans="4:11" ht="21" thickTop="1" thickBot="1" x14ac:dyDescent="0.3">
      <c r="D101" s="646" t="s">
        <v>288</v>
      </c>
      <c r="E101" s="647"/>
      <c r="F101" s="666"/>
      <c r="G101" s="666"/>
      <c r="H101" s="666"/>
      <c r="I101" s="648" t="s">
        <v>195</v>
      </c>
      <c r="J101" s="648" t="s">
        <v>196</v>
      </c>
      <c r="K101" s="649" t="s">
        <v>197</v>
      </c>
    </row>
    <row r="102" spans="4:11" ht="20" x14ac:dyDescent="0.25">
      <c r="D102" s="634" t="s">
        <v>172</v>
      </c>
      <c r="E102" s="320"/>
      <c r="F102" s="208"/>
      <c r="G102" s="208"/>
      <c r="H102" s="208"/>
      <c r="I102" s="635">
        <f>COUNT(I10:I94)+COUNTIF(I10:I94,"Brutt")+COUNTIF(I10:I94,"(*)")</f>
        <v>14</v>
      </c>
      <c r="J102" s="635">
        <f>COUNT(J10:J94)+COUNTIF(J10:J94,"Brutt")+COUNTIF(J10:J94,"(*)")</f>
        <v>13</v>
      </c>
      <c r="K102" s="636">
        <f>I102+J102</f>
        <v>27</v>
      </c>
    </row>
    <row r="103" spans="4:11" ht="19" x14ac:dyDescent="0.25">
      <c r="D103" s="637" t="s">
        <v>174</v>
      </c>
      <c r="E103" s="320"/>
      <c r="F103" s="208"/>
      <c r="G103" s="208"/>
      <c r="H103" s="208"/>
      <c r="I103" s="635">
        <f>COUNT(I10:I94)</f>
        <v>13</v>
      </c>
      <c r="J103" s="635">
        <f>COUNT(J10:J94)</f>
        <v>12</v>
      </c>
      <c r="K103" s="636">
        <f t="shared" ref="K103" si="9">I103+J103</f>
        <v>25</v>
      </c>
    </row>
    <row r="104" spans="4:11" ht="19" x14ac:dyDescent="0.25">
      <c r="D104" s="637" t="s">
        <v>173</v>
      </c>
      <c r="E104" s="320"/>
      <c r="F104" s="208"/>
      <c r="G104" s="208"/>
      <c r="H104" s="208"/>
      <c r="I104" s="208"/>
      <c r="J104" s="208"/>
      <c r="K104" s="636">
        <f>K102+COUNTIF(L10:L94,"Arr")+COUNTIF(L10:L94,"Løype")</f>
        <v>30</v>
      </c>
    </row>
    <row r="105" spans="4:11" ht="19" x14ac:dyDescent="0.25">
      <c r="D105" s="637" t="s">
        <v>341</v>
      </c>
      <c r="E105" s="320"/>
      <c r="F105" s="208"/>
      <c r="G105" s="208"/>
      <c r="H105" s="208"/>
      <c r="I105" s="208"/>
      <c r="J105" s="208"/>
      <c r="K105" s="638">
        <f>IF(SUM(L10:L94)=0," ",AVERAGEIF(M10:M94,"&gt;0",F10:F94))</f>
        <v>75.033333333333331</v>
      </c>
    </row>
    <row r="106" spans="4:11" ht="19" x14ac:dyDescent="0.25">
      <c r="D106" s="637" t="s">
        <v>296</v>
      </c>
      <c r="E106" s="320"/>
      <c r="F106" s="208"/>
      <c r="G106" s="208"/>
      <c r="H106" s="208"/>
      <c r="I106" s="208"/>
      <c r="J106" s="208"/>
      <c r="K106" s="638">
        <f>AVERAGE(I8:J8)</f>
        <v>2.6500000000000004</v>
      </c>
    </row>
    <row r="107" spans="4:11" ht="19" x14ac:dyDescent="0.25">
      <c r="D107" s="637" t="s">
        <v>176</v>
      </c>
      <c r="E107" s="320"/>
      <c r="F107" s="208"/>
      <c r="G107" s="208"/>
      <c r="H107" s="208"/>
      <c r="I107" s="112">
        <f>I8*I103</f>
        <v>28.6</v>
      </c>
      <c r="J107" s="112">
        <f>J8*J103</f>
        <v>37.200000000000003</v>
      </c>
      <c r="K107" s="638">
        <f>I107+J107</f>
        <v>65.800000000000011</v>
      </c>
    </row>
    <row r="108" spans="4:11" ht="19" x14ac:dyDescent="0.25">
      <c r="D108" s="639" t="s">
        <v>286</v>
      </c>
      <c r="E108" s="320"/>
      <c r="F108" s="208"/>
      <c r="G108" s="208"/>
      <c r="H108" s="208"/>
      <c r="I108" s="103">
        <f>IF(SUM(I10:I94)=0," ",AVERAGE(I10:I94))</f>
        <v>4.6686253561253561E-2</v>
      </c>
      <c r="J108" s="103">
        <f>IF(SUM(J10:J94)=0," ",AVERAGE(J10:J94))</f>
        <v>5.8627507716049375E-2</v>
      </c>
      <c r="K108" s="640">
        <f>IF(SUM(I10:J94)=0," ",AVERAGE(I10:J94))</f>
        <v>5.2418055555555558E-2</v>
      </c>
    </row>
    <row r="109" spans="4:11" ht="20" thickBot="1" x14ac:dyDescent="0.3">
      <c r="D109" s="641" t="s">
        <v>287</v>
      </c>
      <c r="E109" s="642"/>
      <c r="F109" s="644"/>
      <c r="G109" s="644"/>
      <c r="H109" s="644"/>
      <c r="I109" s="643"/>
      <c r="J109" s="644"/>
      <c r="K109" s="645">
        <f>MIN(L10:L94)</f>
        <v>1.6819743130227001E-2</v>
      </c>
    </row>
    <row r="110" spans="4:11" ht="17" thickTop="1" x14ac:dyDescent="0.2"/>
  </sheetData>
  <autoFilter ref="C9:O90" xr:uid="{12AEE1B1-CC8B-0F4A-922E-64EE0290D611}">
    <sortState xmlns:xlrd2="http://schemas.microsoft.com/office/spreadsheetml/2017/richdata2" ref="C10:O90">
      <sortCondition ref="L9:L90"/>
    </sortState>
  </autoFilter>
  <mergeCells count="3">
    <mergeCell ref="W7:X7"/>
    <mergeCell ref="S8:U8"/>
    <mergeCell ref="W8:X8"/>
  </mergeCells>
  <pageMargins left="0.7" right="0.7" top="0.75" bottom="0.75" header="0.3" footer="0.3"/>
  <pageSetup paperSize="9" orientation="portrait" horizontalDpi="0" verticalDpi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83E89-2611-AC4C-B712-930F59FE1D38}">
  <dimension ref="B1:AC110"/>
  <sheetViews>
    <sheetView topLeftCell="A56" zoomScale="80" zoomScaleNormal="80" workbookViewId="0">
      <selection activeCell="AJ36" sqref="AJ36"/>
    </sheetView>
  </sheetViews>
  <sheetFormatPr baseColWidth="10" defaultColWidth="10.83203125" defaultRowHeight="16" x14ac:dyDescent="0.2"/>
  <cols>
    <col min="3" max="3" width="14.5" customWidth="1"/>
    <col min="4" max="4" width="20.1640625" customWidth="1"/>
    <col min="5" max="5" width="20.1640625" hidden="1" customWidth="1"/>
    <col min="6" max="6" width="14.5" style="15" customWidth="1"/>
    <col min="7" max="7" width="14.5" style="15" hidden="1" customWidth="1"/>
    <col min="8" max="8" width="14" style="15" customWidth="1"/>
    <col min="9" max="10" width="19.1640625" style="15" customWidth="1"/>
    <col min="11" max="11" width="17.6640625" style="15" customWidth="1"/>
    <col min="12" max="12" width="10.83203125" style="15"/>
    <col min="14" max="14" width="10.83203125" style="15"/>
    <col min="18" max="18" width="12.5" customWidth="1"/>
    <col min="19" max="19" width="13.5" customWidth="1"/>
    <col min="22" max="22" width="1.83203125" customWidth="1"/>
    <col min="23" max="23" width="15.83203125" customWidth="1"/>
    <col min="24" max="24" width="11" customWidth="1"/>
  </cols>
  <sheetData>
    <row r="1" spans="2:29" ht="8" customHeight="1" x14ac:dyDescent="0.2"/>
    <row r="2" spans="2:29" ht="8" customHeight="1" x14ac:dyDescent="0.2"/>
    <row r="5" spans="2:29" ht="26" x14ac:dyDescent="0.3">
      <c r="B5" s="21" t="s">
        <v>204</v>
      </c>
      <c r="C5" s="245" t="s">
        <v>376</v>
      </c>
      <c r="F5" s="667"/>
      <c r="G5" s="667"/>
      <c r="H5" s="671" t="s">
        <v>189</v>
      </c>
      <c r="I5" s="670">
        <f>'Løp 7'!I5+7</f>
        <v>45986</v>
      </c>
    </row>
    <row r="6" spans="2:29" ht="17" thickBot="1" x14ac:dyDescent="0.25">
      <c r="B6" s="15"/>
    </row>
    <row r="7" spans="2:29" ht="59" customHeight="1" thickBot="1" x14ac:dyDescent="0.35">
      <c r="B7" s="12" t="s">
        <v>194</v>
      </c>
      <c r="C7" s="662" t="s">
        <v>57</v>
      </c>
      <c r="D7" s="391" t="s">
        <v>58</v>
      </c>
      <c r="E7" s="663"/>
      <c r="F7" s="663" t="s">
        <v>234</v>
      </c>
      <c r="G7" s="391" t="s">
        <v>280</v>
      </c>
      <c r="H7" s="391" t="s">
        <v>235</v>
      </c>
      <c r="I7" s="391" t="s">
        <v>302</v>
      </c>
      <c r="J7" s="391" t="s">
        <v>303</v>
      </c>
      <c r="K7" s="391" t="s">
        <v>192</v>
      </c>
      <c r="L7" s="194" t="s">
        <v>209</v>
      </c>
      <c r="M7" s="392" t="s">
        <v>55</v>
      </c>
      <c r="N7" s="393" t="s">
        <v>242</v>
      </c>
      <c r="O7" s="393" t="s">
        <v>240</v>
      </c>
      <c r="Q7" s="319"/>
      <c r="R7" s="319"/>
      <c r="S7" s="755" t="str">
        <f>B5</f>
        <v>Løp 8</v>
      </c>
      <c r="T7" s="754" t="str">
        <f>C5</f>
        <v>Chamonix</v>
      </c>
      <c r="U7" s="730"/>
      <c r="V7" s="730"/>
      <c r="W7" s="941"/>
      <c r="X7" s="941"/>
    </row>
    <row r="8" spans="2:29" ht="23" customHeight="1" thickTop="1" thickBot="1" x14ac:dyDescent="0.35">
      <c r="B8" s="22"/>
      <c r="C8" s="394"/>
      <c r="D8" s="395"/>
      <c r="E8" s="597"/>
      <c r="F8" s="668"/>
      <c r="G8" s="668"/>
      <c r="H8" s="664"/>
      <c r="I8" s="391">
        <v>1.5</v>
      </c>
      <c r="J8" s="789">
        <v>2.2000000000000002</v>
      </c>
      <c r="K8" s="391"/>
      <c r="N8" s="720"/>
      <c r="O8" s="390"/>
      <c r="S8" s="942" t="s">
        <v>312</v>
      </c>
      <c r="T8" s="943"/>
      <c r="U8" s="944"/>
      <c r="V8" s="779"/>
      <c r="W8" s="945" t="s">
        <v>313</v>
      </c>
      <c r="X8" s="940"/>
      <c r="AB8" s="836" t="s">
        <v>361</v>
      </c>
      <c r="AC8" s="827"/>
    </row>
    <row r="9" spans="2:29" ht="21" thickBot="1" x14ac:dyDescent="0.3">
      <c r="B9" s="22"/>
      <c r="C9" s="109"/>
      <c r="D9" s="105"/>
      <c r="E9" s="598"/>
      <c r="F9" s="669"/>
      <c r="G9" s="669"/>
      <c r="H9" s="665"/>
      <c r="I9" s="12"/>
      <c r="J9" s="12"/>
      <c r="K9" s="12"/>
      <c r="N9" s="722"/>
      <c r="O9" s="200"/>
      <c r="Q9" s="110"/>
      <c r="S9" s="731"/>
      <c r="T9" s="727" t="s">
        <v>311</v>
      </c>
      <c r="U9" s="750" t="s">
        <v>55</v>
      </c>
      <c r="V9" s="780"/>
      <c r="W9" s="774"/>
      <c r="X9" s="732" t="s">
        <v>55</v>
      </c>
      <c r="AB9" s="834" t="s">
        <v>234</v>
      </c>
      <c r="AC9" s="835" t="s">
        <v>362</v>
      </c>
    </row>
    <row r="10" spans="2:29" ht="21" thickBot="1" x14ac:dyDescent="0.3">
      <c r="B10" s="16">
        <f t="shared" ref="B10:B74" si="0">B9+1</f>
        <v>1</v>
      </c>
      <c r="C10" s="106" t="s">
        <v>155</v>
      </c>
      <c r="D10" s="107" t="s">
        <v>156</v>
      </c>
      <c r="E10" s="599" t="str">
        <f t="shared" ref="E10:E41" si="1">_xlfn.CONCAT(C10:D10)</f>
        <v>KjellrunSporild</v>
      </c>
      <c r="F10" s="192">
        <f>YEAR(I$5)-_xlfn.XLOOKUP(E10,Deltakerliste!E$5:E$98,Deltakerliste!I$5:I$98)</f>
        <v>70</v>
      </c>
      <c r="G10" s="192">
        <f>_xlfn.XLOOKUP(E10,Deltakerliste!E$5:E$98,Deltakerliste!H$5:H$98)</f>
        <v>4</v>
      </c>
      <c r="H10" s="592">
        <f>VLOOKUP(F10,Deltakerliste!P$6:T$84,G10,FALSE)</f>
        <v>1.9490000000000012</v>
      </c>
      <c r="I10" s="18"/>
      <c r="J10" s="132">
        <v>1.9409722222222221E-2</v>
      </c>
      <c r="K10" s="18"/>
      <c r="L10" s="600">
        <f t="shared" ref="L10:L44" si="2">IF(OR(I10="Arr",J10="Arr",K10="Arr"),"Arr",IF(OR(I10="Brutt",J10="Brutt",K10="Brutt"),"Brutt",IF(OR(I10="Løype",J10="Løype",K10="Løype"),"Løype",IF(I10&gt;0,I10/I$8,J10/J$8))))</f>
        <v>8.8226010101010079E-3</v>
      </c>
      <c r="M10" s="594">
        <f>IF(L10="Løype",Poengsammendrag!$F$2,IF(L10="Arr",Poengsammendrag!$F$3,IF(L10="Brutt",50,IF(L10="Disk",50,ROUND(MAXA(100*(MIN(L$10:L$89)/L10),50),0)))))</f>
        <v>97</v>
      </c>
      <c r="N10" s="724">
        <f t="shared" ref="N10:N44" si="3">IF(L10="Arr","Arr",IF(L10="Brutt","Brutt",IF(L10="Løype","Løype",L10/H10)))</f>
        <v>4.5267321755264253E-3</v>
      </c>
      <c r="O10" s="596">
        <f>IF(N10="Løype",Poengsammendrag!$F$2,IF(N10="Arr",Poengsammendrag!$F$3,IF(N10="Brutt",50,IF(N10="Disk",50,ROUND(MAXA(100*(MIN(N$10:N$89)/N10),50),0)))))</f>
        <v>100</v>
      </c>
      <c r="Q10" s="672"/>
      <c r="R10" s="672"/>
      <c r="S10" s="802" t="s">
        <v>126</v>
      </c>
      <c r="T10" s="734">
        <v>8.5227272727272721E-3</v>
      </c>
      <c r="U10" s="751">
        <v>100</v>
      </c>
      <c r="V10" s="781"/>
      <c r="W10" s="775" t="s">
        <v>155</v>
      </c>
      <c r="X10" s="739">
        <v>100</v>
      </c>
      <c r="AB10" s="832">
        <v>55</v>
      </c>
      <c r="AC10" s="833">
        <f t="shared" ref="AC10:AC50" si="4">COUNTIFS(F$10:F$95,AB10,M$10:M$95,"&gt;0")</f>
        <v>0</v>
      </c>
    </row>
    <row r="11" spans="2:29" ht="21" customHeight="1" thickBot="1" x14ac:dyDescent="0.3">
      <c r="B11" s="16">
        <f t="shared" si="0"/>
        <v>2</v>
      </c>
      <c r="C11" s="106" t="s">
        <v>138</v>
      </c>
      <c r="D11" s="107" t="s">
        <v>137</v>
      </c>
      <c r="E11" s="599" t="str">
        <f t="shared" si="1"/>
        <v>GunnhildOftedal</v>
      </c>
      <c r="F11" s="192">
        <f>YEAR(I$5)-_xlfn.XLOOKUP(E11,Deltakerliste!E$5:E$98,Deltakerliste!I$5:I$98)</f>
        <v>72</v>
      </c>
      <c r="G11" s="192">
        <f>_xlfn.XLOOKUP(E11,Deltakerliste!E$5:E$98,Deltakerliste!H$5:H$98)</f>
        <v>4</v>
      </c>
      <c r="H11" s="592">
        <f>VLOOKUP(F11,Deltakerliste!P$6:T$84,G11,FALSE)</f>
        <v>2.0362000000000013</v>
      </c>
      <c r="I11" s="13"/>
      <c r="J11" s="13">
        <v>2.1817129629629631E-2</v>
      </c>
      <c r="K11" s="13"/>
      <c r="L11" s="600">
        <f t="shared" si="2"/>
        <v>9.9168771043771035E-3</v>
      </c>
      <c r="M11" s="594">
        <f>IF(L11="Løype",Poengsammendrag!$F$2,IF(L11="Arr",Poengsammendrag!$F$3,IF(L11="Brutt",50,IF(L11="Disk",50,ROUND(MAXA(100*(MIN(L$10:L$89)/L11),50),0)))))</f>
        <v>86</v>
      </c>
      <c r="N11" s="724">
        <f t="shared" si="3"/>
        <v>4.8702863689112546E-3</v>
      </c>
      <c r="O11" s="596">
        <f>IF(N11="Løype",Poengsammendrag!$F$2,IF(N11="Arr",Poengsammendrag!$F$3,IF(N11="Brutt",50,IF(N11="Disk",50,ROUND(MAXA(100*(MIN(N$10:N$89)/N11),50),0)))))</f>
        <v>93</v>
      </c>
      <c r="Q11" s="672"/>
      <c r="R11" s="672"/>
      <c r="S11" s="803" t="s">
        <v>368</v>
      </c>
      <c r="T11" s="736">
        <v>8.8120791245791235E-3</v>
      </c>
      <c r="U11" s="752">
        <v>97</v>
      </c>
      <c r="V11" s="781"/>
      <c r="W11" s="776" t="s">
        <v>138</v>
      </c>
      <c r="X11" s="740">
        <v>93</v>
      </c>
      <c r="AB11" s="828">
        <f>AB10+1</f>
        <v>56</v>
      </c>
      <c r="AC11" s="829">
        <f t="shared" si="4"/>
        <v>0</v>
      </c>
    </row>
    <row r="12" spans="2:29" ht="21" customHeight="1" thickBot="1" x14ac:dyDescent="0.3">
      <c r="B12" s="16">
        <f t="shared" si="0"/>
        <v>3</v>
      </c>
      <c r="C12" s="106" t="s">
        <v>78</v>
      </c>
      <c r="D12" s="107" t="s">
        <v>79</v>
      </c>
      <c r="E12" s="599" t="str">
        <f t="shared" si="1"/>
        <v>LeifEngen</v>
      </c>
      <c r="F12" s="192">
        <f>YEAR(I$5)-_xlfn.XLOOKUP(E12,Deltakerliste!E$5:E$98,Deltakerliste!I$5:I$98)</f>
        <v>84</v>
      </c>
      <c r="G12" s="192">
        <f>_xlfn.XLOOKUP(E12,Deltakerliste!E$5:E$98,Deltakerliste!H$5:H$98)</f>
        <v>2</v>
      </c>
      <c r="H12" s="592">
        <f>VLOOKUP(F12,Deltakerliste!P$6:T$84,G12,FALSE)</f>
        <v>2.1509999999999998</v>
      </c>
      <c r="I12" s="86">
        <v>1.7141203703703704E-2</v>
      </c>
      <c r="J12" s="86"/>
      <c r="K12" s="13"/>
      <c r="L12" s="600">
        <f t="shared" si="2"/>
        <v>1.1427469135802469E-2</v>
      </c>
      <c r="M12" s="594">
        <f>IF(L12="Løype",Poengsammendrag!$F$2,IF(L12="Arr",Poengsammendrag!$F$3,IF(L12="Brutt",50,IF(L12="Disk",50,ROUND(MAXA(100*(MIN(L$10:L$89)/L12),50),0)))))</f>
        <v>75</v>
      </c>
      <c r="N12" s="724">
        <f t="shared" si="3"/>
        <v>5.312630932497662E-3</v>
      </c>
      <c r="O12" s="596">
        <f>IF(N12="Løype",Poengsammendrag!$F$2,IF(N12="Arr",Poengsammendrag!$F$3,IF(N12="Brutt",50,IF(N12="Disk",50,ROUND(MAXA(100*(MIN(N$10:N$89)/N12),50),0)))))</f>
        <v>85</v>
      </c>
      <c r="Q12" s="672"/>
      <c r="R12" s="672"/>
      <c r="S12" s="803" t="s">
        <v>155</v>
      </c>
      <c r="T12" s="736">
        <v>8.8226010101010079E-3</v>
      </c>
      <c r="U12" s="752">
        <v>97</v>
      </c>
      <c r="V12" s="781"/>
      <c r="W12" s="776" t="s">
        <v>338</v>
      </c>
      <c r="X12" s="740">
        <v>85</v>
      </c>
      <c r="AB12" s="828">
        <f t="shared" ref="AB12:AB50" si="5">AB11+1</f>
        <v>57</v>
      </c>
      <c r="AC12" s="829">
        <f t="shared" si="4"/>
        <v>0</v>
      </c>
    </row>
    <row r="13" spans="2:29" ht="21" customHeight="1" thickBot="1" x14ac:dyDescent="0.3">
      <c r="B13" s="16">
        <f t="shared" si="0"/>
        <v>4</v>
      </c>
      <c r="C13" s="106" t="s">
        <v>126</v>
      </c>
      <c r="D13" s="107" t="s">
        <v>127</v>
      </c>
      <c r="E13" s="599" t="str">
        <f t="shared" si="1"/>
        <v>ArneMikkelsen</v>
      </c>
      <c r="F13" s="192">
        <f>YEAR(I$5)-_xlfn.XLOOKUP(E13,Deltakerliste!E$5:E$98,Deltakerliste!I$5:I$98)</f>
        <v>72</v>
      </c>
      <c r="G13" s="192">
        <f>_xlfn.XLOOKUP(E13,Deltakerliste!E$5:E$98,Deltakerliste!H$5:H$98)</f>
        <v>2</v>
      </c>
      <c r="H13" s="592">
        <f>VLOOKUP(F13,Deltakerliste!P$6:T$84,G13,FALSE)</f>
        <v>1.4969999999999999</v>
      </c>
      <c r="I13" s="13"/>
      <c r="J13" s="13">
        <v>1.8749999999999999E-2</v>
      </c>
      <c r="K13" s="13"/>
      <c r="L13" s="600">
        <f t="shared" si="2"/>
        <v>8.5227272727272721E-3</v>
      </c>
      <c r="M13" s="594">
        <f>IF(L13="Løype",Poengsammendrag!$F$2,IF(L13="Arr",Poengsammendrag!$F$3,IF(L13="Brutt",50,IF(L13="Disk",50,ROUND(MAXA(100*(MIN(L$10:L$89)/L13),50),0)))))</f>
        <v>100</v>
      </c>
      <c r="N13" s="724">
        <f t="shared" si="3"/>
        <v>5.6932045910001823E-3</v>
      </c>
      <c r="O13" s="596">
        <f>IF(N13="Løype",Poengsammendrag!$F$2,IF(N13="Arr",Poengsammendrag!$F$3,IF(N13="Brutt",50,IF(N13="Disk",50,ROUND(MAXA(100*(MIN(N$10:N$89)/N13),50),0)))))</f>
        <v>80</v>
      </c>
      <c r="Q13" s="672"/>
      <c r="R13" s="672"/>
      <c r="S13" s="803" t="s">
        <v>340</v>
      </c>
      <c r="T13" s="736">
        <v>9.4907407407407406E-3</v>
      </c>
      <c r="U13" s="752">
        <v>90</v>
      </c>
      <c r="V13" s="781"/>
      <c r="W13" s="776" t="s">
        <v>126</v>
      </c>
      <c r="X13" s="740">
        <v>80</v>
      </c>
      <c r="AB13" s="828">
        <f t="shared" si="5"/>
        <v>58</v>
      </c>
      <c r="AC13" s="829">
        <f t="shared" si="4"/>
        <v>0</v>
      </c>
    </row>
    <row r="14" spans="2:29" ht="21" customHeight="1" thickBot="1" x14ac:dyDescent="0.3">
      <c r="B14" s="16">
        <f t="shared" si="0"/>
        <v>5</v>
      </c>
      <c r="C14" s="106" t="s">
        <v>106</v>
      </c>
      <c r="D14" s="107" t="s">
        <v>107</v>
      </c>
      <c r="E14" s="599" t="str">
        <f t="shared" si="1"/>
        <v>Jon ArneKlemetsaune</v>
      </c>
      <c r="F14" s="192">
        <f>YEAR(I$5)-_xlfn.XLOOKUP(E14,Deltakerliste!E$5:E$98,Deltakerliste!I$5:I$98)</f>
        <v>76</v>
      </c>
      <c r="G14" s="192">
        <f>_xlfn.XLOOKUP(E14,Deltakerliste!E$5:E$98,Deltakerliste!H$5:H$98)</f>
        <v>2</v>
      </c>
      <c r="H14" s="592">
        <f>VLOOKUP(F14,Deltakerliste!P$6:T$84,G14,FALSE)</f>
        <v>1.655</v>
      </c>
      <c r="I14" s="86"/>
      <c r="J14" s="86">
        <v>2.1030092592592593E-2</v>
      </c>
      <c r="K14" s="17"/>
      <c r="L14" s="600">
        <f t="shared" si="2"/>
        <v>9.5591329966329963E-3</v>
      </c>
      <c r="M14" s="594">
        <f>IF(L14="Løype",Poengsammendrag!$F$2,IF(L14="Arr",Poengsammendrag!$F$3,IF(L14="Brutt",50,IF(L14="Disk",50,ROUND(MAXA(100*(MIN(L$10:L$89)/L14),50),0)))))</f>
        <v>89</v>
      </c>
      <c r="N14" s="724">
        <f t="shared" si="3"/>
        <v>5.7759111762132904E-3</v>
      </c>
      <c r="O14" s="596">
        <f>IF(N14="Løype",Poengsammendrag!$F$2,IF(N14="Arr",Poengsammendrag!$F$3,IF(N14="Brutt",50,IF(N14="Disk",50,ROUND(MAXA(100*(MIN(N$10:N$89)/N14),50),0)))))</f>
        <v>78</v>
      </c>
      <c r="Q14" s="672"/>
      <c r="R14" s="672"/>
      <c r="S14" s="803" t="s">
        <v>106</v>
      </c>
      <c r="T14" s="736">
        <v>9.5591329966329963E-3</v>
      </c>
      <c r="U14" s="752">
        <v>89</v>
      </c>
      <c r="V14" s="781"/>
      <c r="W14" s="776" t="s">
        <v>106</v>
      </c>
      <c r="X14" s="740">
        <v>78</v>
      </c>
      <c r="AB14" s="828">
        <f t="shared" si="5"/>
        <v>59</v>
      </c>
      <c r="AC14" s="829">
        <f t="shared" si="4"/>
        <v>2</v>
      </c>
    </row>
    <row r="15" spans="2:29" ht="21" customHeight="1" thickBot="1" x14ac:dyDescent="0.3">
      <c r="B15" s="16">
        <f t="shared" si="0"/>
        <v>6</v>
      </c>
      <c r="C15" s="106" t="s">
        <v>80</v>
      </c>
      <c r="D15" s="107" t="s">
        <v>81</v>
      </c>
      <c r="E15" s="599" t="str">
        <f t="shared" si="1"/>
        <v>HalvorFlatberg</v>
      </c>
      <c r="F15" s="192">
        <f>YEAR(I$5)-_xlfn.XLOOKUP(E15,Deltakerliste!E$5:E$98,Deltakerliste!I$5:I$98)</f>
        <v>79</v>
      </c>
      <c r="G15" s="192">
        <f>_xlfn.XLOOKUP(E15,Deltakerliste!E$5:E$98,Deltakerliste!H$5:H$98)</f>
        <v>2</v>
      </c>
      <c r="H15" s="592">
        <f>VLOOKUP(F15,Deltakerliste!P$6:T$84,G15,FALSE)</f>
        <v>1.8050000000000002</v>
      </c>
      <c r="I15" s="86"/>
      <c r="J15" s="86">
        <v>2.4212962962962964E-2</v>
      </c>
      <c r="K15" s="13"/>
      <c r="L15" s="600">
        <f t="shared" si="2"/>
        <v>1.1005892255892255E-2</v>
      </c>
      <c r="M15" s="594">
        <f>IF(L15="Løype",Poengsammendrag!$F$2,IF(L15="Arr",Poengsammendrag!$F$3,IF(L15="Brutt",50,IF(L15="Disk",50,ROUND(MAXA(100*(MIN(L$10:L$89)/L15),50),0)))))</f>
        <v>77</v>
      </c>
      <c r="N15" s="724">
        <f t="shared" si="3"/>
        <v>6.0974472331813039E-3</v>
      </c>
      <c r="O15" s="596">
        <f>IF(N15="Løype",Poengsammendrag!$F$2,IF(N15="Arr",Poengsammendrag!$F$3,IF(N15="Brutt",50,IF(N15="Disk",50,ROUND(MAXA(100*(MIN(N$10:N$89)/N15),50),0)))))</f>
        <v>74</v>
      </c>
      <c r="Q15" s="672"/>
      <c r="R15" s="672"/>
      <c r="S15" s="803" t="s">
        <v>120</v>
      </c>
      <c r="T15" s="736">
        <v>9.7695707070707075E-3</v>
      </c>
      <c r="U15" s="752">
        <v>87</v>
      </c>
      <c r="V15" s="781"/>
      <c r="W15" s="776" t="s">
        <v>80</v>
      </c>
      <c r="X15" s="740">
        <v>74</v>
      </c>
      <c r="AB15" s="828">
        <f t="shared" si="5"/>
        <v>60</v>
      </c>
      <c r="AC15" s="829">
        <f t="shared" si="4"/>
        <v>0</v>
      </c>
    </row>
    <row r="16" spans="2:29" ht="21" customHeight="1" thickBot="1" x14ac:dyDescent="0.3">
      <c r="B16" s="16">
        <f t="shared" si="0"/>
        <v>7</v>
      </c>
      <c r="C16" s="106" t="s">
        <v>149</v>
      </c>
      <c r="D16" s="107" t="s">
        <v>150</v>
      </c>
      <c r="E16" s="599" t="str">
        <f t="shared" si="1"/>
        <v>BenteSkorge</v>
      </c>
      <c r="F16" s="192">
        <f>YEAR(I$5)-_xlfn.XLOOKUP(E16,Deltakerliste!E$5:E$98,Deltakerliste!I$5:I$98)</f>
        <v>66</v>
      </c>
      <c r="G16" s="192">
        <f>_xlfn.XLOOKUP(E16,Deltakerliste!E$5:E$98,Deltakerliste!H$5:H$98)</f>
        <v>4</v>
      </c>
      <c r="H16" s="592">
        <f>VLOOKUP(F16,Deltakerliste!P$6:T$84,G16,FALSE)</f>
        <v>1.8066000000000009</v>
      </c>
      <c r="I16" s="18"/>
      <c r="J16" s="132">
        <v>2.4467592592592593E-2</v>
      </c>
      <c r="K16" s="18"/>
      <c r="L16" s="600">
        <f t="shared" si="2"/>
        <v>1.1121632996632996E-2</v>
      </c>
      <c r="M16" s="594">
        <f>IF(L16="Løype",Poengsammendrag!$F$2,IF(L16="Arr",Poengsammendrag!$F$3,IF(L16="Brutt",50,IF(L16="Disk",50,ROUND(MAXA(100*(MIN(L$10:L$89)/L16),50),0)))))</f>
        <v>77</v>
      </c>
      <c r="N16" s="724">
        <f t="shared" si="3"/>
        <v>6.1561125853166121E-3</v>
      </c>
      <c r="O16" s="596">
        <f>IF(N16="Løype",Poengsammendrag!$F$2,IF(N16="Arr",Poengsammendrag!$F$3,IF(N16="Brutt",50,IF(N16="Disk",50,ROUND(MAXA(100*(MIN(N$10:N$89)/N16),50),0)))))</f>
        <v>74</v>
      </c>
      <c r="Q16" s="672"/>
      <c r="R16" s="672"/>
      <c r="S16" s="803" t="s">
        <v>134</v>
      </c>
      <c r="T16" s="736">
        <v>9.8221801346801332E-3</v>
      </c>
      <c r="U16" s="752">
        <v>87</v>
      </c>
      <c r="V16" s="781"/>
      <c r="W16" s="776" t="s">
        <v>149</v>
      </c>
      <c r="X16" s="740">
        <v>74</v>
      </c>
      <c r="AB16" s="828">
        <f t="shared" si="5"/>
        <v>61</v>
      </c>
      <c r="AC16" s="829">
        <f t="shared" si="4"/>
        <v>0</v>
      </c>
    </row>
    <row r="17" spans="2:29" ht="21" customHeight="1" thickBot="1" x14ac:dyDescent="0.3">
      <c r="B17" s="16">
        <f t="shared" si="0"/>
        <v>8</v>
      </c>
      <c r="C17" s="106" t="s">
        <v>114</v>
      </c>
      <c r="D17" s="107" t="s">
        <v>115</v>
      </c>
      <c r="E17" s="599" t="str">
        <f t="shared" si="1"/>
        <v>MagnusLandstad</v>
      </c>
      <c r="F17" s="192">
        <f>YEAR(I$5)-_xlfn.XLOOKUP(E17,Deltakerliste!E$5:E$98,Deltakerliste!I$5:I$98)</f>
        <v>82</v>
      </c>
      <c r="G17" s="192">
        <f>_xlfn.XLOOKUP(E17,Deltakerliste!E$5:E$98,Deltakerliste!H$5:H$98)</f>
        <v>2</v>
      </c>
      <c r="H17" s="592">
        <f>VLOOKUP(F17,Deltakerliste!P$6:T$84,G17,FALSE)</f>
        <v>2.0030000000000001</v>
      </c>
      <c r="I17" s="86"/>
      <c r="J17" s="86">
        <v>2.7418981481481482E-2</v>
      </c>
      <c r="K17" s="13"/>
      <c r="L17" s="600">
        <f t="shared" si="2"/>
        <v>1.24631734006734E-2</v>
      </c>
      <c r="M17" s="594">
        <f>IF(L17="Løype",Poengsammendrag!$F$2,IF(L17="Arr",Poengsammendrag!$F$3,IF(L17="Brutt",50,IF(L17="Disk",50,ROUND(MAXA(100*(MIN(L$10:L$89)/L17),50),0)))))</f>
        <v>68</v>
      </c>
      <c r="N17" s="724">
        <f t="shared" si="3"/>
        <v>6.2222533203561657E-3</v>
      </c>
      <c r="O17" s="596">
        <f>IF(N17="Løype",Poengsammendrag!$F$2,IF(N17="Arr",Poengsammendrag!$F$3,IF(N17="Brutt",50,IF(N17="Disk",50,ROUND(MAXA(100*(MIN(N$10:N$89)/N17),50),0)))))</f>
        <v>73</v>
      </c>
      <c r="Q17" s="672"/>
      <c r="R17" s="672"/>
      <c r="S17" s="803" t="s">
        <v>138</v>
      </c>
      <c r="T17" s="736">
        <v>9.9168771043771035E-3</v>
      </c>
      <c r="U17" s="752">
        <v>86</v>
      </c>
      <c r="V17" s="781"/>
      <c r="W17" s="776" t="s">
        <v>114</v>
      </c>
      <c r="X17" s="740">
        <v>73</v>
      </c>
      <c r="AB17" s="828">
        <f t="shared" si="5"/>
        <v>62</v>
      </c>
      <c r="AC17" s="829">
        <f t="shared" si="4"/>
        <v>0</v>
      </c>
    </row>
    <row r="18" spans="2:29" ht="21" customHeight="1" thickBot="1" x14ac:dyDescent="0.3">
      <c r="B18" s="16">
        <f t="shared" si="0"/>
        <v>9</v>
      </c>
      <c r="C18" s="106" t="s">
        <v>63</v>
      </c>
      <c r="D18" s="107" t="s">
        <v>98</v>
      </c>
      <c r="E18" s="599" t="str">
        <f t="shared" si="1"/>
        <v>ToreHeggem</v>
      </c>
      <c r="F18" s="192">
        <f>YEAR(I$5)-_xlfn.XLOOKUP(E18,Deltakerliste!E$5:E$98,Deltakerliste!I$5:I$98)</f>
        <v>72</v>
      </c>
      <c r="G18" s="192">
        <f>_xlfn.XLOOKUP(E18,Deltakerliste!E$5:E$98,Deltakerliste!H$5:H$98)</f>
        <v>2</v>
      </c>
      <c r="H18" s="592">
        <f>VLOOKUP(F18,Deltakerliste!P$6:T$84,G18,FALSE)</f>
        <v>1.4969999999999999</v>
      </c>
      <c r="I18" s="86"/>
      <c r="J18" s="86">
        <v>2.087962962962963E-2</v>
      </c>
      <c r="K18" s="13"/>
      <c r="L18" s="600">
        <f t="shared" si="2"/>
        <v>9.4907407407407406E-3</v>
      </c>
      <c r="M18" s="594">
        <f>IF(L18="Løype",Poengsammendrag!$F$2,IF(L18="Arr",Poengsammendrag!$F$3,IF(L18="Brutt",50,IF(L18="Disk",50,ROUND(MAXA(100*(MIN(L$10:L$89)/L18),50),0)))))</f>
        <v>90</v>
      </c>
      <c r="N18" s="724">
        <f t="shared" si="3"/>
        <v>6.3398401741755119E-3</v>
      </c>
      <c r="O18" s="596">
        <f>IF(N18="Løype",Poengsammendrag!$F$2,IF(N18="Arr",Poengsammendrag!$F$3,IF(N18="Brutt",50,IF(N18="Disk",50,ROUND(MAXA(100*(MIN(N$10:N$89)/N18),50),0)))))</f>
        <v>71</v>
      </c>
      <c r="Q18" s="672"/>
      <c r="R18" s="672"/>
      <c r="S18" s="803" t="s">
        <v>377</v>
      </c>
      <c r="T18" s="736">
        <v>1.0122053872053871E-2</v>
      </c>
      <c r="U18" s="752">
        <v>84</v>
      </c>
      <c r="V18" s="781"/>
      <c r="W18" s="776" t="s">
        <v>340</v>
      </c>
      <c r="X18" s="740">
        <v>71</v>
      </c>
      <c r="AB18" s="828">
        <f t="shared" si="5"/>
        <v>63</v>
      </c>
      <c r="AC18" s="829">
        <f t="shared" si="4"/>
        <v>0</v>
      </c>
    </row>
    <row r="19" spans="2:29" ht="21" thickBot="1" x14ac:dyDescent="0.3">
      <c r="B19" s="16">
        <f t="shared" si="0"/>
        <v>10</v>
      </c>
      <c r="C19" s="106" t="s">
        <v>96</v>
      </c>
      <c r="D19" s="107" t="s">
        <v>97</v>
      </c>
      <c r="E19" s="599" t="str">
        <f t="shared" si="1"/>
        <v>StigHaugskott</v>
      </c>
      <c r="F19" s="192">
        <f>YEAR(I$5)-_xlfn.XLOOKUP(E19,Deltakerliste!E$5:E$98,Deltakerliste!I$5:I$98)</f>
        <v>86</v>
      </c>
      <c r="G19" s="192">
        <f>_xlfn.XLOOKUP(E19,Deltakerliste!E$5:E$98,Deltakerliste!H$5:H$98)</f>
        <v>2</v>
      </c>
      <c r="H19" s="592">
        <f>VLOOKUP(F19,Deltakerliste!P$6:T$84,G19,FALSE)</f>
        <v>2.3089999999999997</v>
      </c>
      <c r="I19" s="86">
        <v>2.1967592592592594E-2</v>
      </c>
      <c r="J19" s="86"/>
      <c r="K19" s="86"/>
      <c r="L19" s="600">
        <f t="shared" si="2"/>
        <v>1.4645061728395062E-2</v>
      </c>
      <c r="M19" s="594">
        <f>IF(L19="Løype",Poengsammendrag!$F$2,IF(L19="Arr",Poengsammendrag!$F$3,IF(L19="Brutt",50,IF(L19="Disk",50,ROUND(MAXA(100*(MIN(L$10:L$89)/L19),50),0)))))</f>
        <v>58</v>
      </c>
      <c r="N19" s="724">
        <f t="shared" si="3"/>
        <v>6.3425992760481002E-3</v>
      </c>
      <c r="O19" s="596">
        <f>IF(N19="Løype",Poengsammendrag!$F$2,IF(N19="Arr",Poengsammendrag!$F$3,IF(N19="Brutt",50,IF(N19="Disk",50,ROUND(MAXA(100*(MIN(N$10:N$89)/N19),50),0)))))</f>
        <v>71</v>
      </c>
      <c r="Q19" s="672"/>
      <c r="R19" s="672"/>
      <c r="S19" s="803" t="s">
        <v>346</v>
      </c>
      <c r="T19" s="736">
        <v>1.0432449494949494E-2</v>
      </c>
      <c r="U19" s="752">
        <v>82</v>
      </c>
      <c r="V19" s="781"/>
      <c r="W19" s="776" t="s">
        <v>96</v>
      </c>
      <c r="X19" s="740">
        <v>71</v>
      </c>
      <c r="AB19" s="828">
        <f t="shared" si="5"/>
        <v>64</v>
      </c>
      <c r="AC19" s="829">
        <f t="shared" si="4"/>
        <v>0</v>
      </c>
    </row>
    <row r="20" spans="2:29" ht="21" thickBot="1" x14ac:dyDescent="0.3">
      <c r="B20" s="16">
        <f t="shared" si="0"/>
        <v>11</v>
      </c>
      <c r="C20" s="106" t="s">
        <v>377</v>
      </c>
      <c r="D20" s="107" t="s">
        <v>83</v>
      </c>
      <c r="E20" s="599" t="str">
        <f t="shared" si="1"/>
        <v>HildeForbord</v>
      </c>
      <c r="F20" s="192">
        <f>YEAR(I$5)-_xlfn.XLOOKUP(E20,Deltakerliste!E$5:E$98,Deltakerliste!I$5:I$98)</f>
        <v>59</v>
      </c>
      <c r="G20" s="192">
        <f>_xlfn.XLOOKUP(E20,Deltakerliste!E$5:E$98,Deltakerliste!H$5:H$98)</f>
        <v>4</v>
      </c>
      <c r="H20" s="592">
        <f>VLOOKUP(F20,Deltakerliste!P$6:T$84,G20,FALSE)</f>
        <v>1.6020000000000001</v>
      </c>
      <c r="I20" s="14"/>
      <c r="J20" s="14">
        <v>2.2268518518518517E-2</v>
      </c>
      <c r="K20" s="13"/>
      <c r="L20" s="600">
        <f t="shared" si="2"/>
        <v>1.0122053872053871E-2</v>
      </c>
      <c r="M20" s="594">
        <f>IF(L20="Løype",Poengsammendrag!$F$2,IF(L20="Arr",Poengsammendrag!$F$3,IF(L20="Brutt",50,IF(L20="Disk",50,ROUND(MAXA(100*(MIN(L$10:L$89)/L20),50),0)))))</f>
        <v>84</v>
      </c>
      <c r="N20" s="724">
        <f t="shared" si="3"/>
        <v>6.3183856879237641E-3</v>
      </c>
      <c r="O20" s="596">
        <f>IF(N20="Løype",Poengsammendrag!$F$2,IF(N20="Arr",Poengsammendrag!$F$3,IF(N20="Brutt",50,IF(N20="Disk",50,ROUND(MAXA(100*(MIN(N$10:N$89)/N20),50),0)))))</f>
        <v>72</v>
      </c>
      <c r="Q20" s="672"/>
      <c r="R20" s="672"/>
      <c r="S20" s="803" t="s">
        <v>118</v>
      </c>
      <c r="T20" s="736">
        <v>1.0642887205387206E-2</v>
      </c>
      <c r="U20" s="752">
        <v>80</v>
      </c>
      <c r="V20" s="781"/>
      <c r="W20" s="776" t="s">
        <v>377</v>
      </c>
      <c r="X20" s="740">
        <v>71</v>
      </c>
      <c r="AB20" s="828">
        <f t="shared" si="5"/>
        <v>65</v>
      </c>
      <c r="AC20" s="829">
        <f t="shared" si="4"/>
        <v>0</v>
      </c>
    </row>
    <row r="21" spans="2:29" ht="21" customHeight="1" thickBot="1" x14ac:dyDescent="0.3">
      <c r="B21" s="16">
        <f t="shared" si="0"/>
        <v>12</v>
      </c>
      <c r="C21" s="106" t="s">
        <v>118</v>
      </c>
      <c r="D21" s="107" t="s">
        <v>119</v>
      </c>
      <c r="E21" s="599" t="str">
        <f t="shared" si="1"/>
        <v>KnutLillealtern</v>
      </c>
      <c r="F21" s="192">
        <f>YEAR(I$5)-_xlfn.XLOOKUP(E21,Deltakerliste!E$5:E$98,Deltakerliste!I$5:I$98)</f>
        <v>76</v>
      </c>
      <c r="G21" s="192">
        <f>_xlfn.XLOOKUP(E21,Deltakerliste!E$5:E$98,Deltakerliste!H$5:H$98)</f>
        <v>2</v>
      </c>
      <c r="H21" s="592">
        <f>VLOOKUP(F21,Deltakerliste!P$6:T$84,G21,FALSE)</f>
        <v>1.655</v>
      </c>
      <c r="I21" s="13"/>
      <c r="J21" s="13">
        <v>2.3414351851851853E-2</v>
      </c>
      <c r="K21" s="17"/>
      <c r="L21" s="600">
        <f t="shared" si="2"/>
        <v>1.0642887205387206E-2</v>
      </c>
      <c r="M21" s="594">
        <f>IF(L21="Løype",Poengsammendrag!$F$2,IF(L21="Arr",Poengsammendrag!$F$3,IF(L21="Brutt",50,IF(L21="Disk",50,ROUND(MAXA(100*(MIN(L$10:L$89)/L21),50),0)))))</f>
        <v>80</v>
      </c>
      <c r="N21" s="724">
        <f t="shared" si="3"/>
        <v>6.4307475561251994E-3</v>
      </c>
      <c r="O21" s="596">
        <f>IF(N21="Løype",Poengsammendrag!$F$2,IF(N21="Arr",Poengsammendrag!$F$3,IF(N21="Brutt",50,IF(N21="Disk",50,ROUND(MAXA(100*(MIN(N$10:N$89)/N21),50),0)))))</f>
        <v>70</v>
      </c>
      <c r="Q21" s="672"/>
      <c r="R21" s="672"/>
      <c r="S21" s="803" t="s">
        <v>136</v>
      </c>
      <c r="T21" s="736">
        <v>1.0690235690235689E-2</v>
      </c>
      <c r="U21" s="752">
        <v>80</v>
      </c>
      <c r="V21" s="781"/>
      <c r="W21" s="776" t="s">
        <v>118</v>
      </c>
      <c r="X21" s="740">
        <v>70</v>
      </c>
      <c r="AB21" s="828">
        <f t="shared" si="5"/>
        <v>66</v>
      </c>
      <c r="AC21" s="829">
        <f t="shared" si="4"/>
        <v>3</v>
      </c>
    </row>
    <row r="22" spans="2:29" ht="21" customHeight="1" thickBot="1" x14ac:dyDescent="0.3">
      <c r="B22" s="16">
        <f t="shared" si="0"/>
        <v>13</v>
      </c>
      <c r="C22" s="106" t="s">
        <v>120</v>
      </c>
      <c r="D22" s="107" t="s">
        <v>121</v>
      </c>
      <c r="E22" s="599" t="str">
        <f t="shared" si="1"/>
        <v>KlausLivik</v>
      </c>
      <c r="F22" s="192">
        <f>YEAR(I$5)-_xlfn.XLOOKUP(E22,Deltakerliste!E$5:E$98,Deltakerliste!I$5:I$98)</f>
        <v>71</v>
      </c>
      <c r="G22" s="192">
        <f>_xlfn.XLOOKUP(E22,Deltakerliste!E$5:E$98,Deltakerliste!H$5:H$98)</f>
        <v>2</v>
      </c>
      <c r="H22" s="592">
        <f>VLOOKUP(F22,Deltakerliste!P$6:T$84,G22,FALSE)</f>
        <v>1.4609999999999999</v>
      </c>
      <c r="I22" s="13"/>
      <c r="J22" s="13">
        <v>2.1493055555555557E-2</v>
      </c>
      <c r="K22" s="17"/>
      <c r="L22" s="600">
        <f t="shared" si="2"/>
        <v>9.7695707070707075E-3</v>
      </c>
      <c r="M22" s="594">
        <f>IF(L22="Løype",Poengsammendrag!$F$2,IF(L22="Arr",Poengsammendrag!$F$3,IF(L22="Brutt",50,IF(L22="Disk",50,ROUND(MAXA(100*(MIN(L$10:L$89)/L22),50),0)))))</f>
        <v>87</v>
      </c>
      <c r="N22" s="724">
        <f t="shared" si="3"/>
        <v>6.6869067125740643E-3</v>
      </c>
      <c r="O22" s="596">
        <f>IF(N22="Løype",Poengsammendrag!$F$2,IF(N22="Arr",Poengsammendrag!$F$3,IF(N22="Brutt",50,IF(N22="Disk",50,ROUND(MAXA(100*(MIN(N$10:N$89)/N22),50),0)))))</f>
        <v>68</v>
      </c>
      <c r="Q22" s="672"/>
      <c r="R22" s="672"/>
      <c r="S22" s="803" t="s">
        <v>307</v>
      </c>
      <c r="T22" s="736">
        <v>1.0706018518518517E-2</v>
      </c>
      <c r="U22" s="752">
        <v>80</v>
      </c>
      <c r="V22" s="781"/>
      <c r="W22" s="776" t="s">
        <v>120</v>
      </c>
      <c r="X22" s="740">
        <v>68</v>
      </c>
      <c r="AB22" s="828">
        <f t="shared" si="5"/>
        <v>67</v>
      </c>
      <c r="AC22" s="829">
        <f t="shared" si="4"/>
        <v>0</v>
      </c>
    </row>
    <row r="23" spans="2:29" ht="21" customHeight="1" thickBot="1" x14ac:dyDescent="0.3">
      <c r="B23" s="16">
        <f t="shared" si="0"/>
        <v>14</v>
      </c>
      <c r="C23" s="106" t="s">
        <v>307</v>
      </c>
      <c r="D23" s="107" t="s">
        <v>308</v>
      </c>
      <c r="E23" s="599" t="str">
        <f t="shared" si="1"/>
        <v>RolfWærnes</v>
      </c>
      <c r="F23" s="192">
        <f>YEAR(I$5)-_xlfn.XLOOKUP(E23,Deltakerliste!E$5:E$98,Deltakerliste!I$5:I$98)</f>
        <v>74</v>
      </c>
      <c r="G23" s="192">
        <f>_xlfn.XLOOKUP(E23,Deltakerliste!E$5:E$98,Deltakerliste!H$5:H$98)</f>
        <v>2</v>
      </c>
      <c r="H23" s="592">
        <f>VLOOKUP(F23,Deltakerliste!P$6:T$84,G23,FALSE)</f>
        <v>1.569</v>
      </c>
      <c r="I23" s="18"/>
      <c r="J23" s="132">
        <v>2.3553240740740739E-2</v>
      </c>
      <c r="K23" s="18"/>
      <c r="L23" s="600">
        <f t="shared" si="2"/>
        <v>1.0706018518518517E-2</v>
      </c>
      <c r="M23" s="594">
        <f>IF(L23="Løype",Poengsammendrag!$F$2,IF(L23="Arr",Poengsammendrag!$F$3,IF(L23="Brutt",50,IF(L23="Disk",50,ROUND(MAXA(100*(MIN(L$10:L$89)/L23),50),0)))))</f>
        <v>80</v>
      </c>
      <c r="N23" s="724">
        <f t="shared" si="3"/>
        <v>6.8234662323253779E-3</v>
      </c>
      <c r="O23" s="596">
        <f>IF(N23="Løype",Poengsammendrag!$F$2,IF(N23="Arr",Poengsammendrag!$F$3,IF(N23="Brutt",50,IF(N23="Disk",50,ROUND(MAXA(100*(MIN(N$10:N$89)/N23),50),0)))))</f>
        <v>66</v>
      </c>
      <c r="Q23" s="672"/>
      <c r="R23" s="672"/>
      <c r="S23" s="803" t="s">
        <v>68</v>
      </c>
      <c r="T23" s="736">
        <v>1.0737584175084174E-2</v>
      </c>
      <c r="U23" s="752">
        <v>79</v>
      </c>
      <c r="V23" s="781"/>
      <c r="W23" s="776" t="s">
        <v>307</v>
      </c>
      <c r="X23" s="740">
        <v>66</v>
      </c>
      <c r="AB23" s="828">
        <f t="shared" si="5"/>
        <v>68</v>
      </c>
      <c r="AC23" s="829">
        <f t="shared" si="4"/>
        <v>0</v>
      </c>
    </row>
    <row r="24" spans="2:29" ht="21" thickBot="1" x14ac:dyDescent="0.3">
      <c r="B24" s="16">
        <f t="shared" si="0"/>
        <v>15</v>
      </c>
      <c r="C24" s="106" t="s">
        <v>136</v>
      </c>
      <c r="D24" s="107" t="s">
        <v>137</v>
      </c>
      <c r="E24" s="599" t="str">
        <f t="shared" si="1"/>
        <v>HaraldOftedal</v>
      </c>
      <c r="F24" s="192">
        <f>YEAR(I$5)-_xlfn.XLOOKUP(E24,Deltakerliste!E$5:E$98,Deltakerliste!I$5:I$98)</f>
        <v>73</v>
      </c>
      <c r="G24" s="192">
        <f>_xlfn.XLOOKUP(E24,Deltakerliste!E$5:E$98,Deltakerliste!H$5:H$98)</f>
        <v>2</v>
      </c>
      <c r="H24" s="592">
        <f>VLOOKUP(F24,Deltakerliste!P$6:T$84,G24,FALSE)</f>
        <v>1.5329999999999999</v>
      </c>
      <c r="I24" s="134"/>
      <c r="J24" s="132">
        <v>2.3518518518518518E-2</v>
      </c>
      <c r="K24" s="134"/>
      <c r="L24" s="600">
        <f t="shared" si="2"/>
        <v>1.0690235690235689E-2</v>
      </c>
      <c r="M24" s="594">
        <f>IF(L24="Løype",Poengsammendrag!$F$2,IF(L24="Arr",Poengsammendrag!$F$3,IF(L24="Brutt",50,IF(L24="Disk",50,ROUND(MAXA(100*(MIN(L$10:L$89)/L24),50),0)))))</f>
        <v>80</v>
      </c>
      <c r="N24" s="724">
        <f t="shared" si="3"/>
        <v>6.9734087998928182E-3</v>
      </c>
      <c r="O24" s="596">
        <f>IF(N24="Løype",Poengsammendrag!$F$2,IF(N24="Arr",Poengsammendrag!$F$3,IF(N24="Brutt",50,IF(N24="Disk",50,ROUND(MAXA(100*(MIN(N$10:N$89)/N24),50),0)))))</f>
        <v>65</v>
      </c>
      <c r="Q24" s="672"/>
      <c r="R24" s="672"/>
      <c r="S24" s="803" t="s">
        <v>80</v>
      </c>
      <c r="T24" s="736">
        <v>1.1005892255892255E-2</v>
      </c>
      <c r="U24" s="752">
        <v>77</v>
      </c>
      <c r="V24" s="781"/>
      <c r="W24" s="776" t="s">
        <v>136</v>
      </c>
      <c r="X24" s="740">
        <v>65</v>
      </c>
      <c r="AB24" s="828">
        <f t="shared" si="5"/>
        <v>69</v>
      </c>
      <c r="AC24" s="829">
        <f t="shared" si="4"/>
        <v>1</v>
      </c>
    </row>
    <row r="25" spans="2:29" ht="21" thickBot="1" x14ac:dyDescent="0.3">
      <c r="B25" s="16">
        <f t="shared" si="0"/>
        <v>16</v>
      </c>
      <c r="C25" s="106" t="s">
        <v>68</v>
      </c>
      <c r="D25" s="107" t="s">
        <v>69</v>
      </c>
      <c r="E25" s="599" t="str">
        <f t="shared" si="1"/>
        <v>JanBøhle</v>
      </c>
      <c r="F25" s="192">
        <f>YEAR(I$5)-_xlfn.XLOOKUP(E25,Deltakerliste!E$5:E$98,Deltakerliste!I$5:I$98)</f>
        <v>73</v>
      </c>
      <c r="G25" s="192">
        <f>_xlfn.XLOOKUP(E25,Deltakerliste!E$5:E$98,Deltakerliste!H$5:H$98)</f>
        <v>2</v>
      </c>
      <c r="H25" s="592">
        <f>VLOOKUP(F25,Deltakerliste!P$6:T$84,G25,FALSE)</f>
        <v>1.5329999999999999</v>
      </c>
      <c r="I25" s="86"/>
      <c r="J25" s="86">
        <v>2.3622685185185184E-2</v>
      </c>
      <c r="K25" s="13"/>
      <c r="L25" s="600">
        <f t="shared" si="2"/>
        <v>1.0737584175084174E-2</v>
      </c>
      <c r="M25" s="594">
        <f>IF(L25="Løype",Poengsammendrag!$F$2,IF(L25="Arr",Poengsammendrag!$F$3,IF(L25="Brutt",50,IF(L25="Disk",50,ROUND(MAXA(100*(MIN(L$10:L$89)/L25),50),0)))))</f>
        <v>79</v>
      </c>
      <c r="N25" s="724">
        <f t="shared" si="3"/>
        <v>7.0042949609159652E-3</v>
      </c>
      <c r="O25" s="596">
        <f>IF(N25="Løype",Poengsammendrag!$F$2,IF(N25="Arr",Poengsammendrag!$F$3,IF(N25="Brutt",50,IF(N25="Disk",50,ROUND(MAXA(100*(MIN(N$10:N$89)/N25),50),0)))))</f>
        <v>65</v>
      </c>
      <c r="Q25" s="672"/>
      <c r="R25" s="672"/>
      <c r="S25" s="803" t="s">
        <v>149</v>
      </c>
      <c r="T25" s="736">
        <v>1.1121632996632996E-2</v>
      </c>
      <c r="U25" s="752">
        <v>77</v>
      </c>
      <c r="V25" s="781"/>
      <c r="W25" s="776" t="s">
        <v>68</v>
      </c>
      <c r="X25" s="740">
        <v>65</v>
      </c>
      <c r="AB25" s="828">
        <f t="shared" si="5"/>
        <v>70</v>
      </c>
      <c r="AC25" s="829">
        <f t="shared" si="4"/>
        <v>1</v>
      </c>
    </row>
    <row r="26" spans="2:29" ht="21" customHeight="1" thickBot="1" x14ac:dyDescent="0.3">
      <c r="B26" s="16">
        <f t="shared" si="0"/>
        <v>17</v>
      </c>
      <c r="C26" s="106" t="s">
        <v>134</v>
      </c>
      <c r="D26" s="107" t="s">
        <v>135</v>
      </c>
      <c r="E26" s="599" t="str">
        <f t="shared" si="1"/>
        <v>IngeNørstebø</v>
      </c>
      <c r="F26" s="192">
        <f>YEAR(I$5)-_xlfn.XLOOKUP(E26,Deltakerliste!E$5:E$98,Deltakerliste!I$5:I$98)</f>
        <v>69</v>
      </c>
      <c r="G26" s="192">
        <f>_xlfn.XLOOKUP(E26,Deltakerliste!E$5:E$98,Deltakerliste!H$5:H$98)</f>
        <v>2</v>
      </c>
      <c r="H26" s="592">
        <f>VLOOKUP(F26,Deltakerliste!P$6:T$84,G26,FALSE)</f>
        <v>1.3989999999999998</v>
      </c>
      <c r="I26" s="13"/>
      <c r="J26" s="13">
        <v>2.1608796296296296E-2</v>
      </c>
      <c r="K26" s="13"/>
      <c r="L26" s="600">
        <f t="shared" si="2"/>
        <v>9.8221801346801332E-3</v>
      </c>
      <c r="M26" s="594">
        <f>IF(L26="Løype",Poengsammendrag!$F$2,IF(L26="Arr",Poengsammendrag!$F$3,IF(L26="Brutt",50,IF(L26="Disk",50,ROUND(MAXA(100*(MIN(L$10:L$89)/L26),50),0)))))</f>
        <v>87</v>
      </c>
      <c r="N26" s="724">
        <f t="shared" si="3"/>
        <v>7.020857851808531E-3</v>
      </c>
      <c r="O26" s="596">
        <f>IF(N26="Løype",Poengsammendrag!$F$2,IF(N26="Arr",Poengsammendrag!$F$3,IF(N26="Brutt",50,IF(N26="Disk",50,ROUND(MAXA(100*(MIN(N$10:N$89)/N26),50),0)))))</f>
        <v>64</v>
      </c>
      <c r="Q26" s="672"/>
      <c r="R26" s="672"/>
      <c r="S26" s="803" t="s">
        <v>76</v>
      </c>
      <c r="T26" s="736">
        <v>1.1421506734006734E-2</v>
      </c>
      <c r="U26" s="752">
        <v>75</v>
      </c>
      <c r="V26" s="781"/>
      <c r="W26" s="776" t="s">
        <v>134</v>
      </c>
      <c r="X26" s="740">
        <v>64</v>
      </c>
      <c r="AB26" s="828">
        <f t="shared" si="5"/>
        <v>71</v>
      </c>
      <c r="AC26" s="829">
        <f t="shared" si="4"/>
        <v>1</v>
      </c>
    </row>
    <row r="27" spans="2:29" ht="21" thickBot="1" x14ac:dyDescent="0.3">
      <c r="B27" s="16">
        <f t="shared" si="0"/>
        <v>18</v>
      </c>
      <c r="C27" s="106" t="s">
        <v>90</v>
      </c>
      <c r="D27" s="107" t="s">
        <v>91</v>
      </c>
      <c r="E27" s="599" t="str">
        <f t="shared" si="1"/>
        <v>TorGjermstad</v>
      </c>
      <c r="F27" s="192">
        <f>YEAR(I$5)-_xlfn.XLOOKUP(E27,Deltakerliste!E$5:E$98,Deltakerliste!I$5:I$98)</f>
        <v>75</v>
      </c>
      <c r="G27" s="192">
        <f>_xlfn.XLOOKUP(E27,Deltakerliste!E$5:E$98,Deltakerliste!H$5:H$98)</f>
        <v>2</v>
      </c>
      <c r="H27" s="592">
        <f>VLOOKUP(F27,Deltakerliste!P$6:T$84,G27,FALSE)</f>
        <v>1.605</v>
      </c>
      <c r="I27" s="86">
        <v>1.7384259259259259E-2</v>
      </c>
      <c r="J27" s="86"/>
      <c r="K27" s="13"/>
      <c r="L27" s="600">
        <f t="shared" si="2"/>
        <v>1.1589506172839506E-2</v>
      </c>
      <c r="M27" s="594">
        <f>IF(L27="Løype",Poengsammendrag!$F$2,IF(L27="Arr",Poengsammendrag!$F$3,IF(L27="Brutt",50,IF(L27="Disk",50,ROUND(MAXA(100*(MIN(L$10:L$89)/L27),50),0)))))</f>
        <v>74</v>
      </c>
      <c r="N27" s="724">
        <f t="shared" si="3"/>
        <v>7.220876120149225E-3</v>
      </c>
      <c r="O27" s="596">
        <f>IF(N27="Løype",Poengsammendrag!$F$2,IF(N27="Arr",Poengsammendrag!$F$3,IF(N27="Brutt",50,IF(N27="Disk",50,ROUND(MAXA(100*(MIN(N$10:N$89)/N27),50),0)))))</f>
        <v>63</v>
      </c>
      <c r="Q27" s="672"/>
      <c r="R27" s="672"/>
      <c r="S27" s="803" t="s">
        <v>338</v>
      </c>
      <c r="T27" s="736">
        <v>1.1427469135802469E-2</v>
      </c>
      <c r="U27" s="752">
        <v>75</v>
      </c>
      <c r="V27" s="781"/>
      <c r="W27" s="776" t="s">
        <v>90</v>
      </c>
      <c r="X27" s="740">
        <v>63</v>
      </c>
      <c r="AB27" s="828">
        <f t="shared" si="5"/>
        <v>72</v>
      </c>
      <c r="AC27" s="829">
        <f t="shared" si="4"/>
        <v>5</v>
      </c>
    </row>
    <row r="28" spans="2:29" ht="21" customHeight="1" thickBot="1" x14ac:dyDescent="0.3">
      <c r="B28" s="16">
        <f t="shared" si="0"/>
        <v>19</v>
      </c>
      <c r="C28" s="106" t="s">
        <v>76</v>
      </c>
      <c r="D28" s="107" t="s">
        <v>77</v>
      </c>
      <c r="E28" s="599" t="str">
        <f t="shared" si="1"/>
        <v>ReinoldEllingsen</v>
      </c>
      <c r="F28" s="192">
        <f>YEAR(I$5)-_xlfn.XLOOKUP(E28,Deltakerliste!E$5:E$98,Deltakerliste!I$5:I$98)</f>
        <v>74</v>
      </c>
      <c r="G28" s="192">
        <f>_xlfn.XLOOKUP(E28,Deltakerliste!E$5:E$98,Deltakerliste!H$5:H$98)</f>
        <v>2</v>
      </c>
      <c r="H28" s="592">
        <f>VLOOKUP(F28,Deltakerliste!P$6:T$84,G28,FALSE)</f>
        <v>1.569</v>
      </c>
      <c r="I28" s="13"/>
      <c r="J28" s="13">
        <v>2.5127314814814814E-2</v>
      </c>
      <c r="K28" s="13"/>
      <c r="L28" s="600">
        <f t="shared" si="2"/>
        <v>1.1421506734006734E-2</v>
      </c>
      <c r="M28" s="594">
        <f>IF(L28="Løype",Poengsammendrag!$F$2,IF(L28="Arr",Poengsammendrag!$F$3,IF(L28="Brutt",50,IF(L28="Disk",50,ROUND(MAXA(100*(MIN(L$10:L$89)/L28),50),0)))))</f>
        <v>75</v>
      </c>
      <c r="N28" s="724">
        <f t="shared" si="3"/>
        <v>7.2794816660336102E-3</v>
      </c>
      <c r="O28" s="596">
        <f>IF(N28="Løype",Poengsammendrag!$F$2,IF(N28="Arr",Poengsammendrag!$F$3,IF(N28="Brutt",50,IF(N28="Disk",50,ROUND(MAXA(100*(MIN(N$10:N$89)/N28),50),0)))))</f>
        <v>62</v>
      </c>
      <c r="Q28" s="672"/>
      <c r="R28" s="672"/>
      <c r="S28" s="803" t="s">
        <v>90</v>
      </c>
      <c r="T28" s="736">
        <v>1.1589506172839506E-2</v>
      </c>
      <c r="U28" s="752">
        <v>74</v>
      </c>
      <c r="V28" s="781"/>
      <c r="W28" s="776" t="s">
        <v>76</v>
      </c>
      <c r="X28" s="740">
        <v>62</v>
      </c>
      <c r="AB28" s="828">
        <f t="shared" si="5"/>
        <v>73</v>
      </c>
      <c r="AC28" s="829">
        <f t="shared" si="4"/>
        <v>2</v>
      </c>
    </row>
    <row r="29" spans="2:29" ht="21" thickBot="1" x14ac:dyDescent="0.3">
      <c r="B29" s="16">
        <f t="shared" si="0"/>
        <v>20</v>
      </c>
      <c r="C29" s="106" t="s">
        <v>265</v>
      </c>
      <c r="D29" s="107" t="s">
        <v>266</v>
      </c>
      <c r="E29" s="599" t="str">
        <f t="shared" si="1"/>
        <v>ØysteinWiggen</v>
      </c>
      <c r="F29" s="192">
        <f>YEAR(I$5)-_xlfn.XLOOKUP(E29,Deltakerliste!E$5:E$98,Deltakerliste!I$5:I$98)</f>
        <v>59</v>
      </c>
      <c r="G29" s="192">
        <f>_xlfn.XLOOKUP(E29,Deltakerliste!E$5:E$98,Deltakerliste!H$5:H$98)</f>
        <v>2</v>
      </c>
      <c r="H29" s="592">
        <f>VLOOKUP(F29,Deltakerliste!P$6:T$84,G29,FALSE)</f>
        <v>1.1860000000000002</v>
      </c>
      <c r="I29" s="18"/>
      <c r="J29" s="132">
        <v>1.9386574074074073E-2</v>
      </c>
      <c r="K29" s="18"/>
      <c r="L29" s="600">
        <f t="shared" si="2"/>
        <v>8.8120791245791235E-3</v>
      </c>
      <c r="M29" s="594">
        <f>IF(L29="Løype",Poengsammendrag!$F$2,IF(L29="Arr",Poengsammendrag!$F$3,IF(L29="Brutt",50,IF(L29="Disk",50,ROUND(MAXA(100*(MIN(L$10:L$89)/L29),50),0)))))</f>
        <v>97</v>
      </c>
      <c r="N29" s="724">
        <f t="shared" si="3"/>
        <v>7.4300835789031386E-3</v>
      </c>
      <c r="O29" s="596">
        <f>IF(N29="Løype",Poengsammendrag!$F$2,IF(N29="Arr",Poengsammendrag!$F$3,IF(N29="Brutt",50,IF(N29="Disk",50,ROUND(MAXA(100*(MIN(N$10:N$89)/N29),50),0)))))</f>
        <v>61</v>
      </c>
      <c r="Q29" s="672"/>
      <c r="R29" s="672"/>
      <c r="S29" s="803" t="s">
        <v>114</v>
      </c>
      <c r="T29" s="736">
        <v>1.24631734006734E-2</v>
      </c>
      <c r="U29" s="752">
        <v>68</v>
      </c>
      <c r="V29" s="781"/>
      <c r="W29" s="776" t="s">
        <v>368</v>
      </c>
      <c r="X29" s="740">
        <v>61</v>
      </c>
      <c r="AB29" s="828">
        <f t="shared" si="5"/>
        <v>74</v>
      </c>
      <c r="AC29" s="829">
        <f t="shared" si="4"/>
        <v>3</v>
      </c>
    </row>
    <row r="30" spans="2:29" ht="21" thickBot="1" x14ac:dyDescent="0.3">
      <c r="B30" s="16">
        <f t="shared" si="0"/>
        <v>21</v>
      </c>
      <c r="C30" s="106" t="s">
        <v>309</v>
      </c>
      <c r="D30" s="107" t="s">
        <v>310</v>
      </c>
      <c r="E30" s="599" t="str">
        <f t="shared" si="1"/>
        <v>VigdisHeimly</v>
      </c>
      <c r="F30" s="192">
        <f>YEAR(I$5)-_xlfn.XLOOKUP(E30,Deltakerliste!E$5:E$98,Deltakerliste!I$5:I$98)</f>
        <v>66</v>
      </c>
      <c r="G30" s="192">
        <f>_xlfn.XLOOKUP(E30,Deltakerliste!E$5:E$98,Deltakerliste!H$5:H$98)</f>
        <v>4</v>
      </c>
      <c r="H30" s="592">
        <f>VLOOKUP(F30,Deltakerliste!P$6:T$84,G30,FALSE)</f>
        <v>1.8066000000000009</v>
      </c>
      <c r="I30" s="86">
        <v>2.1226851851851851E-2</v>
      </c>
      <c r="J30" s="86"/>
      <c r="K30" s="17"/>
      <c r="L30" s="600">
        <f t="shared" si="2"/>
        <v>1.4151234567901233E-2</v>
      </c>
      <c r="M30" s="594">
        <f>IF(L30="Løype",Poengsammendrag!$F$2,IF(L30="Arr",Poengsammendrag!$F$3,IF(L30="Brutt",50,IF(L30="Disk",50,ROUND(MAXA(100*(MIN(L$10:L$89)/L30),50),0)))))</f>
        <v>60</v>
      </c>
      <c r="N30" s="724">
        <f t="shared" si="3"/>
        <v>7.833075704583874E-3</v>
      </c>
      <c r="O30" s="596">
        <f>IF(N30="Løype",Poengsammendrag!$F$2,IF(N30="Arr",Poengsammendrag!$F$3,IF(N30="Brutt",50,IF(N30="Disk",50,ROUND(MAXA(100*(MIN(N$10:N$89)/N30),50),0)))))</f>
        <v>58</v>
      </c>
      <c r="Q30" s="672"/>
      <c r="R30" s="672"/>
      <c r="S30" s="803" t="s">
        <v>314</v>
      </c>
      <c r="T30" s="736">
        <v>1.3431186868686868E-2</v>
      </c>
      <c r="U30" s="752">
        <v>63</v>
      </c>
      <c r="V30" s="781"/>
      <c r="W30" s="776" t="s">
        <v>309</v>
      </c>
      <c r="X30" s="740">
        <v>58</v>
      </c>
      <c r="AB30" s="828">
        <f t="shared" si="5"/>
        <v>75</v>
      </c>
      <c r="AC30" s="829">
        <f t="shared" si="4"/>
        <v>1</v>
      </c>
    </row>
    <row r="31" spans="2:29" ht="21" customHeight="1" thickBot="1" x14ac:dyDescent="0.3">
      <c r="B31" s="16">
        <f t="shared" si="0"/>
        <v>22</v>
      </c>
      <c r="C31" s="106" t="s">
        <v>116</v>
      </c>
      <c r="D31" s="107" t="s">
        <v>165</v>
      </c>
      <c r="E31" s="599" t="str">
        <f t="shared" si="1"/>
        <v>AndersWaage</v>
      </c>
      <c r="F31" s="192">
        <f>YEAR(I$5)-_xlfn.XLOOKUP(E31,Deltakerliste!E$5:E$98,Deltakerliste!I$5:I$98)</f>
        <v>77</v>
      </c>
      <c r="G31" s="192">
        <f>_xlfn.XLOOKUP(E31,Deltakerliste!E$5:E$98,Deltakerliste!H$5:H$98)</f>
        <v>2</v>
      </c>
      <c r="H31" s="592">
        <f>VLOOKUP(F31,Deltakerliste!P$6:T$84,G31,FALSE)</f>
        <v>1.7050000000000001</v>
      </c>
      <c r="I31" s="18"/>
      <c r="J31" s="132">
        <v>2.9548611111111112E-2</v>
      </c>
      <c r="K31" s="18"/>
      <c r="L31" s="600">
        <f t="shared" si="2"/>
        <v>1.3431186868686868E-2</v>
      </c>
      <c r="M31" s="594">
        <f>IF(L31="Løype",Poengsammendrag!$F$2,IF(L31="Arr",Poengsammendrag!$F$3,IF(L31="Brutt",50,IF(L31="Disk",50,ROUND(MAXA(100*(MIN(L$10:L$89)/L31),50),0)))))</f>
        <v>63</v>
      </c>
      <c r="N31" s="724">
        <f t="shared" si="3"/>
        <v>7.8775289552415646E-3</v>
      </c>
      <c r="O31" s="596">
        <f>IF(N31="Løype",Poengsammendrag!$F$2,IF(N31="Arr",Poengsammendrag!$F$3,IF(N31="Brutt",50,IF(N31="Disk",50,ROUND(MAXA(100*(MIN(N$10:N$89)/N31),50),0)))))</f>
        <v>57</v>
      </c>
      <c r="Q31" s="672"/>
      <c r="R31" s="672"/>
      <c r="S31" s="803" t="s">
        <v>263</v>
      </c>
      <c r="T31" s="736">
        <v>1.3819444444444445E-2</v>
      </c>
      <c r="U31" s="752">
        <v>62</v>
      </c>
      <c r="V31" s="781"/>
      <c r="W31" s="776" t="s">
        <v>314</v>
      </c>
      <c r="X31" s="740">
        <v>57</v>
      </c>
      <c r="AB31" s="828">
        <f t="shared" si="5"/>
        <v>76</v>
      </c>
      <c r="AC31" s="829">
        <f t="shared" si="4"/>
        <v>4</v>
      </c>
    </row>
    <row r="32" spans="2:29" ht="21" customHeight="1" thickBot="1" x14ac:dyDescent="0.3">
      <c r="B32" s="16">
        <f t="shared" si="0"/>
        <v>23</v>
      </c>
      <c r="C32" s="106" t="s">
        <v>63</v>
      </c>
      <c r="D32" s="107" t="s">
        <v>336</v>
      </c>
      <c r="E32" s="599" t="str">
        <f t="shared" si="1"/>
        <v>ToreFornes</v>
      </c>
      <c r="F32" s="192">
        <f>YEAR(I$5)-_xlfn.XLOOKUP(E32,Deltakerliste!E$5:E$98,Deltakerliste!I$5:I$98)</f>
        <v>66</v>
      </c>
      <c r="G32" s="192">
        <f>_xlfn.XLOOKUP(E32,Deltakerliste!E$5:E$98,Deltakerliste!H$5:H$98)</f>
        <v>2</v>
      </c>
      <c r="H32" s="592">
        <f>VLOOKUP(F32,Deltakerliste!P$6:T$84,G32,FALSE)</f>
        <v>1.3209999999999997</v>
      </c>
      <c r="I32" s="86"/>
      <c r="J32" s="86">
        <v>2.2951388888888889E-2</v>
      </c>
      <c r="K32" s="13"/>
      <c r="L32" s="600">
        <f t="shared" si="2"/>
        <v>1.0432449494949494E-2</v>
      </c>
      <c r="M32" s="594">
        <f>IF(L32="Løype",Poengsammendrag!$F$2,IF(L32="Arr",Poengsammendrag!$F$3,IF(L32="Brutt",50,IF(L32="Disk",50,ROUND(MAXA(100*(MIN(L$10:L$89)/L32),50),0)))))</f>
        <v>82</v>
      </c>
      <c r="N32" s="724">
        <f t="shared" si="3"/>
        <v>7.8973879598406484E-3</v>
      </c>
      <c r="O32" s="596">
        <f>IF(N32="Løype",Poengsammendrag!$F$2,IF(N32="Arr",Poengsammendrag!$F$3,IF(N32="Brutt",50,IF(N32="Disk",50,ROUND(MAXA(100*(MIN(N$10:N$89)/N32),50),0)))))</f>
        <v>57</v>
      </c>
      <c r="S32" s="803" t="s">
        <v>309</v>
      </c>
      <c r="T32" s="736">
        <v>1.4151234567901233E-2</v>
      </c>
      <c r="U32" s="752">
        <v>60</v>
      </c>
      <c r="V32" s="781"/>
      <c r="W32" s="776" t="s">
        <v>346</v>
      </c>
      <c r="X32" s="740">
        <v>57</v>
      </c>
      <c r="AB32" s="828">
        <f t="shared" si="5"/>
        <v>77</v>
      </c>
      <c r="AC32" s="829">
        <f t="shared" si="4"/>
        <v>2</v>
      </c>
    </row>
    <row r="33" spans="2:29" ht="21" customHeight="1" thickBot="1" x14ac:dyDescent="0.3">
      <c r="B33" s="16">
        <f t="shared" si="0"/>
        <v>24</v>
      </c>
      <c r="C33" s="106" t="s">
        <v>142</v>
      </c>
      <c r="D33" s="107" t="s">
        <v>143</v>
      </c>
      <c r="E33" s="599" t="str">
        <f t="shared" si="1"/>
        <v>EgilRepvik</v>
      </c>
      <c r="F33" s="192">
        <f>YEAR(I$5)-_xlfn.XLOOKUP(E33,Deltakerliste!E$5:E$98,Deltakerliste!I$5:I$98)</f>
        <v>79</v>
      </c>
      <c r="G33" s="192">
        <f>_xlfn.XLOOKUP(E33,Deltakerliste!E$5:E$98,Deltakerliste!H$5:H$98)</f>
        <v>2</v>
      </c>
      <c r="H33" s="592">
        <f>VLOOKUP(F33,Deltakerliste!P$6:T$84,G33,FALSE)</f>
        <v>1.8050000000000002</v>
      </c>
      <c r="I33" s="132">
        <v>2.3043981481481481E-2</v>
      </c>
      <c r="J33" s="18"/>
      <c r="K33" s="18"/>
      <c r="L33" s="600">
        <f t="shared" si="2"/>
        <v>1.5362654320987655E-2</v>
      </c>
      <c r="M33" s="594">
        <f>IF(L33="Løype",Poengsammendrag!$F$2,IF(L33="Arr",Poengsammendrag!$F$3,IF(L33="Brutt",50,IF(L33="Disk",50,ROUND(MAXA(100*(MIN(L$10:L$89)/L33),50),0)))))</f>
        <v>55</v>
      </c>
      <c r="N33" s="724">
        <f t="shared" si="3"/>
        <v>8.5111658288020246E-3</v>
      </c>
      <c r="O33" s="596">
        <f>IF(N33="Løype",Poengsammendrag!$F$2,IF(N33="Arr",Poengsammendrag!$F$3,IF(N33="Brutt",50,IF(N33="Disk",50,ROUND(MAXA(100*(MIN(N$10:N$89)/N33),50),0)))))</f>
        <v>53</v>
      </c>
      <c r="S33" s="803" t="s">
        <v>96</v>
      </c>
      <c r="T33" s="736">
        <v>1.4645061728395062E-2</v>
      </c>
      <c r="U33" s="752">
        <v>58</v>
      </c>
      <c r="V33" s="781"/>
      <c r="W33" s="776" t="s">
        <v>356</v>
      </c>
      <c r="X33" s="740">
        <v>53</v>
      </c>
      <c r="AB33" s="828">
        <f t="shared" si="5"/>
        <v>78</v>
      </c>
      <c r="AC33" s="829">
        <f t="shared" si="4"/>
        <v>1</v>
      </c>
    </row>
    <row r="34" spans="2:29" ht="21" customHeight="1" thickBot="1" x14ac:dyDescent="0.3">
      <c r="B34" s="16">
        <f t="shared" si="0"/>
        <v>25</v>
      </c>
      <c r="C34" s="106" t="s">
        <v>108</v>
      </c>
      <c r="D34" s="107" t="s">
        <v>109</v>
      </c>
      <c r="E34" s="599" t="str">
        <f t="shared" si="1"/>
        <v>Finn FayeKnudsen</v>
      </c>
      <c r="F34" s="192">
        <f>YEAR(I$5)-_xlfn.XLOOKUP(E34,Deltakerliste!E$5:E$98,Deltakerliste!I$5:I$98)</f>
        <v>83</v>
      </c>
      <c r="G34" s="192">
        <f>_xlfn.XLOOKUP(E34,Deltakerliste!E$5:E$98,Deltakerliste!H$5:H$98)</f>
        <v>2</v>
      </c>
      <c r="H34" s="592">
        <f>VLOOKUP(F34,Deltakerliste!P$6:T$84,G34,FALSE)</f>
        <v>2.077</v>
      </c>
      <c r="I34" s="86">
        <v>2.8506944444444446E-2</v>
      </c>
      <c r="J34" s="86"/>
      <c r="K34" s="13"/>
      <c r="L34" s="600">
        <f t="shared" si="2"/>
        <v>1.9004629629629632E-2</v>
      </c>
      <c r="M34" s="594">
        <f>IF(L34="Løype",Poengsammendrag!$F$2,IF(L34="Arr",Poengsammendrag!$F$3,IF(L34="Brutt",50,IF(L34="Disk",50,ROUND(MAXA(100*(MIN(L$10:L$89)/L34),50),0)))))</f>
        <v>50</v>
      </c>
      <c r="N34" s="724">
        <f t="shared" si="3"/>
        <v>9.1500383387720912E-3</v>
      </c>
      <c r="O34" s="596">
        <f>IF(N34="Løype",Poengsammendrag!$F$2,IF(N34="Arr",Poengsammendrag!$F$3,IF(N34="Brutt",50,IF(N34="Disk",50,ROUND(MAXA(100*(MIN(N$10:N$89)/N34),50),0)))))</f>
        <v>50</v>
      </c>
      <c r="S34" s="803" t="s">
        <v>356</v>
      </c>
      <c r="T34" s="736">
        <v>1.5362654320987655E-2</v>
      </c>
      <c r="U34" s="752">
        <v>55</v>
      </c>
      <c r="V34" s="781"/>
      <c r="W34" s="776" t="s">
        <v>108</v>
      </c>
      <c r="X34" s="740">
        <v>50</v>
      </c>
      <c r="AB34" s="828">
        <f t="shared" si="5"/>
        <v>79</v>
      </c>
      <c r="AC34" s="829">
        <f t="shared" si="4"/>
        <v>2</v>
      </c>
    </row>
    <row r="35" spans="2:29" ht="21" customHeight="1" thickBot="1" x14ac:dyDescent="0.3">
      <c r="B35" s="16">
        <f t="shared" si="0"/>
        <v>26</v>
      </c>
      <c r="C35" s="106" t="s">
        <v>94</v>
      </c>
      <c r="D35" s="107" t="s">
        <v>95</v>
      </c>
      <c r="E35" s="599" t="str">
        <f t="shared" si="1"/>
        <v>TerjeHanssen</v>
      </c>
      <c r="F35" s="192">
        <f>YEAR(I$5)-_xlfn.XLOOKUP(E35,Deltakerliste!E$5:E$98,Deltakerliste!I$5:I$98)</f>
        <v>77</v>
      </c>
      <c r="G35" s="192">
        <f>_xlfn.XLOOKUP(E35,Deltakerliste!E$5:E$98,Deltakerliste!H$5:H$98)</f>
        <v>2</v>
      </c>
      <c r="H35" s="592">
        <f>VLOOKUP(F35,Deltakerliste!P$6:T$84,G35,FALSE)</f>
        <v>1.7050000000000001</v>
      </c>
      <c r="I35" s="86">
        <v>2.3414351851851853E-2</v>
      </c>
      <c r="J35" s="86"/>
      <c r="K35" s="17"/>
      <c r="L35" s="600">
        <f t="shared" si="2"/>
        <v>1.5609567901234569E-2</v>
      </c>
      <c r="M35" s="594">
        <f>IF(L35="Løype",Poengsammendrag!$F$2,IF(L35="Arr",Poengsammendrag!$F$3,IF(L35="Brutt",50,IF(L35="Disk",50,ROUND(MAXA(100*(MIN(L$10:L$89)/L35),50),0)))))</f>
        <v>55</v>
      </c>
      <c r="N35" s="724">
        <f t="shared" si="3"/>
        <v>9.1551717895803925E-3</v>
      </c>
      <c r="O35" s="596">
        <f>IF(N35="Løype",Poengsammendrag!$F$2,IF(N35="Arr",Poengsammendrag!$F$3,IF(N35="Brutt",50,IF(N35="Disk",50,ROUND(MAXA(100*(MIN(N$10:N$89)/N35),50),0)))))</f>
        <v>50</v>
      </c>
      <c r="S35" s="803" t="s">
        <v>94</v>
      </c>
      <c r="T35" s="736">
        <v>1.5609567901234569E-2</v>
      </c>
      <c r="U35" s="752">
        <v>55</v>
      </c>
      <c r="V35" s="781"/>
      <c r="W35" s="776" t="s">
        <v>94</v>
      </c>
      <c r="X35" s="740">
        <v>50</v>
      </c>
      <c r="AB35" s="828">
        <f t="shared" si="5"/>
        <v>80</v>
      </c>
      <c r="AC35" s="829">
        <f t="shared" si="4"/>
        <v>1</v>
      </c>
    </row>
    <row r="36" spans="2:29" ht="21" thickBot="1" x14ac:dyDescent="0.3">
      <c r="B36" s="16">
        <f t="shared" si="0"/>
        <v>27</v>
      </c>
      <c r="C36" s="106" t="s">
        <v>263</v>
      </c>
      <c r="D36" s="107" t="s">
        <v>264</v>
      </c>
      <c r="E36" s="599" t="str">
        <f t="shared" si="1"/>
        <v>RuneHolt</v>
      </c>
      <c r="F36" s="192">
        <f>YEAR(I$5)-_xlfn.XLOOKUP(E36,Deltakerliste!E$5:E$98,Deltakerliste!I$5:I$98)</f>
        <v>72</v>
      </c>
      <c r="G36" s="192">
        <f>_xlfn.XLOOKUP(E36,Deltakerliste!E$5:E$98,Deltakerliste!H$5:H$98)</f>
        <v>2</v>
      </c>
      <c r="H36" s="592">
        <f>VLOOKUP(F36,Deltakerliste!P$6:T$84,G36,FALSE)</f>
        <v>1.4969999999999999</v>
      </c>
      <c r="I36" s="86">
        <v>2.0729166666666667E-2</v>
      </c>
      <c r="J36" s="86"/>
      <c r="K36" s="17"/>
      <c r="L36" s="600">
        <f t="shared" si="2"/>
        <v>1.3819444444444445E-2</v>
      </c>
      <c r="M36" s="594">
        <f>IF(L36="Løype",Poengsammendrag!$F$2,IF(L36="Arr",Poengsammendrag!$F$3,IF(L36="Brutt",50,IF(L36="Disk",50,ROUND(MAXA(100*(MIN(L$10:L$89)/L36),50),0)))))</f>
        <v>62</v>
      </c>
      <c r="N36" s="724">
        <f t="shared" si="3"/>
        <v>9.2314258145921486E-3</v>
      </c>
      <c r="O36" s="596">
        <f>IF(N36="Løype",Poengsammendrag!$F$2,IF(N36="Arr",Poengsammendrag!$F$3,IF(N36="Brutt",50,IF(N36="Disk",50,ROUND(MAXA(100*(MIN(N$10:N$89)/N36),50),0)))))</f>
        <v>50</v>
      </c>
      <c r="S36" s="803" t="s">
        <v>251</v>
      </c>
      <c r="T36" s="736">
        <v>1.63141835016835E-2</v>
      </c>
      <c r="U36" s="752">
        <v>52</v>
      </c>
      <c r="V36" s="781"/>
      <c r="W36" s="776" t="s">
        <v>263</v>
      </c>
      <c r="X36" s="740">
        <v>50</v>
      </c>
      <c r="AB36" s="828">
        <f t="shared" si="5"/>
        <v>81</v>
      </c>
      <c r="AC36" s="829">
        <f t="shared" si="4"/>
        <v>0</v>
      </c>
    </row>
    <row r="37" spans="2:29" ht="21" customHeight="1" thickBot="1" x14ac:dyDescent="0.3">
      <c r="B37" s="16">
        <f t="shared" si="0"/>
        <v>28</v>
      </c>
      <c r="C37" s="106" t="s">
        <v>103</v>
      </c>
      <c r="D37" s="107" t="s">
        <v>104</v>
      </c>
      <c r="E37" s="599" t="str">
        <f t="shared" si="1"/>
        <v>SveinHove</v>
      </c>
      <c r="F37" s="192">
        <f>YEAR(I$5)-_xlfn.XLOOKUP(E37,Deltakerliste!E$5:E$98,Deltakerliste!I$5:I$98)</f>
        <v>78</v>
      </c>
      <c r="G37" s="192">
        <f>_xlfn.XLOOKUP(E37,Deltakerliste!E$5:E$98,Deltakerliste!H$5:H$98)</f>
        <v>2</v>
      </c>
      <c r="H37" s="592">
        <f>VLOOKUP(F37,Deltakerliste!P$6:T$84,G37,FALSE)</f>
        <v>1.7550000000000001</v>
      </c>
      <c r="I37" s="86">
        <v>2.5000000000000001E-2</v>
      </c>
      <c r="J37" s="86"/>
      <c r="K37" s="17"/>
      <c r="L37" s="600">
        <f t="shared" si="2"/>
        <v>1.6666666666666666E-2</v>
      </c>
      <c r="M37" s="594">
        <f>IF(L37="Løype",Poengsammendrag!$F$2,IF(L37="Arr",Poengsammendrag!$F$3,IF(L37="Brutt",50,IF(L37="Disk",50,ROUND(MAXA(100*(MIN(L$10:L$89)/L37),50),0)))))</f>
        <v>51</v>
      </c>
      <c r="N37" s="724">
        <f t="shared" si="3"/>
        <v>9.4966761633428296E-3</v>
      </c>
      <c r="O37" s="596">
        <f>IF(N37="Løype",Poengsammendrag!$F$2,IF(N37="Arr",Poengsammendrag!$F$3,IF(N37="Brutt",50,IF(N37="Disk",50,ROUND(MAXA(100*(MIN(N$10:N$89)/N37),50),0)))))</f>
        <v>50</v>
      </c>
      <c r="S37" s="803" t="s">
        <v>103</v>
      </c>
      <c r="T37" s="736">
        <v>1.6666666666666666E-2</v>
      </c>
      <c r="U37" s="752">
        <v>51</v>
      </c>
      <c r="V37" s="781"/>
      <c r="W37" s="776" t="s">
        <v>103</v>
      </c>
      <c r="X37" s="740">
        <v>50</v>
      </c>
      <c r="AB37" s="828">
        <f t="shared" si="5"/>
        <v>82</v>
      </c>
      <c r="AC37" s="829">
        <f t="shared" si="4"/>
        <v>2</v>
      </c>
    </row>
    <row r="38" spans="2:29" ht="21" customHeight="1" thickBot="1" x14ac:dyDescent="0.3">
      <c r="B38" s="16">
        <f t="shared" si="0"/>
        <v>29</v>
      </c>
      <c r="C38" s="106" t="s">
        <v>251</v>
      </c>
      <c r="D38" s="107" t="s">
        <v>252</v>
      </c>
      <c r="E38" s="599" t="str">
        <f t="shared" si="1"/>
        <v>OttarKristiansen</v>
      </c>
      <c r="F38" s="192">
        <f>YEAR(I$5)-_xlfn.XLOOKUP(E38,Deltakerliste!E$5:E$98,Deltakerliste!I$5:I$98)</f>
        <v>76</v>
      </c>
      <c r="G38" s="192">
        <f>_xlfn.XLOOKUP(E38,Deltakerliste!E$5:E$98,Deltakerliste!H$5:H$98)</f>
        <v>2</v>
      </c>
      <c r="H38" s="592">
        <f>VLOOKUP(F38,Deltakerliste!P$6:T$84,G38,FALSE)</f>
        <v>1.655</v>
      </c>
      <c r="I38" s="86"/>
      <c r="J38" s="86">
        <v>3.5891203703703703E-2</v>
      </c>
      <c r="K38" s="17"/>
      <c r="L38" s="600">
        <f t="shared" si="2"/>
        <v>1.63141835016835E-2</v>
      </c>
      <c r="M38" s="594">
        <f>IF(L38="Løype",Poengsammendrag!$F$2,IF(L38="Arr",Poengsammendrag!$F$3,IF(L38="Brutt",50,IF(L38="Disk",50,ROUND(MAXA(100*(MIN(L$10:L$89)/L38),50),0)))))</f>
        <v>52</v>
      </c>
      <c r="N38" s="724">
        <f t="shared" si="3"/>
        <v>9.857512689838973E-3</v>
      </c>
      <c r="O38" s="596">
        <f>IF(N38="Løype",Poengsammendrag!$F$2,IF(N38="Arr",Poengsammendrag!$F$3,IF(N38="Brutt",50,IF(N38="Disk",50,ROUND(MAXA(100*(MIN(N$10:N$89)/N38),50),0)))))</f>
        <v>50</v>
      </c>
      <c r="S38" s="803" t="s">
        <v>108</v>
      </c>
      <c r="T38" s="736">
        <v>1.9004629629629632E-2</v>
      </c>
      <c r="U38" s="752">
        <v>50</v>
      </c>
      <c r="V38" s="781"/>
      <c r="W38" s="776" t="s">
        <v>251</v>
      </c>
      <c r="X38" s="740">
        <v>50</v>
      </c>
      <c r="AB38" s="828">
        <f t="shared" si="5"/>
        <v>83</v>
      </c>
      <c r="AC38" s="829">
        <f t="shared" si="4"/>
        <v>1</v>
      </c>
    </row>
    <row r="39" spans="2:29" ht="21" customHeight="1" thickBot="1" x14ac:dyDescent="0.3">
      <c r="B39" s="16">
        <f t="shared" si="0"/>
        <v>30</v>
      </c>
      <c r="C39" s="106" t="s">
        <v>170</v>
      </c>
      <c r="D39" s="107" t="s">
        <v>171</v>
      </c>
      <c r="E39" s="599" t="str">
        <f t="shared" si="1"/>
        <v>ØisteinÅsmul</v>
      </c>
      <c r="F39" s="192">
        <f>YEAR(I$5)-_xlfn.XLOOKUP(E39,Deltakerliste!E$5:E$98,Deltakerliste!I$5:I$98)</f>
        <v>80</v>
      </c>
      <c r="G39" s="192">
        <f>_xlfn.XLOOKUP(E39,Deltakerliste!E$5:E$98,Deltakerliste!H$5:H$98)</f>
        <v>2</v>
      </c>
      <c r="H39" s="592">
        <f>VLOOKUP(F39,Deltakerliste!P$6:T$84,G39,FALSE)</f>
        <v>1.8550000000000002</v>
      </c>
      <c r="I39" s="132">
        <v>3.0069444444444444E-2</v>
      </c>
      <c r="J39" s="132"/>
      <c r="K39" s="18"/>
      <c r="L39" s="600">
        <f t="shared" si="2"/>
        <v>2.0046296296296295E-2</v>
      </c>
      <c r="M39" s="594">
        <f>IF(L39="Løype",Poengsammendrag!$F$2,IF(L39="Arr",Poengsammendrag!$F$3,IF(L39="Brutt",50,IF(L39="Disk",50,ROUND(MAXA(100*(MIN(L$10:L$89)/L39),50),0)))))</f>
        <v>50</v>
      </c>
      <c r="N39" s="724">
        <f t="shared" si="3"/>
        <v>1.0806628731157031E-2</v>
      </c>
      <c r="O39" s="596">
        <f>IF(N39="Løype",Poengsammendrag!$F$2,IF(N39="Arr",Poengsammendrag!$F$3,IF(N39="Brutt",50,IF(N39="Disk",50,ROUND(MAXA(100*(MIN(N$10:N$89)/N39),50),0)))))</f>
        <v>50</v>
      </c>
      <c r="S39" s="803" t="s">
        <v>347</v>
      </c>
      <c r="T39" s="736">
        <v>2.0046296296296295E-2</v>
      </c>
      <c r="U39" s="752">
        <v>50</v>
      </c>
      <c r="V39" s="781"/>
      <c r="W39" s="776" t="s">
        <v>347</v>
      </c>
      <c r="X39" s="740">
        <v>50</v>
      </c>
      <c r="AB39" s="828">
        <f t="shared" si="5"/>
        <v>84</v>
      </c>
      <c r="AC39" s="829">
        <f t="shared" si="4"/>
        <v>1</v>
      </c>
    </row>
    <row r="40" spans="2:29" ht="21" thickBot="1" x14ac:dyDescent="0.3">
      <c r="B40" s="16">
        <f t="shared" si="0"/>
        <v>31</v>
      </c>
      <c r="C40" s="106" t="s">
        <v>72</v>
      </c>
      <c r="D40" s="107" t="s">
        <v>73</v>
      </c>
      <c r="E40" s="599" t="str">
        <f t="shared" si="1"/>
        <v>KåreEggereide</v>
      </c>
      <c r="F40" s="192">
        <f>YEAR(I$5)-_xlfn.XLOOKUP(E40,Deltakerliste!E$5:E$98,Deltakerliste!I$5:I$98)</f>
        <v>74</v>
      </c>
      <c r="G40" s="192">
        <f>_xlfn.XLOOKUP(E40,Deltakerliste!E$5:E$98,Deltakerliste!H$5:H$98)</f>
        <v>2</v>
      </c>
      <c r="H40" s="592">
        <f>VLOOKUP(F40,Deltakerliste!P$6:T$84,G40,FALSE)</f>
        <v>1.569</v>
      </c>
      <c r="I40" s="593"/>
      <c r="J40" s="13" t="s">
        <v>7</v>
      </c>
      <c r="K40" s="13"/>
      <c r="L40" s="600" t="str">
        <f t="shared" si="2"/>
        <v>Arr</v>
      </c>
      <c r="M40" s="594">
        <f>IF(L40="Løype",Poengsammendrag!$F$2,IF(L40="Arr",Poengsammendrag!$F$3,IF(L40="Brutt",50,IF(L40="Disk",50,ROUND(MAXA(100*(MIN(L$10:L$89)/L40),50),0)))))</f>
        <v>94</v>
      </c>
      <c r="N40" s="724" t="str">
        <f t="shared" si="3"/>
        <v>Arr</v>
      </c>
      <c r="O40" s="596">
        <f>IF(N40="Løype",Poengsammendrag!$F$2,IF(N40="Arr",Poengsammendrag!$F$3,IF(N40="Brutt",50,IF(N40="Disk",50,ROUND(MAXA(100*(MIN(N$10:N$89)/N40),50),0)))))</f>
        <v>94</v>
      </c>
      <c r="S40" s="803" t="s">
        <v>72</v>
      </c>
      <c r="T40" s="736" t="s">
        <v>7</v>
      </c>
      <c r="U40" s="752">
        <v>94</v>
      </c>
      <c r="V40" s="781"/>
      <c r="W40" s="776" t="s">
        <v>72</v>
      </c>
      <c r="X40" s="740">
        <v>94</v>
      </c>
      <c r="AB40" s="828">
        <f t="shared" si="5"/>
        <v>85</v>
      </c>
      <c r="AC40" s="829">
        <f t="shared" si="4"/>
        <v>1</v>
      </c>
    </row>
    <row r="41" spans="2:29" ht="21" thickBot="1" x14ac:dyDescent="0.3">
      <c r="B41" s="16">
        <f t="shared" si="0"/>
        <v>32</v>
      </c>
      <c r="C41" s="106" t="s">
        <v>159</v>
      </c>
      <c r="D41" s="107" t="s">
        <v>160</v>
      </c>
      <c r="E41" s="599" t="str">
        <f t="shared" si="1"/>
        <v>EigilSørli</v>
      </c>
      <c r="F41" s="192">
        <f>YEAR(I$5)-_xlfn.XLOOKUP(E41,Deltakerliste!E$5:E$98,Deltakerliste!I$5:I$98)</f>
        <v>85</v>
      </c>
      <c r="G41" s="192">
        <f>_xlfn.XLOOKUP(E41,Deltakerliste!E$5:E$98,Deltakerliste!H$5:H$98)</f>
        <v>2</v>
      </c>
      <c r="H41" s="592">
        <f>VLOOKUP(F41,Deltakerliste!P$6:T$84,G41,FALSE)</f>
        <v>2.2249999999999996</v>
      </c>
      <c r="I41" s="132"/>
      <c r="J41" s="18" t="s">
        <v>7</v>
      </c>
      <c r="K41" s="18"/>
      <c r="L41" s="600" t="str">
        <f t="shared" si="2"/>
        <v>Arr</v>
      </c>
      <c r="M41" s="594">
        <f>IF(L41="Løype",Poengsammendrag!$F$2,IF(L41="Arr",Poengsammendrag!$F$3,IF(L41="Brutt",50,IF(L41="Disk",50,ROUND(MAXA(100*(MIN(L$10:L$89)/L41),50),0)))))</f>
        <v>94</v>
      </c>
      <c r="N41" s="724" t="str">
        <f t="shared" si="3"/>
        <v>Arr</v>
      </c>
      <c r="O41" s="596">
        <f>IF(N41="Løype",Poengsammendrag!$F$2,IF(N41="Arr",Poengsammendrag!$F$3,IF(N41="Brutt",50,IF(N41="Disk",50,ROUND(MAXA(100*(MIN(N$10:N$89)/N41),50),0)))))</f>
        <v>94</v>
      </c>
      <c r="S41" s="803" t="s">
        <v>159</v>
      </c>
      <c r="T41" s="736" t="s">
        <v>7</v>
      </c>
      <c r="U41" s="752">
        <v>94</v>
      </c>
      <c r="V41" s="781"/>
      <c r="W41" s="776" t="s">
        <v>159</v>
      </c>
      <c r="X41" s="740">
        <v>94</v>
      </c>
      <c r="AB41" s="828">
        <f t="shared" si="5"/>
        <v>86</v>
      </c>
      <c r="AC41" s="829">
        <f t="shared" si="4"/>
        <v>1</v>
      </c>
    </row>
    <row r="42" spans="2:29" ht="21" customHeight="1" thickBot="1" x14ac:dyDescent="0.3">
      <c r="B42" s="16">
        <f t="shared" si="0"/>
        <v>33</v>
      </c>
      <c r="C42" s="106" t="s">
        <v>163</v>
      </c>
      <c r="D42" s="107" t="s">
        <v>164</v>
      </c>
      <c r="E42" s="599" t="str">
        <f t="shared" ref="E42:E73" si="6">_xlfn.CONCAT(C42:D42)</f>
        <v>ArnulfVilmo</v>
      </c>
      <c r="F42" s="192">
        <f>YEAR(I$5)-_xlfn.XLOOKUP(E42,Deltakerliste!E$5:E$98,Deltakerliste!I$5:I$98)</f>
        <v>72</v>
      </c>
      <c r="G42" s="192">
        <f>_xlfn.XLOOKUP(E42,Deltakerliste!E$5:E$98,Deltakerliste!H$5:H$98)</f>
        <v>2</v>
      </c>
      <c r="H42" s="592">
        <f>VLOOKUP(F42,Deltakerliste!P$6:T$84,G42,FALSE)</f>
        <v>1.4969999999999999</v>
      </c>
      <c r="I42" s="18"/>
      <c r="J42" s="132" t="s">
        <v>7</v>
      </c>
      <c r="K42" s="18"/>
      <c r="L42" s="600" t="str">
        <f t="shared" si="2"/>
        <v>Arr</v>
      </c>
      <c r="M42" s="594">
        <f>IF(L42="Løype",Poengsammendrag!$F$2,IF(L42="Arr",Poengsammendrag!$F$3,IF(L42="Brutt",50,IF(L42="Disk",50,ROUND(MAXA(100*(MIN(L$10:L$89)/L42),50),0)))))</f>
        <v>94</v>
      </c>
      <c r="N42" s="724" t="str">
        <f t="shared" si="3"/>
        <v>Arr</v>
      </c>
      <c r="O42" s="596">
        <f>IF(N42="Løype",Poengsammendrag!$F$2,IF(N42="Arr",Poengsammendrag!$F$3,IF(N42="Brutt",50,IF(N42="Disk",50,ROUND(MAXA(100*(MIN(N$10:N$89)/N42),50),0)))))</f>
        <v>94</v>
      </c>
      <c r="S42" s="803" t="s">
        <v>163</v>
      </c>
      <c r="T42" s="796" t="s">
        <v>7</v>
      </c>
      <c r="U42" s="765">
        <v>94</v>
      </c>
      <c r="V42" s="782"/>
      <c r="W42" s="777" t="s">
        <v>163</v>
      </c>
      <c r="X42" s="762">
        <v>94</v>
      </c>
      <c r="AB42" s="828">
        <f t="shared" si="5"/>
        <v>87</v>
      </c>
      <c r="AC42" s="829">
        <f t="shared" si="4"/>
        <v>0</v>
      </c>
    </row>
    <row r="43" spans="2:29" ht="21" thickBot="1" x14ac:dyDescent="0.3">
      <c r="B43" s="16">
        <f t="shared" si="0"/>
        <v>34</v>
      </c>
      <c r="C43" s="106" t="s">
        <v>130</v>
      </c>
      <c r="D43" s="107" t="s">
        <v>131</v>
      </c>
      <c r="E43" s="599" t="str">
        <f t="shared" si="6"/>
        <v>AtleMørk</v>
      </c>
      <c r="F43" s="192">
        <f>YEAR(I$5)-_xlfn.XLOOKUP(E43,Deltakerliste!E$5:E$98,Deltakerliste!I$5:I$98)</f>
        <v>76</v>
      </c>
      <c r="G43" s="192">
        <f>_xlfn.XLOOKUP(E43,Deltakerliste!E$5:E$98,Deltakerliste!H$5:H$98)</f>
        <v>2</v>
      </c>
      <c r="H43" s="592">
        <f>VLOOKUP(F43,Deltakerliste!P$6:T$84,G43,FALSE)</f>
        <v>1.655</v>
      </c>
      <c r="I43" s="132" t="s">
        <v>306</v>
      </c>
      <c r="J43" s="132"/>
      <c r="K43" s="132"/>
      <c r="L43" s="600" t="str">
        <f t="shared" si="2"/>
        <v>Brutt</v>
      </c>
      <c r="M43" s="594">
        <f>IF(L43="Løype",Poengsammendrag!$F$2,IF(L43="Arr",Poengsammendrag!$F$3,IF(L43="Brutt",50,IF(L43="Disk",50,ROUND(MAXA(100*(MIN(L$10:L$89)/L43),50),0)))))</f>
        <v>50</v>
      </c>
      <c r="N43" s="724" t="str">
        <f t="shared" si="3"/>
        <v>Brutt</v>
      </c>
      <c r="O43" s="596">
        <f>IF(N43="Løype",Poengsammendrag!$F$2,IF(N43="Arr",Poengsammendrag!$F$3,IF(N43="Brutt",50,IF(N43="Disk",50,ROUND(MAXA(100*(MIN(N$10:N$89)/N43),50),0)))))</f>
        <v>50</v>
      </c>
      <c r="S43" s="803" t="s">
        <v>130</v>
      </c>
      <c r="T43" s="797" t="s">
        <v>306</v>
      </c>
      <c r="U43" s="770">
        <v>50</v>
      </c>
      <c r="V43" s="778"/>
      <c r="W43" s="783" t="s">
        <v>130</v>
      </c>
      <c r="X43" s="740">
        <v>50</v>
      </c>
      <c r="AB43" s="828">
        <f t="shared" si="5"/>
        <v>88</v>
      </c>
      <c r="AC43" s="829">
        <f t="shared" si="4"/>
        <v>0</v>
      </c>
    </row>
    <row r="44" spans="2:29" ht="21" customHeight="1" thickBot="1" x14ac:dyDescent="0.3">
      <c r="B44" s="16">
        <f t="shared" si="0"/>
        <v>35</v>
      </c>
      <c r="C44" s="106" t="s">
        <v>82</v>
      </c>
      <c r="D44" s="107" t="s">
        <v>83</v>
      </c>
      <c r="E44" s="599" t="str">
        <f t="shared" si="6"/>
        <v>RoarForbord</v>
      </c>
      <c r="F44" s="192">
        <f>YEAR(I$5)-_xlfn.XLOOKUP(E44,Deltakerliste!E$5:E$98,Deltakerliste!I$5:I$98)</f>
        <v>82</v>
      </c>
      <c r="G44" s="192">
        <f>_xlfn.XLOOKUP(E44,Deltakerliste!E$5:E$98,Deltakerliste!H$5:H$98)</f>
        <v>2</v>
      </c>
      <c r="H44" s="592">
        <f>VLOOKUP(F44,Deltakerliste!P$6:T$84,G44,FALSE)</f>
        <v>2.0030000000000001</v>
      </c>
      <c r="I44" s="86"/>
      <c r="J44" s="86" t="s">
        <v>62</v>
      </c>
      <c r="K44" s="13"/>
      <c r="L44" s="600" t="str">
        <f t="shared" si="2"/>
        <v>Løype</v>
      </c>
      <c r="M44" s="594">
        <f>IF(L44="Løype",Poengsammendrag!$F$2,IF(L44="Arr",Poengsammendrag!$F$3,IF(L44="Brutt",50,IF(L44="Disk",50,ROUND(MAXA(100*(MIN(L$10:L$89)/L44),50),0)))))</f>
        <v>100</v>
      </c>
      <c r="N44" s="724" t="str">
        <f t="shared" si="3"/>
        <v>Løype</v>
      </c>
      <c r="O44" s="596">
        <f>IF(N44="Løype",Poengsammendrag!$F$2,IF(N44="Arr",Poengsammendrag!$F$3,IF(N44="Brutt",50,IF(N44="Disk",50,ROUND(MAXA(100*(MIN(N$10:N$89)/N44),50),0)))))</f>
        <v>100</v>
      </c>
      <c r="S44" s="803" t="s">
        <v>82</v>
      </c>
      <c r="T44" s="797" t="s">
        <v>62</v>
      </c>
      <c r="U44" s="770">
        <v>100</v>
      </c>
      <c r="V44" s="772"/>
      <c r="W44" s="783" t="s">
        <v>82</v>
      </c>
      <c r="X44" s="740">
        <v>100</v>
      </c>
      <c r="AB44" s="828">
        <f t="shared" si="5"/>
        <v>89</v>
      </c>
      <c r="AC44" s="829">
        <f t="shared" si="4"/>
        <v>0</v>
      </c>
    </row>
    <row r="45" spans="2:29" ht="21" thickBot="1" x14ac:dyDescent="0.3">
      <c r="B45" s="16">
        <f t="shared" si="0"/>
        <v>36</v>
      </c>
      <c r="C45" s="106" t="s">
        <v>166</v>
      </c>
      <c r="D45" s="107" t="s">
        <v>167</v>
      </c>
      <c r="E45" s="599" t="str">
        <f t="shared" si="6"/>
        <v>GunnarØsterbø</v>
      </c>
      <c r="F45" s="192">
        <f>YEAR(I$5)-_xlfn.XLOOKUP(E45,Deltakerliste!E$5:E$98,Deltakerliste!I$5:I$98)</f>
        <v>86</v>
      </c>
      <c r="G45" s="192">
        <f>_xlfn.XLOOKUP(E45,Deltakerliste!E$5:E$98,Deltakerliste!H$5:H$98)</f>
        <v>2</v>
      </c>
      <c r="H45" s="592">
        <f>VLOOKUP(F45,Deltakerliste!P$6:T$84,G45,FALSE)</f>
        <v>2.3089999999999997</v>
      </c>
      <c r="I45" s="18"/>
      <c r="J45" s="132"/>
      <c r="K45" s="18"/>
      <c r="L45" s="600"/>
      <c r="M45" s="594"/>
      <c r="N45" s="724"/>
      <c r="O45" s="596"/>
      <c r="S45" s="803"/>
      <c r="T45" s="797"/>
      <c r="U45" s="770"/>
      <c r="V45" s="772"/>
      <c r="W45" s="783"/>
      <c r="X45" s="740"/>
      <c r="AB45" s="828">
        <f t="shared" si="5"/>
        <v>90</v>
      </c>
      <c r="AC45" s="829">
        <f t="shared" si="4"/>
        <v>0</v>
      </c>
    </row>
    <row r="46" spans="2:29" ht="21" thickBot="1" x14ac:dyDescent="0.3">
      <c r="B46" s="16">
        <f t="shared" si="0"/>
        <v>37</v>
      </c>
      <c r="C46" s="106" t="s">
        <v>216</v>
      </c>
      <c r="D46" s="107" t="s">
        <v>77</v>
      </c>
      <c r="E46" s="599" t="str">
        <f t="shared" si="6"/>
        <v>Åse RitaEllingsen</v>
      </c>
      <c r="F46" s="192">
        <f>YEAR(I$5)-_xlfn.XLOOKUP(E46,Deltakerliste!E$5:E$98,Deltakerliste!I$5:I$98)</f>
        <v>61</v>
      </c>
      <c r="G46" s="192">
        <f>_xlfn.XLOOKUP(E46,Deltakerliste!E$5:E$98,Deltakerliste!H$5:H$98)</f>
        <v>4</v>
      </c>
      <c r="H46" s="592">
        <f>VLOOKUP(F46,Deltakerliste!P$6:T$84,G46,FALSE)</f>
        <v>1.6542000000000003</v>
      </c>
      <c r="I46" s="593"/>
      <c r="J46" s="14"/>
      <c r="K46" s="13"/>
      <c r="L46" s="600"/>
      <c r="M46" s="594"/>
      <c r="N46" s="724"/>
      <c r="O46" s="596"/>
      <c r="S46" s="803"/>
      <c r="T46" s="797"/>
      <c r="U46" s="770"/>
      <c r="V46" s="772"/>
      <c r="W46" s="783"/>
      <c r="X46" s="740"/>
      <c r="AB46" s="828">
        <f t="shared" si="5"/>
        <v>91</v>
      </c>
      <c r="AC46" s="829">
        <f t="shared" si="4"/>
        <v>0</v>
      </c>
    </row>
    <row r="47" spans="2:29" ht="21" customHeight="1" thickBot="1" x14ac:dyDescent="0.3">
      <c r="B47" s="16">
        <f t="shared" si="0"/>
        <v>38</v>
      </c>
      <c r="C47" s="106" t="s">
        <v>60</v>
      </c>
      <c r="D47" s="107" t="s">
        <v>61</v>
      </c>
      <c r="E47" s="599" t="str">
        <f t="shared" si="6"/>
        <v>JosteinAlvestad</v>
      </c>
      <c r="F47" s="192">
        <f>YEAR(I$5)-_xlfn.XLOOKUP(E47,Deltakerliste!E$5:E$98,Deltakerliste!I$5:I$98)</f>
        <v>70</v>
      </c>
      <c r="G47" s="192">
        <f>_xlfn.XLOOKUP(E47,Deltakerliste!E$5:E$98,Deltakerliste!H$5:H$98)</f>
        <v>2</v>
      </c>
      <c r="H47" s="592">
        <f>VLOOKUP(F47,Deltakerliste!P$6:T$84,G47,FALSE)</f>
        <v>1.4249999999999998</v>
      </c>
      <c r="I47" s="13"/>
      <c r="J47" s="13"/>
      <c r="K47" s="17"/>
      <c r="L47" s="600"/>
      <c r="M47" s="594"/>
      <c r="N47" s="724"/>
      <c r="O47" s="596"/>
      <c r="S47" s="803"/>
      <c r="T47" s="797"/>
      <c r="U47" s="770"/>
      <c r="V47" s="772"/>
      <c r="W47" s="783"/>
      <c r="X47" s="740"/>
      <c r="AB47" s="828">
        <f t="shared" si="5"/>
        <v>92</v>
      </c>
      <c r="AC47" s="829">
        <f t="shared" si="4"/>
        <v>0</v>
      </c>
    </row>
    <row r="48" spans="2:29" ht="21" customHeight="1" thickBot="1" x14ac:dyDescent="0.3">
      <c r="B48" s="16">
        <f t="shared" si="0"/>
        <v>39</v>
      </c>
      <c r="C48" s="106" t="s">
        <v>64</v>
      </c>
      <c r="D48" s="107" t="s">
        <v>65</v>
      </c>
      <c r="E48" s="599" t="str">
        <f t="shared" si="6"/>
        <v>BjørnBerger</v>
      </c>
      <c r="F48" s="192">
        <f>YEAR(I$5)-_xlfn.XLOOKUP(E48,Deltakerliste!E$5:E$98,Deltakerliste!I$5:I$98)</f>
        <v>74</v>
      </c>
      <c r="G48" s="192">
        <f>_xlfn.XLOOKUP(E48,Deltakerliste!E$5:E$98,Deltakerliste!H$5:H$98)</f>
        <v>2</v>
      </c>
      <c r="H48" s="592">
        <f>VLOOKUP(F48,Deltakerliste!P$6:T$84,G48,FALSE)</f>
        <v>1.569</v>
      </c>
      <c r="I48" s="13"/>
      <c r="J48" s="13"/>
      <c r="K48" s="19"/>
      <c r="L48" s="600"/>
      <c r="M48" s="594"/>
      <c r="N48" s="724"/>
      <c r="O48" s="596"/>
      <c r="S48" s="803"/>
      <c r="T48" s="797"/>
      <c r="U48" s="770"/>
      <c r="V48" s="772"/>
      <c r="W48" s="783"/>
      <c r="X48" s="740"/>
      <c r="AB48" s="828">
        <f t="shared" si="5"/>
        <v>93</v>
      </c>
      <c r="AC48" s="829">
        <f t="shared" si="4"/>
        <v>0</v>
      </c>
    </row>
    <row r="49" spans="2:29" ht="21" customHeight="1" thickBot="1" x14ac:dyDescent="0.3">
      <c r="B49" s="16">
        <f t="shared" si="0"/>
        <v>40</v>
      </c>
      <c r="C49" s="106" t="s">
        <v>66</v>
      </c>
      <c r="D49" s="107" t="s">
        <v>67</v>
      </c>
      <c r="E49" s="599" t="str">
        <f t="shared" si="6"/>
        <v>FrankBjarkø</v>
      </c>
      <c r="F49" s="192">
        <f>YEAR(I$5)-_xlfn.XLOOKUP(E49,Deltakerliste!E$5:E$98,Deltakerliste!I$5:I$98)</f>
        <v>73</v>
      </c>
      <c r="G49" s="192">
        <f>_xlfn.XLOOKUP(E49,Deltakerliste!E$5:E$98,Deltakerliste!H$5:H$98)</f>
        <v>2</v>
      </c>
      <c r="H49" s="592">
        <f>VLOOKUP(F49,Deltakerliste!P$6:T$84,G49,FALSE)</f>
        <v>1.5329999999999999</v>
      </c>
      <c r="I49" s="13"/>
      <c r="J49" s="13"/>
      <c r="K49" s="13"/>
      <c r="L49" s="600"/>
      <c r="M49" s="594"/>
      <c r="N49" s="724"/>
      <c r="O49" s="596"/>
      <c r="S49" s="803"/>
      <c r="T49" s="796"/>
      <c r="U49" s="793"/>
      <c r="V49" s="794"/>
      <c r="W49" s="795"/>
      <c r="X49" s="762"/>
      <c r="AB49" s="828">
        <f t="shared" si="5"/>
        <v>94</v>
      </c>
      <c r="AC49" s="829">
        <f t="shared" si="4"/>
        <v>0</v>
      </c>
    </row>
    <row r="50" spans="2:29" ht="21" thickBot="1" x14ac:dyDescent="0.3">
      <c r="B50" s="16">
        <f t="shared" si="0"/>
        <v>41</v>
      </c>
      <c r="C50" s="106" t="s">
        <v>364</v>
      </c>
      <c r="D50" s="107" t="s">
        <v>365</v>
      </c>
      <c r="E50" s="599" t="str">
        <f t="shared" si="6"/>
        <v>GerdBjørset</v>
      </c>
      <c r="F50" s="192">
        <f>YEAR(I$5)-_xlfn.XLOOKUP(E50,Deltakerliste!E$5:E$98,Deltakerliste!I$5:I$98)</f>
        <v>71</v>
      </c>
      <c r="G50" s="192">
        <f>_xlfn.XLOOKUP(E50,Deltakerliste!E$5:E$98,Deltakerliste!H$5:H$98)</f>
        <v>4</v>
      </c>
      <c r="H50" s="592">
        <f>VLOOKUP(F50,Deltakerliste!P$6:T$84,G50,FALSE)</f>
        <v>1.9926000000000013</v>
      </c>
      <c r="I50" s="13"/>
      <c r="J50" s="13"/>
      <c r="K50" s="13"/>
      <c r="L50" s="600"/>
      <c r="M50" s="594"/>
      <c r="N50" s="724"/>
      <c r="O50" s="596"/>
      <c r="S50" s="803"/>
      <c r="T50" s="851"/>
      <c r="U50" s="770"/>
      <c r="V50" s="772"/>
      <c r="W50" s="783"/>
      <c r="X50" s="740"/>
      <c r="AB50" s="830">
        <f t="shared" si="5"/>
        <v>95</v>
      </c>
      <c r="AC50" s="831">
        <f t="shared" si="4"/>
        <v>0</v>
      </c>
    </row>
    <row r="51" spans="2:29" ht="21" customHeight="1" thickBot="1" x14ac:dyDescent="0.3">
      <c r="B51" s="16">
        <f t="shared" si="0"/>
        <v>42</v>
      </c>
      <c r="C51" s="106" t="s">
        <v>64</v>
      </c>
      <c r="D51" s="107" t="s">
        <v>267</v>
      </c>
      <c r="E51" s="599" t="str">
        <f t="shared" si="6"/>
        <v>BjørnBrenne</v>
      </c>
      <c r="F51" s="192">
        <f>YEAR(I$5)-_xlfn.XLOOKUP(E51,Deltakerliste!E$5:E$98,Deltakerliste!I$5:I$98)</f>
        <v>80</v>
      </c>
      <c r="G51" s="192">
        <f>_xlfn.XLOOKUP(E51,Deltakerliste!E$5:E$98,Deltakerliste!H$5:H$98)</f>
        <v>2</v>
      </c>
      <c r="H51" s="592">
        <f>VLOOKUP(F51,Deltakerliste!P$6:T$84,G51,FALSE)</f>
        <v>1.8550000000000002</v>
      </c>
      <c r="I51" s="86"/>
      <c r="J51" s="86"/>
      <c r="K51" s="13"/>
      <c r="L51" s="600"/>
      <c r="M51" s="594"/>
      <c r="N51" s="724"/>
      <c r="O51" s="596"/>
      <c r="S51" s="803"/>
      <c r="T51" s="797"/>
      <c r="U51" s="770"/>
      <c r="V51" s="772"/>
      <c r="W51" s="783"/>
      <c r="X51" s="740"/>
    </row>
    <row r="52" spans="2:29" ht="21" thickBot="1" x14ac:dyDescent="0.3">
      <c r="B52" s="16">
        <f t="shared" si="0"/>
        <v>43</v>
      </c>
      <c r="C52" s="106" t="s">
        <v>70</v>
      </c>
      <c r="D52" s="107" t="s">
        <v>71</v>
      </c>
      <c r="E52" s="599" t="str">
        <f t="shared" si="6"/>
        <v>TrondDamås</v>
      </c>
      <c r="F52" s="192">
        <f>YEAR(I$5)-_xlfn.XLOOKUP(E52,Deltakerliste!E$5:E$98,Deltakerliste!I$5:I$98)</f>
        <v>75</v>
      </c>
      <c r="G52" s="192">
        <f>_xlfn.XLOOKUP(E52,Deltakerliste!E$5:E$98,Deltakerliste!H$5:H$98)</f>
        <v>2</v>
      </c>
      <c r="H52" s="592">
        <f>VLOOKUP(F52,Deltakerliste!P$6:T$84,G52,FALSE)</f>
        <v>1.605</v>
      </c>
      <c r="I52" s="13"/>
      <c r="J52" s="13"/>
      <c r="K52" s="13"/>
      <c r="L52" s="600"/>
      <c r="M52" s="594"/>
      <c r="N52" s="724"/>
      <c r="O52" s="596"/>
      <c r="S52" s="803"/>
      <c r="T52" s="798"/>
      <c r="U52" s="770"/>
      <c r="V52" s="772"/>
      <c r="W52" s="783"/>
      <c r="X52" s="740"/>
      <c r="AC52" s="651">
        <f>SUM(AC10:AC50)</f>
        <v>35</v>
      </c>
    </row>
    <row r="53" spans="2:29" ht="21" thickBot="1" x14ac:dyDescent="0.3">
      <c r="B53" s="16">
        <f t="shared" si="0"/>
        <v>44</v>
      </c>
      <c r="C53" s="106" t="s">
        <v>74</v>
      </c>
      <c r="D53" s="107" t="s">
        <v>75</v>
      </c>
      <c r="E53" s="599" t="str">
        <f t="shared" si="6"/>
        <v>StinaElfving</v>
      </c>
      <c r="F53" s="192">
        <f>YEAR(I$5)-_xlfn.XLOOKUP(E53,Deltakerliste!E$5:E$98,Deltakerliste!I$5:I$98)</f>
        <v>75</v>
      </c>
      <c r="G53" s="192">
        <f>_xlfn.XLOOKUP(E53,Deltakerliste!E$5:E$98,Deltakerliste!H$5:H$98)</f>
        <v>4</v>
      </c>
      <c r="H53" s="592">
        <f>VLOOKUP(F53,Deltakerliste!P$6:T$84,G53,FALSE)</f>
        <v>2.1670000000000016</v>
      </c>
      <c r="I53" s="13"/>
      <c r="J53" s="13"/>
      <c r="K53" s="17"/>
      <c r="L53" s="600"/>
      <c r="M53" s="594"/>
      <c r="N53" s="724"/>
      <c r="O53" s="596"/>
      <c r="S53" s="803"/>
      <c r="T53" s="798"/>
      <c r="U53" s="770"/>
      <c r="V53" s="772"/>
      <c r="W53" s="783"/>
      <c r="X53" s="740"/>
    </row>
    <row r="54" spans="2:29" ht="21" thickBot="1" x14ac:dyDescent="0.3">
      <c r="B54" s="16">
        <f t="shared" si="0"/>
        <v>45</v>
      </c>
      <c r="C54" s="106" t="s">
        <v>271</v>
      </c>
      <c r="D54" s="107" t="s">
        <v>272</v>
      </c>
      <c r="E54" s="599" t="str">
        <f t="shared" si="6"/>
        <v>Arne KjellFoldvik</v>
      </c>
      <c r="F54" s="192">
        <f>YEAR(I$5)-_xlfn.XLOOKUP(E54,Deltakerliste!E$5:E$98,Deltakerliste!I$5:I$98)</f>
        <v>91</v>
      </c>
      <c r="G54" s="192">
        <f>_xlfn.XLOOKUP(E54,Deltakerliste!E$5:E$98,Deltakerliste!H$5:H$98)</f>
        <v>2</v>
      </c>
      <c r="H54" s="592">
        <f>VLOOKUP(F54,Deltakerliste!P$6:T$84,G54,FALSE)</f>
        <v>2.7290000000000001</v>
      </c>
      <c r="I54" s="14"/>
      <c r="J54" s="14"/>
      <c r="K54" s="13"/>
      <c r="L54" s="600"/>
      <c r="M54" s="594"/>
      <c r="N54" s="724"/>
      <c r="O54" s="596"/>
      <c r="S54" s="846"/>
      <c r="T54" s="847"/>
      <c r="U54" s="848"/>
      <c r="V54" s="778"/>
      <c r="W54" s="849"/>
      <c r="X54" s="850"/>
    </row>
    <row r="55" spans="2:29" ht="21" customHeight="1" thickBot="1" x14ac:dyDescent="0.3">
      <c r="B55" s="16">
        <f t="shared" si="0"/>
        <v>46</v>
      </c>
      <c r="C55" s="106" t="s">
        <v>84</v>
      </c>
      <c r="D55" s="107" t="s">
        <v>85</v>
      </c>
      <c r="E55" s="599" t="str">
        <f t="shared" si="6"/>
        <v>PaulForseth</v>
      </c>
      <c r="F55" s="192">
        <f>YEAR(I$5)-_xlfn.XLOOKUP(E55,Deltakerliste!E$5:E$98,Deltakerliste!I$5:I$98)</f>
        <v>93</v>
      </c>
      <c r="G55" s="192">
        <f>_xlfn.XLOOKUP(E55,Deltakerliste!E$5:E$98,Deltakerliste!H$5:H$98)</f>
        <v>2</v>
      </c>
      <c r="H55" s="592">
        <f>VLOOKUP(F55,Deltakerliste!P$6:T$84,G55,FALSE)</f>
        <v>2.8970000000000002</v>
      </c>
      <c r="I55" s="86"/>
      <c r="J55" s="86"/>
      <c r="K55" s="17"/>
      <c r="L55" s="600"/>
      <c r="M55" s="594"/>
      <c r="N55" s="724"/>
      <c r="O55" s="596"/>
      <c r="S55" s="803"/>
      <c r="T55" s="798"/>
      <c r="U55" s="770"/>
      <c r="V55" s="772"/>
      <c r="W55" s="783"/>
      <c r="X55" s="740"/>
    </row>
    <row r="56" spans="2:29" ht="21" thickBot="1" x14ac:dyDescent="0.3">
      <c r="B56" s="16">
        <f t="shared" si="0"/>
        <v>47</v>
      </c>
      <c r="C56" s="106" t="s">
        <v>86</v>
      </c>
      <c r="D56" s="107" t="s">
        <v>87</v>
      </c>
      <c r="E56" s="599" t="str">
        <f t="shared" si="6"/>
        <v>KristianFougner</v>
      </c>
      <c r="F56" s="192">
        <f>YEAR(I$5)-_xlfn.XLOOKUP(E56,Deltakerliste!E$5:E$98,Deltakerliste!I$5:I$98)</f>
        <v>75</v>
      </c>
      <c r="G56" s="192">
        <f>_xlfn.XLOOKUP(E56,Deltakerliste!E$5:E$98,Deltakerliste!H$5:H$98)</f>
        <v>2</v>
      </c>
      <c r="H56" s="592">
        <f>VLOOKUP(F56,Deltakerliste!P$6:T$84,G56,FALSE)</f>
        <v>1.605</v>
      </c>
      <c r="I56" s="86"/>
      <c r="J56" s="86"/>
      <c r="K56" s="13"/>
      <c r="L56" s="600"/>
      <c r="M56" s="594"/>
      <c r="N56" s="724"/>
      <c r="O56" s="596"/>
      <c r="S56" s="803"/>
      <c r="T56" s="798"/>
      <c r="U56" s="770"/>
      <c r="V56" s="772"/>
      <c r="W56" s="783"/>
      <c r="X56" s="740"/>
    </row>
    <row r="57" spans="2:29" ht="21" thickBot="1" x14ac:dyDescent="0.3">
      <c r="B57" s="16">
        <f t="shared" si="0"/>
        <v>48</v>
      </c>
      <c r="C57" s="106" t="s">
        <v>88</v>
      </c>
      <c r="D57" s="107" t="s">
        <v>89</v>
      </c>
      <c r="E57" s="599" t="str">
        <f t="shared" si="6"/>
        <v>EdgarFuruholt</v>
      </c>
      <c r="F57" s="192">
        <f>YEAR(I$5)-_xlfn.XLOOKUP(E57,Deltakerliste!E$5:E$98,Deltakerliste!I$5:I$98)</f>
        <v>78</v>
      </c>
      <c r="G57" s="192">
        <f>_xlfn.XLOOKUP(E57,Deltakerliste!E$5:E$98,Deltakerliste!H$5:H$98)</f>
        <v>2</v>
      </c>
      <c r="H57" s="592">
        <f>VLOOKUP(F57,Deltakerliste!P$6:T$84,G57,FALSE)</f>
        <v>1.7550000000000001</v>
      </c>
      <c r="I57" s="18"/>
      <c r="J57" s="132"/>
      <c r="K57" s="18"/>
      <c r="L57" s="600"/>
      <c r="M57" s="594"/>
      <c r="N57" s="724"/>
      <c r="O57" s="596"/>
      <c r="S57" s="804"/>
      <c r="T57" s="801"/>
      <c r="U57" s="771"/>
      <c r="V57" s="773"/>
      <c r="W57" s="784"/>
      <c r="X57" s="741"/>
    </row>
    <row r="58" spans="2:29" ht="20" customHeight="1" thickBot="1" x14ac:dyDescent="0.3">
      <c r="B58" s="16">
        <f t="shared" si="0"/>
        <v>49</v>
      </c>
      <c r="C58" s="106" t="s">
        <v>207</v>
      </c>
      <c r="D58" s="107" t="s">
        <v>89</v>
      </c>
      <c r="E58" s="599" t="str">
        <f t="shared" si="6"/>
        <v>AnneFuruholt</v>
      </c>
      <c r="F58" s="192">
        <f>YEAR(I$5)-_xlfn.XLOOKUP(E58,Deltakerliste!E$5:E$98,Deltakerliste!I$5:I$98)</f>
        <v>78</v>
      </c>
      <c r="G58" s="192">
        <f>_xlfn.XLOOKUP(E58,Deltakerliste!E$5:E$98,Deltakerliste!H$5:H$98)</f>
        <v>4</v>
      </c>
      <c r="H58" s="592">
        <f>VLOOKUP(F58,Deltakerliste!P$6:T$84,G58,FALSE)</f>
        <v>2.3398000000000012</v>
      </c>
      <c r="I58" s="13"/>
      <c r="J58" s="13"/>
      <c r="K58" s="13"/>
      <c r="L58" s="600"/>
      <c r="M58" s="594"/>
      <c r="N58" s="724"/>
      <c r="O58" s="596"/>
    </row>
    <row r="59" spans="2:29" ht="21" thickBot="1" x14ac:dyDescent="0.3">
      <c r="B59" s="16">
        <f t="shared" si="0"/>
        <v>50</v>
      </c>
      <c r="C59" s="106" t="s">
        <v>116</v>
      </c>
      <c r="D59" s="107" t="s">
        <v>353</v>
      </c>
      <c r="E59" s="599" t="str">
        <f t="shared" si="6"/>
        <v>AndersGjermo</v>
      </c>
      <c r="F59" s="192">
        <f>YEAR(I$5)-_xlfn.XLOOKUP(E59,Deltakerliste!E$5:E$98,Deltakerliste!I$5:I$98)</f>
        <v>67</v>
      </c>
      <c r="G59" s="192">
        <f>_xlfn.XLOOKUP(E59,Deltakerliste!E$5:E$98,Deltakerliste!H$5:H$98)</f>
        <v>2</v>
      </c>
      <c r="H59" s="592">
        <f>VLOOKUP(F59,Deltakerliste!P$6:T$84,G59,FALSE)</f>
        <v>1.3469999999999998</v>
      </c>
      <c r="I59" s="132"/>
      <c r="J59" s="132"/>
      <c r="K59" s="18"/>
      <c r="L59" s="600"/>
      <c r="M59" s="594"/>
      <c r="N59" s="724"/>
      <c r="O59" s="596"/>
    </row>
    <row r="60" spans="2:29" ht="21" customHeight="1" thickBot="1" x14ac:dyDescent="0.3">
      <c r="B60" s="16">
        <f t="shared" si="0"/>
        <v>51</v>
      </c>
      <c r="C60" s="106" t="s">
        <v>92</v>
      </c>
      <c r="D60" s="107" t="s">
        <v>93</v>
      </c>
      <c r="E60" s="599" t="str">
        <f t="shared" si="6"/>
        <v>Jens ØysteinGjersvold</v>
      </c>
      <c r="F60" s="192">
        <f>YEAR(I$5)-_xlfn.XLOOKUP(E60,Deltakerliste!E$5:E$98,Deltakerliste!I$5:I$98)</f>
        <v>73</v>
      </c>
      <c r="G60" s="192">
        <f>_xlfn.XLOOKUP(E60,Deltakerliste!E$5:E$98,Deltakerliste!H$5:H$98)</f>
        <v>2</v>
      </c>
      <c r="H60" s="592">
        <f>VLOOKUP(F60,Deltakerliste!P$6:T$84,G60,FALSE)</f>
        <v>1.5329999999999999</v>
      </c>
      <c r="I60" s="14"/>
      <c r="J60" s="14"/>
      <c r="K60" s="18"/>
      <c r="L60" s="600"/>
      <c r="M60" s="594"/>
      <c r="N60" s="724"/>
      <c r="O60" s="596"/>
    </row>
    <row r="61" spans="2:29" ht="21" customHeight="1" thickBot="1" x14ac:dyDescent="0.3">
      <c r="B61" s="16">
        <f t="shared" si="0"/>
        <v>52</v>
      </c>
      <c r="C61" s="106" t="s">
        <v>60</v>
      </c>
      <c r="D61" s="107" t="s">
        <v>372</v>
      </c>
      <c r="E61" s="599" t="str">
        <f t="shared" si="6"/>
        <v>JosteinGrepstad</v>
      </c>
      <c r="F61" s="192">
        <f>YEAR(I$5)-_xlfn.XLOOKUP(E61,Deltakerliste!E$5:E$98,Deltakerliste!I$5:I$98)</f>
        <v>74</v>
      </c>
      <c r="G61" s="192">
        <f>_xlfn.XLOOKUP(E61,Deltakerliste!E$5:E$98,Deltakerliste!H$5:H$98)</f>
        <v>2</v>
      </c>
      <c r="H61" s="592">
        <f>VLOOKUP(F61,Deltakerliste!P$6:T$84,G61,FALSE)</f>
        <v>1.569</v>
      </c>
      <c r="I61" s="14"/>
      <c r="J61" s="14"/>
      <c r="K61" s="18"/>
      <c r="L61" s="600"/>
      <c r="M61" s="594"/>
      <c r="N61" s="724"/>
      <c r="O61" s="596"/>
    </row>
    <row r="62" spans="2:29" ht="21" customHeight="1" thickBot="1" x14ac:dyDescent="0.3">
      <c r="B62" s="16">
        <f t="shared" si="0"/>
        <v>53</v>
      </c>
      <c r="C62" s="106" t="s">
        <v>64</v>
      </c>
      <c r="D62" s="107" t="s">
        <v>366</v>
      </c>
      <c r="E62" s="599" t="str">
        <f t="shared" si="6"/>
        <v>BjørnHafskjold</v>
      </c>
      <c r="F62" s="192">
        <f>YEAR(I$5)-_xlfn.XLOOKUP(E62,Deltakerliste!E$5:E$98,Deltakerliste!I$5:I$98)</f>
        <v>78</v>
      </c>
      <c r="G62" s="192">
        <f>_xlfn.XLOOKUP(E62,Deltakerliste!E$5:E$98,Deltakerliste!H$5:H$98)</f>
        <v>2</v>
      </c>
      <c r="H62" s="592">
        <f>VLOOKUP(F62,Deltakerliste!P$6:T$84,G62,FALSE)</f>
        <v>1.7550000000000001</v>
      </c>
      <c r="I62" s="14"/>
      <c r="J62" s="14"/>
      <c r="K62" s="18"/>
      <c r="L62" s="600"/>
      <c r="M62" s="594"/>
      <c r="N62" s="724"/>
      <c r="O62" s="596"/>
    </row>
    <row r="63" spans="2:29" ht="21" thickBot="1" x14ac:dyDescent="0.3">
      <c r="B63" s="16">
        <f t="shared" si="0"/>
        <v>54</v>
      </c>
      <c r="C63" s="106" t="s">
        <v>342</v>
      </c>
      <c r="D63" s="107" t="s">
        <v>343</v>
      </c>
      <c r="E63" s="599" t="str">
        <f t="shared" si="6"/>
        <v>ArildHeggeset</v>
      </c>
      <c r="F63" s="192">
        <f>YEAR(I$5)-_xlfn.XLOOKUP(E63,Deltakerliste!E$5:E$98,Deltakerliste!I$5:I$98)</f>
        <v>58</v>
      </c>
      <c r="G63" s="192">
        <f>_xlfn.XLOOKUP(E63,Deltakerliste!E$5:E$98,Deltakerliste!H$5:H$98)</f>
        <v>2</v>
      </c>
      <c r="H63" s="592">
        <f>VLOOKUP(F63,Deltakerliste!P$6:T$84,G63,FALSE)</f>
        <v>1.1720000000000002</v>
      </c>
      <c r="I63" s="86"/>
      <c r="J63" s="86"/>
      <c r="K63" s="13"/>
      <c r="L63" s="600"/>
      <c r="M63" s="594"/>
      <c r="N63" s="724"/>
      <c r="O63" s="596"/>
    </row>
    <row r="64" spans="2:29" ht="21" thickBot="1" x14ac:dyDescent="0.3">
      <c r="B64" s="16">
        <f t="shared" si="0"/>
        <v>55</v>
      </c>
      <c r="C64" s="106" t="s">
        <v>99</v>
      </c>
      <c r="D64" s="107" t="s">
        <v>100</v>
      </c>
      <c r="E64" s="599" t="str">
        <f t="shared" si="6"/>
        <v>RobertHirsch</v>
      </c>
      <c r="F64" s="192">
        <f>YEAR(I$5)-_xlfn.XLOOKUP(E64,Deltakerliste!E$5:E$98,Deltakerliste!I$5:I$98)</f>
        <v>68</v>
      </c>
      <c r="G64" s="192">
        <f>_xlfn.XLOOKUP(E64,Deltakerliste!E$5:E$98,Deltakerliste!H$5:H$98)</f>
        <v>2</v>
      </c>
      <c r="H64" s="592">
        <f>VLOOKUP(F64,Deltakerliste!P$6:T$84,G64,FALSE)</f>
        <v>1.3729999999999998</v>
      </c>
      <c r="I64" s="86"/>
      <c r="J64" s="86"/>
      <c r="K64" s="13"/>
      <c r="L64" s="600"/>
      <c r="M64" s="594"/>
      <c r="N64" s="724"/>
      <c r="O64" s="596"/>
    </row>
    <row r="65" spans="2:17" ht="21" thickBot="1" x14ac:dyDescent="0.3">
      <c r="B65" s="16">
        <f t="shared" si="0"/>
        <v>56</v>
      </c>
      <c r="C65" s="106" t="s">
        <v>101</v>
      </c>
      <c r="D65" s="107" t="s">
        <v>102</v>
      </c>
      <c r="E65" s="599" t="str">
        <f t="shared" si="6"/>
        <v>EvenHofstad</v>
      </c>
      <c r="F65" s="192">
        <f>YEAR(I$5)-_xlfn.XLOOKUP(E65,Deltakerliste!E$5:E$98,Deltakerliste!I$5:I$98)</f>
        <v>71</v>
      </c>
      <c r="G65" s="192">
        <f>_xlfn.XLOOKUP(E65,Deltakerliste!E$5:E$98,Deltakerliste!H$5:H$98)</f>
        <v>2</v>
      </c>
      <c r="H65" s="592">
        <f>VLOOKUP(F65,Deltakerliste!P$6:T$84,G65,FALSE)</f>
        <v>1.4609999999999999</v>
      </c>
      <c r="I65" s="86"/>
      <c r="J65" s="86"/>
      <c r="K65" s="13"/>
      <c r="L65" s="600"/>
      <c r="M65" s="594"/>
      <c r="N65" s="724"/>
      <c r="O65" s="596"/>
    </row>
    <row r="66" spans="2:17" ht="21" thickBot="1" x14ac:dyDescent="0.3">
      <c r="B66" s="16">
        <f t="shared" si="0"/>
        <v>57</v>
      </c>
      <c r="C66" s="106" t="s">
        <v>269</v>
      </c>
      <c r="D66" s="107" t="s">
        <v>270</v>
      </c>
      <c r="E66" s="599" t="str">
        <f t="shared" si="6"/>
        <v>Per OlavJohansen</v>
      </c>
      <c r="F66" s="192">
        <f>YEAR(I$5)-_xlfn.XLOOKUP(E66,Deltakerliste!E$5:E$98,Deltakerliste!I$5:I$98)</f>
        <v>67</v>
      </c>
      <c r="G66" s="192">
        <f>_xlfn.XLOOKUP(E66,Deltakerliste!E$5:E$98,Deltakerliste!H$5:H$98)</f>
        <v>2</v>
      </c>
      <c r="H66" s="592">
        <f>VLOOKUP(F66,Deltakerliste!P$6:T$84,G66,FALSE)</f>
        <v>1.3469999999999998</v>
      </c>
      <c r="I66" s="132"/>
      <c r="J66" s="132"/>
      <c r="K66" s="134"/>
      <c r="L66" s="600"/>
      <c r="M66" s="594"/>
      <c r="N66" s="724"/>
      <c r="O66" s="596"/>
    </row>
    <row r="67" spans="2:17" ht="21" thickBot="1" x14ac:dyDescent="0.3">
      <c r="B67" s="16">
        <f t="shared" si="0"/>
        <v>58</v>
      </c>
      <c r="C67" s="106" t="s">
        <v>63</v>
      </c>
      <c r="D67" s="107" t="s">
        <v>105</v>
      </c>
      <c r="E67" s="599" t="str">
        <f t="shared" si="6"/>
        <v>ToreKiste</v>
      </c>
      <c r="F67" s="192">
        <f>YEAR(I$5)-_xlfn.XLOOKUP(E67,Deltakerliste!E$5:E$98,Deltakerliste!I$5:I$98)</f>
        <v>80</v>
      </c>
      <c r="G67" s="192">
        <f>_xlfn.XLOOKUP(E67,Deltakerliste!E$5:E$98,Deltakerliste!H$5:H$98)</f>
        <v>2</v>
      </c>
      <c r="H67" s="592">
        <f>VLOOKUP(F67,Deltakerliste!P$6:T$84,G67,FALSE)</f>
        <v>1.8550000000000002</v>
      </c>
      <c r="I67" s="86"/>
      <c r="J67" s="86"/>
      <c r="K67" s="13"/>
      <c r="L67" s="600"/>
      <c r="M67" s="594"/>
      <c r="N67" s="724"/>
      <c r="O67" s="596"/>
    </row>
    <row r="68" spans="2:17" ht="21" thickBot="1" x14ac:dyDescent="0.3">
      <c r="B68" s="16">
        <f t="shared" si="0"/>
        <v>59</v>
      </c>
      <c r="C68" s="106" t="s">
        <v>110</v>
      </c>
      <c r="D68" s="107" t="s">
        <v>111</v>
      </c>
      <c r="E68" s="599" t="str">
        <f t="shared" si="6"/>
        <v>Jan ErikKofoed</v>
      </c>
      <c r="F68" s="192">
        <f>YEAR(I$5)-_xlfn.XLOOKUP(E68,Deltakerliste!E$5:E$98,Deltakerliste!I$5:I$98)</f>
        <v>71</v>
      </c>
      <c r="G68" s="192">
        <f>_xlfn.XLOOKUP(E68,Deltakerliste!E$5:E$98,Deltakerliste!H$5:H$98)</f>
        <v>2</v>
      </c>
      <c r="H68" s="592">
        <f>VLOOKUP(F68,Deltakerliste!P$6:T$84,G68,FALSE)</f>
        <v>1.4609999999999999</v>
      </c>
      <c r="I68" s="86"/>
      <c r="J68" s="86"/>
      <c r="K68" s="13"/>
      <c r="L68" s="600"/>
      <c r="M68" s="594"/>
      <c r="N68" s="724"/>
      <c r="O68" s="596"/>
    </row>
    <row r="69" spans="2:17" ht="21" thickBot="1" x14ac:dyDescent="0.3">
      <c r="B69" s="16">
        <f t="shared" si="0"/>
        <v>60</v>
      </c>
      <c r="C69" s="106" t="s">
        <v>299</v>
      </c>
      <c r="D69" s="107" t="s">
        <v>300</v>
      </c>
      <c r="E69" s="599" t="str">
        <f t="shared" si="6"/>
        <v>OlavKvittem</v>
      </c>
      <c r="F69" s="192">
        <f>YEAR(I$5)-_xlfn.XLOOKUP(E69,Deltakerliste!E$5:E$98,Deltakerliste!I$5:I$98)</f>
        <v>70</v>
      </c>
      <c r="G69" s="192">
        <f>_xlfn.XLOOKUP(E69,Deltakerliste!E$5:E$98,Deltakerliste!H$5:H$98)</f>
        <v>2</v>
      </c>
      <c r="H69" s="592">
        <f>VLOOKUP(F69,Deltakerliste!P$6:T$84,G69,FALSE)</f>
        <v>1.4249999999999998</v>
      </c>
      <c r="I69" s="86"/>
      <c r="J69" s="86"/>
      <c r="K69" s="13"/>
      <c r="L69" s="600"/>
      <c r="M69" s="594"/>
      <c r="N69" s="724"/>
      <c r="O69" s="596"/>
    </row>
    <row r="70" spans="2:17" ht="21" thickBot="1" x14ac:dyDescent="0.3">
      <c r="B70" s="16">
        <f t="shared" si="0"/>
        <v>61</v>
      </c>
      <c r="C70" s="106" t="s">
        <v>112</v>
      </c>
      <c r="D70" s="107" t="s">
        <v>113</v>
      </c>
      <c r="E70" s="599" t="str">
        <f t="shared" si="6"/>
        <v>ToridKvaal</v>
      </c>
      <c r="F70" s="192">
        <f>YEAR(I$5)-_xlfn.XLOOKUP(E70,Deltakerliste!E$5:E$98,Deltakerliste!I$5:I$98)</f>
        <v>83</v>
      </c>
      <c r="G70" s="192">
        <f>_xlfn.XLOOKUP(E70,Deltakerliste!E$5:E$98,Deltakerliste!H$5:H$98)</f>
        <v>4</v>
      </c>
      <c r="H70" s="592">
        <f>VLOOKUP(F70,Deltakerliste!P$6:T$84,G70,FALSE)</f>
        <v>2.6998000000000006</v>
      </c>
      <c r="I70" s="86"/>
      <c r="J70" s="86"/>
      <c r="K70" s="13"/>
      <c r="L70" s="600"/>
      <c r="M70" s="594"/>
      <c r="N70" s="724"/>
      <c r="O70" s="596"/>
    </row>
    <row r="71" spans="2:17" ht="21" thickBot="1" x14ac:dyDescent="0.3">
      <c r="B71" s="16">
        <f t="shared" si="0"/>
        <v>62</v>
      </c>
      <c r="C71" s="106" t="s">
        <v>254</v>
      </c>
      <c r="D71" s="107" t="s">
        <v>255</v>
      </c>
      <c r="E71" s="599" t="str">
        <f t="shared" si="6"/>
        <v>ArnfinnLangeland</v>
      </c>
      <c r="F71" s="192">
        <f>YEAR(I$5)-_xlfn.XLOOKUP(E71,Deltakerliste!E$5:E$98,Deltakerliste!I$5:I$98)</f>
        <v>89</v>
      </c>
      <c r="G71" s="192">
        <f>_xlfn.XLOOKUP(E71,Deltakerliste!E$5:E$98,Deltakerliste!H$5:H$98)</f>
        <v>2</v>
      </c>
      <c r="H71" s="592">
        <f>VLOOKUP(F71,Deltakerliste!P$6:T$84,G71,FALSE)</f>
        <v>2.5609999999999999</v>
      </c>
      <c r="I71" s="86"/>
      <c r="J71" s="86"/>
      <c r="K71" s="13"/>
      <c r="L71" s="600"/>
      <c r="M71" s="594"/>
      <c r="N71" s="724"/>
      <c r="O71" s="596"/>
    </row>
    <row r="72" spans="2:17" ht="21" thickBot="1" x14ac:dyDescent="0.3">
      <c r="B72" s="16">
        <f t="shared" si="0"/>
        <v>63</v>
      </c>
      <c r="C72" s="106" t="s">
        <v>116</v>
      </c>
      <c r="D72" s="107" t="s">
        <v>117</v>
      </c>
      <c r="E72" s="599" t="str">
        <f t="shared" si="6"/>
        <v>AndersLauglo</v>
      </c>
      <c r="F72" s="192">
        <f>YEAR(I$5)-_xlfn.XLOOKUP(E72,Deltakerliste!E$5:E$98,Deltakerliste!I$5:I$98)</f>
        <v>86</v>
      </c>
      <c r="G72" s="192">
        <f>_xlfn.XLOOKUP(E72,Deltakerliste!E$5:E$98,Deltakerliste!H$5:H$98)</f>
        <v>2</v>
      </c>
      <c r="H72" s="592">
        <f>VLOOKUP(F72,Deltakerliste!P$6:T$84,G72,FALSE)</f>
        <v>2.3089999999999997</v>
      </c>
      <c r="I72" s="13"/>
      <c r="J72" s="13"/>
      <c r="K72" s="86"/>
      <c r="L72" s="600"/>
      <c r="M72" s="594"/>
      <c r="N72" s="724"/>
      <c r="O72" s="596"/>
    </row>
    <row r="73" spans="2:17" ht="21" thickBot="1" x14ac:dyDescent="0.3">
      <c r="B73" s="16">
        <f t="shared" si="0"/>
        <v>64</v>
      </c>
      <c r="C73" s="106" t="s">
        <v>248</v>
      </c>
      <c r="D73" s="107" t="s">
        <v>249</v>
      </c>
      <c r="E73" s="599" t="str">
        <f t="shared" si="6"/>
        <v>ErikLund</v>
      </c>
      <c r="F73" s="192">
        <f>YEAR(I$5)-_xlfn.XLOOKUP(E73,Deltakerliste!E$5:E$98,Deltakerliste!I$5:I$98)</f>
        <v>78</v>
      </c>
      <c r="G73" s="192">
        <f>_xlfn.XLOOKUP(E73,Deltakerliste!E$5:E$98,Deltakerliste!H$5:H$98)</f>
        <v>2</v>
      </c>
      <c r="H73" s="592">
        <f>VLOOKUP(F73,Deltakerliste!P$6:T$84,G73,FALSE)</f>
        <v>1.7550000000000001</v>
      </c>
      <c r="I73" s="13"/>
      <c r="J73" s="13"/>
      <c r="K73" s="17"/>
      <c r="L73" s="600"/>
      <c r="M73" s="594"/>
      <c r="N73" s="724"/>
      <c r="O73" s="596"/>
    </row>
    <row r="74" spans="2:17" ht="21" thickBot="1" x14ac:dyDescent="0.3">
      <c r="B74" s="16">
        <f t="shared" si="0"/>
        <v>65</v>
      </c>
      <c r="C74" s="106" t="s">
        <v>222</v>
      </c>
      <c r="D74" s="107" t="s">
        <v>221</v>
      </c>
      <c r="E74" s="599" t="str">
        <f t="shared" ref="E74:E91" si="7">_xlfn.CONCAT(C74:D74)</f>
        <v>Kjell Maroni</v>
      </c>
      <c r="F74" s="192">
        <f>YEAR(I$5)-_xlfn.XLOOKUP(E74,Deltakerliste!E$5:E$98,Deltakerliste!I$5:I$98)</f>
        <v>69</v>
      </c>
      <c r="G74" s="192">
        <f>_xlfn.XLOOKUP(E74,Deltakerliste!E$5:E$98,Deltakerliste!H$5:H$98)</f>
        <v>2</v>
      </c>
      <c r="H74" s="592">
        <f>VLOOKUP(F74,Deltakerliste!P$6:T$84,G74,FALSE)</f>
        <v>1.3989999999999998</v>
      </c>
      <c r="I74" s="13"/>
      <c r="J74" s="13"/>
      <c r="K74" s="13"/>
      <c r="L74" s="600"/>
      <c r="M74" s="594"/>
      <c r="N74" s="724"/>
      <c r="O74" s="596"/>
    </row>
    <row r="75" spans="2:17" ht="21" thickBot="1" x14ac:dyDescent="0.3">
      <c r="B75" s="16">
        <f t="shared" ref="B75:B91" si="8">B74+1</f>
        <v>66</v>
      </c>
      <c r="C75" s="106" t="s">
        <v>122</v>
      </c>
      <c r="D75" s="107" t="s">
        <v>123</v>
      </c>
      <c r="E75" s="599" t="str">
        <f t="shared" si="7"/>
        <v>MartinMelhuus</v>
      </c>
      <c r="F75" s="192">
        <f>YEAR(I$5)-_xlfn.XLOOKUP(E75,Deltakerliste!E$5:E$98,Deltakerliste!I$5:I$98)</f>
        <v>81</v>
      </c>
      <c r="G75" s="192">
        <f>_xlfn.XLOOKUP(E75,Deltakerliste!E$5:E$98,Deltakerliste!H$5:H$98)</f>
        <v>2</v>
      </c>
      <c r="H75" s="592">
        <f>VLOOKUP(F75,Deltakerliste!P$6:T$84,G75,FALSE)</f>
        <v>1.9290000000000003</v>
      </c>
      <c r="I75" s="13"/>
      <c r="J75" s="13"/>
      <c r="K75" s="13"/>
      <c r="L75" s="600"/>
      <c r="M75" s="594"/>
      <c r="N75" s="724"/>
      <c r="O75" s="596"/>
      <c r="Q75" s="112"/>
    </row>
    <row r="76" spans="2:17" ht="21" thickBot="1" x14ac:dyDescent="0.3">
      <c r="B76" s="16">
        <f t="shared" si="8"/>
        <v>67</v>
      </c>
      <c r="C76" s="106" t="s">
        <v>124</v>
      </c>
      <c r="D76" s="107" t="s">
        <v>125</v>
      </c>
      <c r="E76" s="599" t="str">
        <f t="shared" si="7"/>
        <v>Heidi Midttun</v>
      </c>
      <c r="F76" s="192">
        <f>YEAR(I$5)-_xlfn.XLOOKUP(E76,Deltakerliste!E$5:E$98,Deltakerliste!I$5:I$98)</f>
        <v>70</v>
      </c>
      <c r="G76" s="192">
        <f>_xlfn.XLOOKUP(E76,Deltakerliste!E$5:E$98,Deltakerliste!H$5:H$98)</f>
        <v>4</v>
      </c>
      <c r="H76" s="592">
        <f>VLOOKUP(F76,Deltakerliste!P$6:T$84,G76,FALSE)</f>
        <v>1.9490000000000012</v>
      </c>
      <c r="I76" s="13"/>
      <c r="J76" s="13"/>
      <c r="K76" s="13"/>
      <c r="L76" s="600"/>
      <c r="M76" s="594"/>
      <c r="N76" s="724"/>
      <c r="O76" s="596"/>
    </row>
    <row r="77" spans="2:17" ht="21" thickBot="1" x14ac:dyDescent="0.3">
      <c r="B77" s="16">
        <f t="shared" si="8"/>
        <v>68</v>
      </c>
      <c r="C77" s="106" t="s">
        <v>128</v>
      </c>
      <c r="D77" s="107" t="s">
        <v>129</v>
      </c>
      <c r="E77" s="599" t="str">
        <f t="shared" si="7"/>
        <v>OddMusum</v>
      </c>
      <c r="F77" s="192">
        <f>YEAR(I$5)-_xlfn.XLOOKUP(E77,Deltakerliste!E$5:E$98,Deltakerliste!I$5:I$98)</f>
        <v>83</v>
      </c>
      <c r="G77" s="192">
        <f>_xlfn.XLOOKUP(E77,Deltakerliste!E$5:E$98,Deltakerliste!H$5:H$98)</f>
        <v>2</v>
      </c>
      <c r="H77" s="592">
        <f>VLOOKUP(F77,Deltakerliste!P$6:T$84,G77,FALSE)</f>
        <v>2.077</v>
      </c>
      <c r="I77" s="13"/>
      <c r="J77" s="13"/>
      <c r="K77" s="13"/>
      <c r="L77" s="600"/>
      <c r="M77" s="594"/>
      <c r="N77" s="724"/>
      <c r="O77" s="596"/>
    </row>
    <row r="78" spans="2:17" ht="21" thickBot="1" x14ac:dyDescent="0.3">
      <c r="B78" s="16">
        <f t="shared" si="8"/>
        <v>69</v>
      </c>
      <c r="C78" s="106" t="s">
        <v>132</v>
      </c>
      <c r="D78" s="107" t="s">
        <v>133</v>
      </c>
      <c r="E78" s="599" t="str">
        <f t="shared" si="7"/>
        <v>JarleNestvold</v>
      </c>
      <c r="F78" s="192">
        <f>YEAR(I$5)-_xlfn.XLOOKUP(E78,Deltakerliste!E$5:E$98,Deltakerliste!I$5:I$98)</f>
        <v>88</v>
      </c>
      <c r="G78" s="192">
        <f>_xlfn.XLOOKUP(E78,Deltakerliste!E$5:E$98,Deltakerliste!H$5:H$98)</f>
        <v>2</v>
      </c>
      <c r="H78" s="592">
        <f>VLOOKUP(F78,Deltakerliste!P$6:T$84,G78,FALSE)</f>
        <v>2.4769999999999999</v>
      </c>
      <c r="I78" s="132"/>
      <c r="J78" s="18"/>
      <c r="K78" s="18"/>
      <c r="L78" s="600"/>
      <c r="M78" s="594"/>
      <c r="N78" s="724"/>
      <c r="O78" s="596"/>
    </row>
    <row r="79" spans="2:17" ht="21" thickBot="1" x14ac:dyDescent="0.3">
      <c r="B79" s="16">
        <f t="shared" si="8"/>
        <v>70</v>
      </c>
      <c r="C79" s="106" t="s">
        <v>265</v>
      </c>
      <c r="D79" s="107" t="s">
        <v>344</v>
      </c>
      <c r="E79" s="599" t="str">
        <f t="shared" si="7"/>
        <v>ØysteinNytrø</v>
      </c>
      <c r="F79" s="192">
        <f>YEAR(I$5)-_xlfn.XLOOKUP(E79,Deltakerliste!E$5:E$98,Deltakerliste!I$5:I$98)</f>
        <v>65</v>
      </c>
      <c r="G79" s="192">
        <f>_xlfn.XLOOKUP(E79,Deltakerliste!E$5:E$98,Deltakerliste!H$5:H$98)</f>
        <v>2</v>
      </c>
      <c r="H79" s="592">
        <f>VLOOKUP(F79,Deltakerliste!P$6:T$84,G79,FALSE)</f>
        <v>1.2949999999999997</v>
      </c>
      <c r="I79" s="18"/>
      <c r="J79" s="132"/>
      <c r="K79" s="18"/>
      <c r="L79" s="600"/>
      <c r="M79" s="594"/>
      <c r="N79" s="724"/>
      <c r="O79" s="596"/>
    </row>
    <row r="80" spans="2:17" ht="21" thickBot="1" x14ac:dyDescent="0.3">
      <c r="B80" s="16">
        <f t="shared" si="8"/>
        <v>71</v>
      </c>
      <c r="C80" s="111" t="s">
        <v>72</v>
      </c>
      <c r="D80" s="193" t="s">
        <v>139</v>
      </c>
      <c r="E80" s="599" t="str">
        <f t="shared" si="7"/>
        <v>KåreOnsøyen</v>
      </c>
      <c r="F80" s="192">
        <f>YEAR(I$5)-_xlfn.XLOOKUP(E80,Deltakerliste!E$5:E$98,Deltakerliste!I$5:I$98)</f>
        <v>77</v>
      </c>
      <c r="G80" s="192">
        <f>_xlfn.XLOOKUP(E80,Deltakerliste!E$5:E$98,Deltakerliste!H$5:H$98)</f>
        <v>2</v>
      </c>
      <c r="H80" s="592">
        <f>VLOOKUP(F80,Deltakerliste!P$6:T$84,G80,FALSE)</f>
        <v>1.7050000000000001</v>
      </c>
      <c r="I80" s="13"/>
      <c r="J80" s="13"/>
      <c r="K80" s="13"/>
      <c r="L80" s="600"/>
      <c r="M80" s="594"/>
      <c r="N80" s="724"/>
      <c r="O80" s="596"/>
    </row>
    <row r="81" spans="2:15" ht="21" thickBot="1" x14ac:dyDescent="0.3">
      <c r="B81" s="16">
        <f t="shared" si="8"/>
        <v>72</v>
      </c>
      <c r="C81" s="111" t="s">
        <v>140</v>
      </c>
      <c r="D81" s="193" t="s">
        <v>141</v>
      </c>
      <c r="E81" s="599" t="str">
        <f t="shared" si="7"/>
        <v>Grete BergeOwren</v>
      </c>
      <c r="F81" s="192">
        <f>YEAR(I$5)-_xlfn.XLOOKUP(E81,Deltakerliste!E$5:E$98,Deltakerliste!I$5:I$98)</f>
        <v>67</v>
      </c>
      <c r="G81" s="192">
        <f>_xlfn.XLOOKUP(E81,Deltakerliste!E$5:E$98,Deltakerliste!H$5:H$98)</f>
        <v>4</v>
      </c>
      <c r="H81" s="592">
        <f>VLOOKUP(F81,Deltakerliste!P$6:T$84,G81,FALSE)</f>
        <v>1.8422000000000009</v>
      </c>
      <c r="I81" s="18"/>
      <c r="J81" s="18"/>
      <c r="K81" s="18"/>
      <c r="L81" s="600"/>
      <c r="M81" s="594"/>
      <c r="N81" s="724"/>
      <c r="O81" s="596"/>
    </row>
    <row r="82" spans="2:15" ht="21" thickBot="1" x14ac:dyDescent="0.3">
      <c r="B82" s="16">
        <f t="shared" si="8"/>
        <v>73</v>
      </c>
      <c r="C82" s="111" t="s">
        <v>144</v>
      </c>
      <c r="D82" s="108" t="s">
        <v>145</v>
      </c>
      <c r="E82" s="599" t="str">
        <f t="shared" si="7"/>
        <v>Bjørn Rindstad</v>
      </c>
      <c r="F82" s="192">
        <f>YEAR(I$5)-_xlfn.XLOOKUP(E82,Deltakerliste!E$5:E$98,Deltakerliste!I$5:I$98)</f>
        <v>74</v>
      </c>
      <c r="G82" s="192">
        <f>_xlfn.XLOOKUP(E82,Deltakerliste!E$5:E$98,Deltakerliste!H$5:H$98)</f>
        <v>2</v>
      </c>
      <c r="H82" s="592">
        <f>VLOOKUP(F82,Deltakerliste!P$6:T$84,G82,FALSE)</f>
        <v>1.569</v>
      </c>
      <c r="I82" s="18"/>
      <c r="J82" s="18"/>
      <c r="K82" s="18"/>
      <c r="L82" s="600"/>
      <c r="M82" s="594"/>
      <c r="N82" s="724"/>
      <c r="O82" s="596"/>
    </row>
    <row r="83" spans="2:15" ht="21" thickBot="1" x14ac:dyDescent="0.3">
      <c r="B83" s="16">
        <f t="shared" si="8"/>
        <v>74</v>
      </c>
      <c r="C83" s="111" t="s">
        <v>78</v>
      </c>
      <c r="D83" s="193" t="s">
        <v>146</v>
      </c>
      <c r="E83" s="599" t="str">
        <f t="shared" si="7"/>
        <v>LeifRøhjell</v>
      </c>
      <c r="F83" s="192">
        <f>YEAR(I$5)-_xlfn.XLOOKUP(E83,Deltakerliste!E$5:E$98,Deltakerliste!I$5:I$98)</f>
        <v>81</v>
      </c>
      <c r="G83" s="192">
        <f>_xlfn.XLOOKUP(E83,Deltakerliste!E$5:E$98,Deltakerliste!H$5:H$98)</f>
        <v>2</v>
      </c>
      <c r="H83" s="592">
        <f>VLOOKUP(F83,Deltakerliste!P$6:T$84,G83,FALSE)</f>
        <v>1.9290000000000003</v>
      </c>
      <c r="I83" s="132"/>
      <c r="J83" s="18"/>
      <c r="K83" s="18"/>
      <c r="L83" s="600"/>
      <c r="M83" s="594"/>
      <c r="N83" s="724"/>
      <c r="O83" s="596"/>
    </row>
    <row r="84" spans="2:15" ht="21" thickBot="1" x14ac:dyDescent="0.3">
      <c r="B84" s="16">
        <f t="shared" si="8"/>
        <v>75</v>
      </c>
      <c r="C84" s="111" t="s">
        <v>228</v>
      </c>
      <c r="D84" s="193" t="s">
        <v>229</v>
      </c>
      <c r="E84" s="599" t="str">
        <f t="shared" si="7"/>
        <v>May-LisRønning</v>
      </c>
      <c r="F84" s="192">
        <f>YEAR(I$5)-_xlfn.XLOOKUP(E84,Deltakerliste!E$5:E$98,Deltakerliste!I$5:I$98)</f>
        <v>55</v>
      </c>
      <c r="G84" s="192">
        <f>_xlfn.XLOOKUP(E84,Deltakerliste!E$5:E$98,Deltakerliste!H$5:H$98)</f>
        <v>4</v>
      </c>
      <c r="H84" s="592">
        <f>VLOOKUP(F84,Deltakerliste!P$6:T$84,G84,FALSE)</f>
        <v>1.5099999999999996</v>
      </c>
      <c r="I84" s="18"/>
      <c r="J84" s="18"/>
      <c r="K84" s="18"/>
      <c r="L84" s="600"/>
      <c r="M84" s="594"/>
      <c r="N84" s="724"/>
      <c r="O84" s="596"/>
    </row>
    <row r="85" spans="2:15" ht="21" thickBot="1" x14ac:dyDescent="0.3">
      <c r="B85" s="16">
        <f t="shared" si="8"/>
        <v>76</v>
      </c>
      <c r="C85" s="111" t="s">
        <v>147</v>
      </c>
      <c r="D85" s="108" t="s">
        <v>148</v>
      </c>
      <c r="E85" s="599" t="str">
        <f t="shared" si="7"/>
        <v>ViggoSchei</v>
      </c>
      <c r="F85" s="192">
        <f>YEAR(I$5)-_xlfn.XLOOKUP(E85,Deltakerliste!E$5:E$98,Deltakerliste!I$5:I$98)</f>
        <v>74</v>
      </c>
      <c r="G85" s="192">
        <f>_xlfn.XLOOKUP(E85,Deltakerliste!E$5:E$98,Deltakerliste!H$5:H$98)</f>
        <v>2</v>
      </c>
      <c r="H85" s="592">
        <f>VLOOKUP(F85,Deltakerliste!P$6:T$84,G85,FALSE)</f>
        <v>1.569</v>
      </c>
      <c r="I85" s="18"/>
      <c r="J85" s="132"/>
      <c r="K85" s="18"/>
      <c r="L85" s="600"/>
      <c r="M85" s="594"/>
      <c r="N85" s="724"/>
      <c r="O85" s="596"/>
    </row>
    <row r="86" spans="2:15" ht="21" thickBot="1" x14ac:dyDescent="0.3">
      <c r="B86" s="16">
        <f t="shared" si="8"/>
        <v>77</v>
      </c>
      <c r="C86" s="111" t="s">
        <v>298</v>
      </c>
      <c r="D86" s="108" t="s">
        <v>297</v>
      </c>
      <c r="E86" s="599" t="str">
        <f t="shared" si="7"/>
        <v>ØyvindSchjelderup</v>
      </c>
      <c r="F86" s="192">
        <f>YEAR(I$5)-_xlfn.XLOOKUP(E86,Deltakerliste!E$5:E$98,Deltakerliste!I$5:I$98)</f>
        <v>60</v>
      </c>
      <c r="G86" s="192">
        <f>_xlfn.XLOOKUP(E86,Deltakerliste!E$5:E$98,Deltakerliste!H$5:H$98)</f>
        <v>2</v>
      </c>
      <c r="H86" s="592">
        <f>VLOOKUP(F86,Deltakerliste!P$6:T$84,G86,FALSE)</f>
        <v>1.2000000000000002</v>
      </c>
      <c r="I86" s="18"/>
      <c r="J86" s="18"/>
      <c r="K86" s="18"/>
      <c r="L86" s="600"/>
      <c r="M86" s="594"/>
      <c r="N86" s="724"/>
      <c r="O86" s="596"/>
    </row>
    <row r="87" spans="2:15" ht="21" thickBot="1" x14ac:dyDescent="0.3">
      <c r="B87" s="16">
        <f t="shared" si="8"/>
        <v>78</v>
      </c>
      <c r="C87" s="193" t="s">
        <v>153</v>
      </c>
      <c r="D87" s="108" t="s">
        <v>154</v>
      </c>
      <c r="E87" s="599" t="str">
        <f t="shared" si="7"/>
        <v>ReidunSmaavik</v>
      </c>
      <c r="F87" s="192">
        <f>YEAR(I$5)-_xlfn.XLOOKUP(E87,Deltakerliste!E$5:E$98,Deltakerliste!I$5:I$98)</f>
        <v>70</v>
      </c>
      <c r="G87" s="192">
        <f>_xlfn.XLOOKUP(E87,Deltakerliste!E$5:E$98,Deltakerliste!H$5:H$98)</f>
        <v>4</v>
      </c>
      <c r="H87" s="592">
        <f>VLOOKUP(F87,Deltakerliste!P$6:T$84,G87,FALSE)</f>
        <v>1.9490000000000012</v>
      </c>
      <c r="I87" s="132"/>
      <c r="J87" s="18"/>
      <c r="K87" s="18"/>
      <c r="L87" s="600"/>
      <c r="M87" s="594"/>
      <c r="N87" s="724"/>
      <c r="O87" s="596"/>
    </row>
    <row r="88" spans="2:15" ht="21" thickBot="1" x14ac:dyDescent="0.3">
      <c r="B88" s="16">
        <f t="shared" si="8"/>
        <v>79</v>
      </c>
      <c r="C88" s="193" t="s">
        <v>232</v>
      </c>
      <c r="D88" s="133" t="s">
        <v>231</v>
      </c>
      <c r="E88" s="599" t="str">
        <f t="shared" si="7"/>
        <v>BeritSunnset</v>
      </c>
      <c r="F88" s="192">
        <f>YEAR(I$5)-_xlfn.XLOOKUP(E88,Deltakerliste!E$5:E$98,Deltakerliste!I$5:I$98)</f>
        <v>62</v>
      </c>
      <c r="G88" s="192">
        <f>_xlfn.XLOOKUP(E88,Deltakerliste!E$5:E$98,Deltakerliste!H$5:H$98)</f>
        <v>4</v>
      </c>
      <c r="H88" s="592">
        <f>VLOOKUP(F88,Deltakerliste!P$6:T$84,G88,FALSE)</f>
        <v>1.6834000000000005</v>
      </c>
      <c r="I88" s="18"/>
      <c r="J88" s="18"/>
      <c r="K88" s="18"/>
      <c r="L88" s="600"/>
      <c r="M88" s="594"/>
      <c r="N88" s="724"/>
      <c r="O88" s="596"/>
    </row>
    <row r="89" spans="2:15" ht="21" thickBot="1" x14ac:dyDescent="0.3">
      <c r="B89" s="16">
        <f t="shared" si="8"/>
        <v>80</v>
      </c>
      <c r="C89" s="193" t="s">
        <v>230</v>
      </c>
      <c r="D89" s="108" t="s">
        <v>231</v>
      </c>
      <c r="E89" s="599" t="str">
        <f t="shared" si="7"/>
        <v>TrineSunnset</v>
      </c>
      <c r="F89" s="192">
        <f>YEAR(I$5)-_xlfn.XLOOKUP(E89,Deltakerliste!E$5:E$98,Deltakerliste!I$5:I$98)</f>
        <v>62</v>
      </c>
      <c r="G89" s="192">
        <f>_xlfn.XLOOKUP(E89,Deltakerliste!E$5:E$98,Deltakerliste!H$5:H$98)</f>
        <v>4</v>
      </c>
      <c r="H89" s="592">
        <f>VLOOKUP(F89,Deltakerliste!P$6:T$84,G89,FALSE)</f>
        <v>1.6834000000000005</v>
      </c>
      <c r="I89" s="18"/>
      <c r="J89" s="18"/>
      <c r="K89" s="18"/>
      <c r="L89" s="790"/>
      <c r="M89" s="594"/>
      <c r="N89" s="724"/>
      <c r="O89" s="596"/>
    </row>
    <row r="90" spans="2:15" ht="21" thickBot="1" x14ac:dyDescent="0.3">
      <c r="B90" s="16">
        <f t="shared" si="8"/>
        <v>81</v>
      </c>
      <c r="C90" s="193" t="s">
        <v>161</v>
      </c>
      <c r="D90" s="108" t="s">
        <v>162</v>
      </c>
      <c r="E90" s="599" t="str">
        <f t="shared" si="7"/>
        <v>Nils OlavVennevik</v>
      </c>
      <c r="F90" s="192">
        <f>YEAR(I$5)-_xlfn.XLOOKUP(E90,Deltakerliste!E$5:E$98,Deltakerliste!I$5:I$98)</f>
        <v>77</v>
      </c>
      <c r="G90" s="192">
        <f>_xlfn.XLOOKUP(E90,Deltakerliste!E$5:E$98,Deltakerliste!H$5:H$98)</f>
        <v>2</v>
      </c>
      <c r="H90" s="592">
        <f>VLOOKUP(F90,Deltakerliste!P$6:T$84,G90,FALSE)</f>
        <v>1.7050000000000001</v>
      </c>
      <c r="I90" s="132"/>
      <c r="J90" s="18"/>
      <c r="K90" s="18"/>
      <c r="L90" s="791"/>
      <c r="M90" s="594"/>
      <c r="N90" s="792"/>
      <c r="O90" s="596"/>
    </row>
    <row r="91" spans="2:15" ht="21" thickBot="1" x14ac:dyDescent="0.3">
      <c r="B91" s="16">
        <f t="shared" si="8"/>
        <v>82</v>
      </c>
      <c r="C91" s="193" t="s">
        <v>168</v>
      </c>
      <c r="D91" s="108" t="s">
        <v>169</v>
      </c>
      <c r="E91" s="599" t="str">
        <f t="shared" si="7"/>
        <v>SteinØvstedal</v>
      </c>
      <c r="F91" s="192">
        <f>YEAR(I$5)-_xlfn.XLOOKUP(E91,Deltakerliste!E$5:E$98,Deltakerliste!I$5:I$98)</f>
        <v>74</v>
      </c>
      <c r="G91" s="192">
        <f>_xlfn.XLOOKUP(E91,Deltakerliste!E$5:E$98,Deltakerliste!H$5:H$98)</f>
        <v>2</v>
      </c>
      <c r="H91" s="592">
        <f>VLOOKUP(F91,Deltakerliste!P$6:T$84,G91,FALSE)</f>
        <v>1.569</v>
      </c>
      <c r="I91" s="132"/>
      <c r="J91" s="132"/>
      <c r="K91" s="18"/>
      <c r="L91" s="725"/>
      <c r="M91" s="717"/>
      <c r="N91" s="726"/>
      <c r="O91" s="719"/>
    </row>
    <row r="100" spans="4:11" ht="17" thickBot="1" x14ac:dyDescent="0.25"/>
    <row r="101" spans="4:11" ht="21" thickTop="1" thickBot="1" x14ac:dyDescent="0.3">
      <c r="D101" s="646" t="s">
        <v>288</v>
      </c>
      <c r="E101" s="647"/>
      <c r="F101" s="666"/>
      <c r="G101" s="666"/>
      <c r="H101" s="666"/>
      <c r="I101" s="648" t="s">
        <v>195</v>
      </c>
      <c r="J101" s="648" t="s">
        <v>196</v>
      </c>
      <c r="K101" s="649" t="s">
        <v>197</v>
      </c>
    </row>
    <row r="102" spans="4:11" ht="20" x14ac:dyDescent="0.25">
      <c r="D102" s="634" t="s">
        <v>172</v>
      </c>
      <c r="E102" s="320"/>
      <c r="F102" s="208"/>
      <c r="G102" s="208"/>
      <c r="H102" s="208"/>
      <c r="I102" s="635">
        <f>COUNT(I10:I94)+COUNTIF(I10:I94,"Brutt")+COUNTIF(I10:I94,"(*)")</f>
        <v>11</v>
      </c>
      <c r="J102" s="635">
        <f>COUNT(J10:J94)+COUNTIF(J10:J94,"Brutt")+COUNTIF(J10:J94,"(*)")</f>
        <v>20</v>
      </c>
      <c r="K102" s="636">
        <f>I102+J102</f>
        <v>31</v>
      </c>
    </row>
    <row r="103" spans="4:11" ht="19" x14ac:dyDescent="0.25">
      <c r="D103" s="637" t="s">
        <v>174</v>
      </c>
      <c r="E103" s="320"/>
      <c r="F103" s="208"/>
      <c r="G103" s="208"/>
      <c r="H103" s="208"/>
      <c r="I103" s="635">
        <f>COUNT(I10:I94)</f>
        <v>10</v>
      </c>
      <c r="J103" s="635">
        <f>COUNT(J10:J94)</f>
        <v>20</v>
      </c>
      <c r="K103" s="636">
        <f t="shared" ref="K103" si="9">I103+J103</f>
        <v>30</v>
      </c>
    </row>
    <row r="104" spans="4:11" ht="19" x14ac:dyDescent="0.25">
      <c r="D104" s="637" t="s">
        <v>173</v>
      </c>
      <c r="E104" s="320"/>
      <c r="F104" s="208"/>
      <c r="G104" s="208"/>
      <c r="H104" s="208"/>
      <c r="I104" s="208"/>
      <c r="J104" s="208"/>
      <c r="K104" s="636">
        <f>K102+COUNTIF(L10:L94,"Arr")+COUNTIF(L10:L94,"Løype")</f>
        <v>35</v>
      </c>
    </row>
    <row r="105" spans="4:11" ht="19" x14ac:dyDescent="0.25">
      <c r="D105" s="637" t="s">
        <v>341</v>
      </c>
      <c r="E105" s="320"/>
      <c r="F105" s="208"/>
      <c r="G105" s="208"/>
      <c r="H105" s="208"/>
      <c r="I105" s="208"/>
      <c r="J105" s="208"/>
      <c r="K105" s="638">
        <f>IF(SUM(L10:L94)=0," ",AVERAGEIF(M10:M94,"&gt;0",F10:F94))</f>
        <v>74.428571428571431</v>
      </c>
    </row>
    <row r="106" spans="4:11" ht="19" x14ac:dyDescent="0.25">
      <c r="D106" s="637" t="s">
        <v>296</v>
      </c>
      <c r="E106" s="320"/>
      <c r="F106" s="208"/>
      <c r="G106" s="208"/>
      <c r="H106" s="208"/>
      <c r="I106" s="208"/>
      <c r="J106" s="208"/>
      <c r="K106" s="638">
        <f>AVERAGE(I8:J8)</f>
        <v>1.85</v>
      </c>
    </row>
    <row r="107" spans="4:11" ht="19" x14ac:dyDescent="0.25">
      <c r="D107" s="637" t="s">
        <v>176</v>
      </c>
      <c r="E107" s="320"/>
      <c r="F107" s="208"/>
      <c r="G107" s="208"/>
      <c r="H107" s="208"/>
      <c r="I107" s="112">
        <f>I8*I103</f>
        <v>15</v>
      </c>
      <c r="J107" s="112">
        <f>J8*J103</f>
        <v>44</v>
      </c>
      <c r="K107" s="638">
        <f>I107+J107</f>
        <v>59</v>
      </c>
    </row>
    <row r="108" spans="4:11" ht="19" x14ac:dyDescent="0.25">
      <c r="D108" s="639" t="s">
        <v>286</v>
      </c>
      <c r="E108" s="320"/>
      <c r="F108" s="208"/>
      <c r="G108" s="208"/>
      <c r="H108" s="208"/>
      <c r="I108" s="103">
        <f>IF(SUM(I10:I94)=0," ",AVERAGE(I10:I94))</f>
        <v>2.2848379629629632E-2</v>
      </c>
      <c r="J108" s="103">
        <f>IF(SUM(J10:J94)=0," ",AVERAGE(J10:J94))</f>
        <v>2.3518518518518518E-2</v>
      </c>
      <c r="K108" s="640">
        <f>IF(SUM(I10:J94)=0," ",AVERAGE(I10:J94))</f>
        <v>2.329513888888889E-2</v>
      </c>
    </row>
    <row r="109" spans="4:11" ht="20" thickBot="1" x14ac:dyDescent="0.3">
      <c r="D109" s="641" t="s">
        <v>287</v>
      </c>
      <c r="E109" s="642"/>
      <c r="F109" s="644"/>
      <c r="G109" s="644"/>
      <c r="H109" s="644"/>
      <c r="I109" s="643"/>
      <c r="J109" s="644"/>
      <c r="K109" s="645">
        <f>MIN(L10:L94)</f>
        <v>8.5227272727272721E-3</v>
      </c>
    </row>
    <row r="110" spans="4:11" ht="17" thickTop="1" x14ac:dyDescent="0.2"/>
  </sheetData>
  <autoFilter ref="C9:O91" xr:uid="{1CC83E89-2611-AC4C-B712-930F59FE1D38}">
    <sortState xmlns:xlrd2="http://schemas.microsoft.com/office/spreadsheetml/2017/richdata2" ref="C10:O91">
      <sortCondition ref="N9:N91"/>
    </sortState>
  </autoFilter>
  <mergeCells count="3">
    <mergeCell ref="W7:X7"/>
    <mergeCell ref="S8:U8"/>
    <mergeCell ref="W8:X8"/>
  </mergeCells>
  <pageMargins left="0.7" right="0.7" top="0.75" bottom="0.75" header="0.3" footer="0.3"/>
  <pageSetup paperSize="9" orientation="portrait" horizontalDpi="0" verticalDpi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85A3B-3F51-A749-A6F0-489293A92ACA}">
  <dimension ref="B1:AC110"/>
  <sheetViews>
    <sheetView topLeftCell="A57" zoomScale="90" zoomScaleNormal="90" workbookViewId="0">
      <selection activeCell="AF45" sqref="AF45"/>
    </sheetView>
  </sheetViews>
  <sheetFormatPr baseColWidth="10" defaultColWidth="10.83203125" defaultRowHeight="16" x14ac:dyDescent="0.2"/>
  <cols>
    <col min="3" max="3" width="14.5" customWidth="1"/>
    <col min="4" max="4" width="20.1640625" customWidth="1"/>
    <col min="5" max="5" width="20.1640625" hidden="1" customWidth="1"/>
    <col min="6" max="6" width="14.5" style="15" customWidth="1"/>
    <col min="7" max="7" width="14.5" style="15" hidden="1" customWidth="1"/>
    <col min="8" max="8" width="14" style="15" customWidth="1"/>
    <col min="9" max="10" width="19.1640625" style="15" customWidth="1"/>
    <col min="11" max="11" width="17.6640625" style="15" customWidth="1"/>
    <col min="12" max="12" width="10.83203125" style="15"/>
    <col min="14" max="14" width="10.83203125" style="15"/>
    <col min="18" max="18" width="12.5" customWidth="1"/>
    <col min="19" max="19" width="13.5" customWidth="1"/>
    <col min="22" max="22" width="1.83203125" customWidth="1"/>
    <col min="23" max="23" width="15.83203125" customWidth="1"/>
    <col min="24" max="24" width="11" customWidth="1"/>
  </cols>
  <sheetData>
    <row r="1" spans="2:29" ht="8" customHeight="1" x14ac:dyDescent="0.2"/>
    <row r="2" spans="2:29" ht="8" customHeight="1" x14ac:dyDescent="0.2"/>
    <row r="5" spans="2:29" ht="26" x14ac:dyDescent="0.3">
      <c r="B5" s="21" t="s">
        <v>205</v>
      </c>
      <c r="C5" s="245" t="s">
        <v>379</v>
      </c>
      <c r="F5" s="667"/>
      <c r="G5" s="667"/>
      <c r="H5" s="671" t="s">
        <v>189</v>
      </c>
      <c r="I5" s="670">
        <f>'Løp 8'!I5+7</f>
        <v>45993</v>
      </c>
    </row>
    <row r="6" spans="2:29" ht="17" thickBot="1" x14ac:dyDescent="0.25">
      <c r="B6" s="15"/>
    </row>
    <row r="7" spans="2:29" ht="59" customHeight="1" thickBot="1" x14ac:dyDescent="0.35">
      <c r="B7" s="12" t="s">
        <v>194</v>
      </c>
      <c r="C7" s="662" t="s">
        <v>57</v>
      </c>
      <c r="D7" s="391" t="s">
        <v>58</v>
      </c>
      <c r="E7" s="663"/>
      <c r="F7" s="663" t="s">
        <v>234</v>
      </c>
      <c r="G7" s="391" t="s">
        <v>280</v>
      </c>
      <c r="H7" s="391" t="s">
        <v>235</v>
      </c>
      <c r="I7" s="391" t="s">
        <v>302</v>
      </c>
      <c r="J7" s="391" t="s">
        <v>303</v>
      </c>
      <c r="K7" s="391" t="s">
        <v>192</v>
      </c>
      <c r="L7" s="194" t="s">
        <v>209</v>
      </c>
      <c r="M7" s="392" t="s">
        <v>55</v>
      </c>
      <c r="N7" s="393" t="s">
        <v>242</v>
      </c>
      <c r="O7" s="393" t="s">
        <v>240</v>
      </c>
      <c r="Q7" s="319"/>
      <c r="R7" s="319"/>
      <c r="S7" s="755" t="str">
        <f>B5</f>
        <v>Løp 9</v>
      </c>
      <c r="T7" s="754" t="str">
        <f>C5</f>
        <v>Nilsbyen</v>
      </c>
      <c r="U7" s="730"/>
      <c r="V7" s="730"/>
      <c r="W7" s="941"/>
      <c r="X7" s="941"/>
    </row>
    <row r="8" spans="2:29" ht="23" customHeight="1" thickTop="1" thickBot="1" x14ac:dyDescent="0.35">
      <c r="B8" s="22"/>
      <c r="C8" s="394"/>
      <c r="D8" s="395"/>
      <c r="E8" s="597"/>
      <c r="F8" s="668"/>
      <c r="G8" s="668"/>
      <c r="H8" s="664"/>
      <c r="I8" s="391">
        <v>2.2000000000000002</v>
      </c>
      <c r="J8" s="789">
        <v>3.1</v>
      </c>
      <c r="K8" s="391"/>
      <c r="N8" s="720"/>
      <c r="O8" s="390"/>
      <c r="S8" s="942" t="s">
        <v>312</v>
      </c>
      <c r="T8" s="943"/>
      <c r="U8" s="944"/>
      <c r="V8" s="779"/>
      <c r="W8" s="945" t="s">
        <v>313</v>
      </c>
      <c r="X8" s="940"/>
      <c r="AB8" s="836" t="s">
        <v>361</v>
      </c>
      <c r="AC8" s="827"/>
    </row>
    <row r="9" spans="2:29" ht="21" thickBot="1" x14ac:dyDescent="0.3">
      <c r="B9" s="22"/>
      <c r="C9" s="109"/>
      <c r="D9" s="105"/>
      <c r="E9" s="598"/>
      <c r="F9" s="669"/>
      <c r="G9" s="669"/>
      <c r="H9" s="665"/>
      <c r="I9" s="12"/>
      <c r="J9" s="12"/>
      <c r="K9" s="12"/>
      <c r="N9" s="722"/>
      <c r="O9" s="200"/>
      <c r="Q9" s="110"/>
      <c r="S9" s="731"/>
      <c r="T9" s="727" t="s">
        <v>311</v>
      </c>
      <c r="U9" s="750" t="s">
        <v>55</v>
      </c>
      <c r="V9" s="780"/>
      <c r="W9" s="774"/>
      <c r="X9" s="732" t="s">
        <v>55</v>
      </c>
      <c r="AB9" s="834" t="s">
        <v>234</v>
      </c>
      <c r="AC9" s="835" t="s">
        <v>362</v>
      </c>
    </row>
    <row r="10" spans="2:29" ht="21" thickBot="1" x14ac:dyDescent="0.3">
      <c r="B10" s="16">
        <f t="shared" ref="B10:B73" si="0">B9+1</f>
        <v>1</v>
      </c>
      <c r="C10" s="106" t="s">
        <v>64</v>
      </c>
      <c r="D10" s="107" t="s">
        <v>65</v>
      </c>
      <c r="E10" s="599" t="str">
        <f t="shared" ref="E10:E41" si="1">_xlfn.CONCAT(C10:D10)</f>
        <v>BjørnBerger</v>
      </c>
      <c r="F10" s="192">
        <f>YEAR(I$5)-_xlfn.XLOOKUP(E10,Deltakerliste!E$5:E$98,Deltakerliste!I$5:I$98)</f>
        <v>74</v>
      </c>
      <c r="G10" s="192">
        <f>_xlfn.XLOOKUP(E10,Deltakerliste!E$5:E$98,Deltakerliste!H$5:H$98)</f>
        <v>2</v>
      </c>
      <c r="H10" s="592">
        <f>VLOOKUP(F10,Deltakerliste!P$6:T$84,G10,FALSE)</f>
        <v>1.569</v>
      </c>
      <c r="I10" s="13"/>
      <c r="J10" s="13">
        <v>2.1134259259259259E-2</v>
      </c>
      <c r="K10" s="19"/>
      <c r="L10" s="600">
        <f t="shared" ref="L10:L39" si="2">IF(OR(I10="Arr",J10="Arr",K10="Arr"),"Arr",IF(OR(I10="Brutt",J10="Brutt",K10="Brutt"),"Brutt",IF(OR(I10="Løype",J10="Løype",K10="Løype"),"Løype",IF(I10&gt;0,I10/I$8,J10/J$8))))</f>
        <v>6.8175029868578251E-3</v>
      </c>
      <c r="M10" s="594">
        <f>IF(L10="Løype",Poengsammendrag!$F$2,IF(L10="Arr",Poengsammendrag!$F$3,IF(L10="Brutt",50,IF(L10="Disk",50,ROUND(MAXA(100*(MIN(L$10:L$89)/L10),50),0)))))</f>
        <v>100</v>
      </c>
      <c r="N10" s="724">
        <f t="shared" ref="N10:N39" si="3">IF(L10="Arr","Arr",IF(L10="Brutt","Brutt",IF(L10="Løype","Løype",L10/H10)))</f>
        <v>4.3451261866525341E-3</v>
      </c>
      <c r="O10" s="596">
        <f>IF(N10="Løype",Poengsammendrag!$F$2,IF(N10="Arr",Poengsammendrag!$F$3,IF(N10="Brutt",50,IF(N10="Disk",50,ROUND(MAXA(100*(MIN(N$10:N$89)/N10),50),0)))))</f>
        <v>88</v>
      </c>
      <c r="Q10" s="672"/>
      <c r="R10" s="672"/>
      <c r="S10" s="802" t="s">
        <v>380</v>
      </c>
      <c r="T10" s="734">
        <v>6.8175029868578251E-3</v>
      </c>
      <c r="U10" s="751">
        <v>100</v>
      </c>
      <c r="V10" s="781"/>
      <c r="W10" s="775" t="s">
        <v>338</v>
      </c>
      <c r="X10" s="739">
        <v>100</v>
      </c>
      <c r="AB10" s="832">
        <v>55</v>
      </c>
      <c r="AC10" s="833">
        <f t="shared" ref="AC10:AC50" si="4">COUNTIFS(F$10:F$95,AB10,M$10:M$95,"&gt;0")</f>
        <v>0</v>
      </c>
    </row>
    <row r="11" spans="2:29" ht="21" customHeight="1" thickBot="1" x14ac:dyDescent="0.3">
      <c r="B11" s="16">
        <f t="shared" si="0"/>
        <v>2</v>
      </c>
      <c r="C11" s="106" t="s">
        <v>134</v>
      </c>
      <c r="D11" s="107" t="s">
        <v>135</v>
      </c>
      <c r="E11" s="599" t="str">
        <f t="shared" si="1"/>
        <v>IngeNørstebø</v>
      </c>
      <c r="F11" s="192">
        <f>YEAR(I$5)-_xlfn.XLOOKUP(E11,Deltakerliste!E$5:E$98,Deltakerliste!I$5:I$98)</f>
        <v>69</v>
      </c>
      <c r="G11" s="192">
        <f>_xlfn.XLOOKUP(E11,Deltakerliste!E$5:E$98,Deltakerliste!H$5:H$98)</f>
        <v>2</v>
      </c>
      <c r="H11" s="592">
        <f>VLOOKUP(F11,Deltakerliste!P$6:T$84,G11,FALSE)</f>
        <v>1.3989999999999998</v>
      </c>
      <c r="I11" s="13"/>
      <c r="J11" s="13">
        <v>2.1597222222222223E-2</v>
      </c>
      <c r="K11" s="13"/>
      <c r="L11" s="600">
        <f t="shared" si="2"/>
        <v>6.9668458781362002E-3</v>
      </c>
      <c r="M11" s="594">
        <f>IF(L11="Løype",Poengsammendrag!$F$2,IF(L11="Arr",Poengsammendrag!$F$3,IF(L11="Brutt",50,IF(L11="Disk",50,ROUND(MAXA(100*(MIN(L$10:L$89)/L11),50),0)))))</f>
        <v>98</v>
      </c>
      <c r="N11" s="724">
        <f t="shared" si="3"/>
        <v>4.9798755383389575E-3</v>
      </c>
      <c r="O11" s="596">
        <f>IF(N11="Løype",Poengsammendrag!$F$2,IF(N11="Arr",Poengsammendrag!$F$3,IF(N11="Brutt",50,IF(N11="Disk",50,ROUND(MAXA(100*(MIN(N$10:N$89)/N11),50),0)))))</f>
        <v>77</v>
      </c>
      <c r="Q11" s="672"/>
      <c r="R11" s="672"/>
      <c r="S11" s="803" t="s">
        <v>134</v>
      </c>
      <c r="T11" s="736">
        <v>6.9668458781362002E-3</v>
      </c>
      <c r="U11" s="752">
        <v>98</v>
      </c>
      <c r="V11" s="781"/>
      <c r="W11" s="776" t="s">
        <v>314</v>
      </c>
      <c r="X11" s="740">
        <v>90</v>
      </c>
      <c r="AB11" s="828">
        <f>AB10+1</f>
        <v>56</v>
      </c>
      <c r="AC11" s="829">
        <f t="shared" si="4"/>
        <v>0</v>
      </c>
    </row>
    <row r="12" spans="2:29" ht="21" customHeight="1" thickBot="1" x14ac:dyDescent="0.3">
      <c r="B12" s="16">
        <f t="shared" si="0"/>
        <v>3</v>
      </c>
      <c r="C12" s="106" t="s">
        <v>120</v>
      </c>
      <c r="D12" s="107" t="s">
        <v>121</v>
      </c>
      <c r="E12" s="599" t="str">
        <f t="shared" si="1"/>
        <v>KlausLivik</v>
      </c>
      <c r="F12" s="192">
        <f>YEAR(I$5)-_xlfn.XLOOKUP(E12,Deltakerliste!E$5:E$98,Deltakerliste!I$5:I$98)</f>
        <v>71</v>
      </c>
      <c r="G12" s="192">
        <f>_xlfn.XLOOKUP(E12,Deltakerliste!E$5:E$98,Deltakerliste!H$5:H$98)</f>
        <v>2</v>
      </c>
      <c r="H12" s="592">
        <f>VLOOKUP(F12,Deltakerliste!P$6:T$84,G12,FALSE)</f>
        <v>1.4609999999999999</v>
      </c>
      <c r="I12" s="13"/>
      <c r="J12" s="13">
        <v>2.2060185185185186E-2</v>
      </c>
      <c r="K12" s="17"/>
      <c r="L12" s="600">
        <f t="shared" si="2"/>
        <v>7.1161887694145762E-3</v>
      </c>
      <c r="M12" s="594">
        <f>IF(L12="Løype",Poengsammendrag!$F$2,IF(L12="Arr",Poengsammendrag!$F$3,IF(L12="Brutt",50,IF(L12="Disk",50,ROUND(MAXA(100*(MIN(L$10:L$89)/L12),50),0)))))</f>
        <v>96</v>
      </c>
      <c r="N12" s="724">
        <f t="shared" si="3"/>
        <v>4.8707657559305794E-3</v>
      </c>
      <c r="O12" s="596">
        <f>IF(N12="Løype",Poengsammendrag!$F$2,IF(N12="Arr",Poengsammendrag!$F$3,IF(N12="Brutt",50,IF(N12="Disk",50,ROUND(MAXA(100*(MIN(N$10:N$89)/N12),50),0)))))</f>
        <v>79</v>
      </c>
      <c r="Q12" s="672"/>
      <c r="R12" s="672"/>
      <c r="S12" s="803" t="s">
        <v>120</v>
      </c>
      <c r="T12" s="736">
        <v>7.1161887694145762E-3</v>
      </c>
      <c r="U12" s="752">
        <v>96</v>
      </c>
      <c r="V12" s="781"/>
      <c r="W12" s="776" t="s">
        <v>357</v>
      </c>
      <c r="X12" s="740">
        <v>89</v>
      </c>
      <c r="AB12" s="828">
        <f t="shared" ref="AB12:AB50" si="5">AB11+1</f>
        <v>57</v>
      </c>
      <c r="AC12" s="829">
        <f t="shared" si="4"/>
        <v>0</v>
      </c>
    </row>
    <row r="13" spans="2:29" ht="21" customHeight="1" thickBot="1" x14ac:dyDescent="0.3">
      <c r="B13" s="16">
        <f t="shared" si="0"/>
        <v>4</v>
      </c>
      <c r="C13" s="106" t="s">
        <v>116</v>
      </c>
      <c r="D13" s="107" t="s">
        <v>165</v>
      </c>
      <c r="E13" s="599" t="str">
        <f t="shared" si="1"/>
        <v>AndersWaage</v>
      </c>
      <c r="F13" s="192">
        <f>YEAR(I$5)-_xlfn.XLOOKUP(E13,Deltakerliste!E$5:E$98,Deltakerliste!I$5:I$98)</f>
        <v>77</v>
      </c>
      <c r="G13" s="192">
        <f>_xlfn.XLOOKUP(E13,Deltakerliste!E$5:E$98,Deltakerliste!H$5:H$98)</f>
        <v>2</v>
      </c>
      <c r="H13" s="592">
        <f>VLOOKUP(F13,Deltakerliste!P$6:T$84,G13,FALSE)</f>
        <v>1.7050000000000001</v>
      </c>
      <c r="I13" s="18"/>
      <c r="J13" s="132">
        <v>2.2465277777777778E-2</v>
      </c>
      <c r="K13" s="18"/>
      <c r="L13" s="600">
        <f t="shared" si="2"/>
        <v>7.2468637992831545E-3</v>
      </c>
      <c r="M13" s="594">
        <f>IF(L13="Løype",Poengsammendrag!$F$2,IF(L13="Arr",Poengsammendrag!$F$3,IF(L13="Brutt",50,IF(L13="Disk",50,ROUND(MAXA(100*(MIN(L$10:L$89)/L13),50),0)))))</f>
        <v>94</v>
      </c>
      <c r="N13" s="724">
        <f t="shared" si="3"/>
        <v>4.2503599995795628E-3</v>
      </c>
      <c r="O13" s="596">
        <f>IF(N13="Løype",Poengsammendrag!$F$2,IF(N13="Arr",Poengsammendrag!$F$3,IF(N13="Brutt",50,IF(N13="Disk",50,ROUND(MAXA(100*(MIN(N$10:N$89)/N13),50),0)))))</f>
        <v>90</v>
      </c>
      <c r="Q13" s="672"/>
      <c r="R13" s="672"/>
      <c r="S13" s="803" t="s">
        <v>314</v>
      </c>
      <c r="T13" s="736">
        <v>7.2468637992831545E-3</v>
      </c>
      <c r="U13" s="752">
        <v>94</v>
      </c>
      <c r="V13" s="781"/>
      <c r="W13" s="776" t="s">
        <v>380</v>
      </c>
      <c r="X13" s="740">
        <v>88</v>
      </c>
      <c r="AB13" s="828">
        <f t="shared" si="5"/>
        <v>58</v>
      </c>
      <c r="AC13" s="829">
        <f t="shared" si="4"/>
        <v>0</v>
      </c>
    </row>
    <row r="14" spans="2:29" ht="21" customHeight="1" thickBot="1" x14ac:dyDescent="0.3">
      <c r="B14" s="16">
        <f t="shared" si="0"/>
        <v>5</v>
      </c>
      <c r="C14" s="106" t="s">
        <v>163</v>
      </c>
      <c r="D14" s="107" t="s">
        <v>164</v>
      </c>
      <c r="E14" s="599" t="str">
        <f t="shared" si="1"/>
        <v>ArnulfVilmo</v>
      </c>
      <c r="F14" s="192">
        <f>YEAR(I$5)-_xlfn.XLOOKUP(E14,Deltakerliste!E$5:E$98,Deltakerliste!I$5:I$98)</f>
        <v>72</v>
      </c>
      <c r="G14" s="192">
        <f>_xlfn.XLOOKUP(E14,Deltakerliste!E$5:E$98,Deltakerliste!H$5:H$98)</f>
        <v>2</v>
      </c>
      <c r="H14" s="592">
        <f>VLOOKUP(F14,Deltakerliste!P$6:T$84,G14,FALSE)</f>
        <v>1.4969999999999999</v>
      </c>
      <c r="I14" s="18"/>
      <c r="J14" s="132">
        <v>2.3692129629629629E-2</v>
      </c>
      <c r="K14" s="18"/>
      <c r="L14" s="600">
        <f t="shared" si="2"/>
        <v>7.642622461170848E-3</v>
      </c>
      <c r="M14" s="594">
        <f>IF(L14="Løype",Poengsammendrag!$F$2,IF(L14="Arr",Poengsammendrag!$F$3,IF(L14="Brutt",50,IF(L14="Disk",50,ROUND(MAXA(100*(MIN(L$10:L$89)/L14),50),0)))))</f>
        <v>89</v>
      </c>
      <c r="N14" s="724">
        <f t="shared" si="3"/>
        <v>5.1052922252310274E-3</v>
      </c>
      <c r="O14" s="596">
        <f>IF(N14="Løype",Poengsammendrag!$F$2,IF(N14="Arr",Poengsammendrag!$F$3,IF(N14="Brutt",50,IF(N14="Disk",50,ROUND(MAXA(100*(MIN(N$10:N$89)/N14),50),0)))))</f>
        <v>75</v>
      </c>
      <c r="Q14" s="672"/>
      <c r="R14" s="672"/>
      <c r="S14" s="803" t="s">
        <v>163</v>
      </c>
      <c r="T14" s="736">
        <v>7.642622461170848E-3</v>
      </c>
      <c r="U14" s="752">
        <v>89</v>
      </c>
      <c r="V14" s="781"/>
      <c r="W14" s="776" t="s">
        <v>96</v>
      </c>
      <c r="X14" s="740">
        <v>85</v>
      </c>
      <c r="AB14" s="828">
        <f t="shared" si="5"/>
        <v>59</v>
      </c>
      <c r="AC14" s="829">
        <f t="shared" si="4"/>
        <v>0</v>
      </c>
    </row>
    <row r="15" spans="2:29" ht="21" customHeight="1" thickBot="1" x14ac:dyDescent="0.3">
      <c r="B15" s="16">
        <f t="shared" si="0"/>
        <v>6</v>
      </c>
      <c r="C15" s="106" t="s">
        <v>118</v>
      </c>
      <c r="D15" s="107" t="s">
        <v>119</v>
      </c>
      <c r="E15" s="599" t="str">
        <f t="shared" si="1"/>
        <v>KnutLillealtern</v>
      </c>
      <c r="F15" s="192">
        <f>YEAR(I$5)-_xlfn.XLOOKUP(E15,Deltakerliste!E$5:E$98,Deltakerliste!I$5:I$98)</f>
        <v>76</v>
      </c>
      <c r="G15" s="192">
        <f>_xlfn.XLOOKUP(E15,Deltakerliste!E$5:E$98,Deltakerliste!H$5:H$98)</f>
        <v>2</v>
      </c>
      <c r="H15" s="592">
        <f>VLOOKUP(F15,Deltakerliste!P$6:T$84,G15,FALSE)</f>
        <v>1.655</v>
      </c>
      <c r="I15" s="13"/>
      <c r="J15" s="13">
        <v>2.4479166666666666E-2</v>
      </c>
      <c r="K15" s="17"/>
      <c r="L15" s="600">
        <f t="shared" si="2"/>
        <v>7.8965053763440859E-3</v>
      </c>
      <c r="M15" s="594">
        <f>IF(L15="Løype",Poengsammendrag!$F$2,IF(L15="Arr",Poengsammendrag!$F$3,IF(L15="Brutt",50,IF(L15="Disk",50,ROUND(MAXA(100*(MIN(L$10:L$89)/L15),50),0)))))</f>
        <v>86</v>
      </c>
      <c r="N15" s="724">
        <f t="shared" si="3"/>
        <v>4.7713023422018648E-3</v>
      </c>
      <c r="O15" s="596">
        <f>IF(N15="Løype",Poengsammendrag!$F$2,IF(N15="Arr",Poengsammendrag!$F$3,IF(N15="Brutt",50,IF(N15="Disk",50,ROUND(MAXA(100*(MIN(N$10:N$89)/N15),50),0)))))</f>
        <v>80</v>
      </c>
      <c r="Q15" s="672"/>
      <c r="R15" s="672"/>
      <c r="S15" s="803" t="s">
        <v>118</v>
      </c>
      <c r="T15" s="736">
        <v>7.8965053763440859E-3</v>
      </c>
      <c r="U15" s="752">
        <v>86</v>
      </c>
      <c r="V15" s="781"/>
      <c r="W15" s="776" t="s">
        <v>80</v>
      </c>
      <c r="X15" s="740">
        <v>82</v>
      </c>
      <c r="AB15" s="828">
        <f t="shared" si="5"/>
        <v>60</v>
      </c>
      <c r="AC15" s="829">
        <f t="shared" si="4"/>
        <v>0</v>
      </c>
    </row>
    <row r="16" spans="2:29" ht="21" customHeight="1" thickBot="1" x14ac:dyDescent="0.3">
      <c r="B16" s="16">
        <f t="shared" si="0"/>
        <v>7</v>
      </c>
      <c r="C16" s="106" t="s">
        <v>90</v>
      </c>
      <c r="D16" s="107" t="s">
        <v>91</v>
      </c>
      <c r="E16" s="599" t="str">
        <f t="shared" si="1"/>
        <v>TorGjermstad</v>
      </c>
      <c r="F16" s="192">
        <f>YEAR(I$5)-_xlfn.XLOOKUP(E16,Deltakerliste!E$5:E$98,Deltakerliste!I$5:I$98)</f>
        <v>75</v>
      </c>
      <c r="G16" s="192">
        <f>_xlfn.XLOOKUP(E16,Deltakerliste!E$5:E$98,Deltakerliste!H$5:H$98)</f>
        <v>2</v>
      </c>
      <c r="H16" s="592">
        <f>VLOOKUP(F16,Deltakerliste!P$6:T$84,G16,FALSE)</f>
        <v>1.605</v>
      </c>
      <c r="I16" s="86">
        <v>1.7928240740740741E-2</v>
      </c>
      <c r="J16" s="86"/>
      <c r="K16" s="13"/>
      <c r="L16" s="600">
        <f t="shared" si="2"/>
        <v>8.1492003367003366E-3</v>
      </c>
      <c r="M16" s="594">
        <f>IF(L16="Løype",Poengsammendrag!$F$2,IF(L16="Arr",Poengsammendrag!$F$3,IF(L16="Brutt",50,IF(L16="Disk",50,ROUND(MAXA(100*(MIN(L$10:L$89)/L16),50),0)))))</f>
        <v>84</v>
      </c>
      <c r="N16" s="724">
        <f t="shared" si="3"/>
        <v>5.0773833873522349E-3</v>
      </c>
      <c r="O16" s="596">
        <f>IF(N16="Løype",Poengsammendrag!$F$2,IF(N16="Arr",Poengsammendrag!$F$3,IF(N16="Brutt",50,IF(N16="Disk",50,ROUND(MAXA(100*(MIN(N$10:N$89)/N16),50),0)))))</f>
        <v>75</v>
      </c>
      <c r="Q16" s="672"/>
      <c r="R16" s="672"/>
      <c r="S16" s="803" t="s">
        <v>90</v>
      </c>
      <c r="T16" s="736">
        <v>8.1492003367003366E-3</v>
      </c>
      <c r="U16" s="752">
        <v>84</v>
      </c>
      <c r="V16" s="781"/>
      <c r="W16" s="776" t="s">
        <v>118</v>
      </c>
      <c r="X16" s="740">
        <v>80</v>
      </c>
      <c r="AB16" s="828">
        <f t="shared" si="5"/>
        <v>61</v>
      </c>
      <c r="AC16" s="829">
        <f t="shared" si="4"/>
        <v>0</v>
      </c>
    </row>
    <row r="17" spans="2:29" ht="21" customHeight="1" thickBot="1" x14ac:dyDescent="0.3">
      <c r="B17" s="16">
        <f t="shared" si="0"/>
        <v>8</v>
      </c>
      <c r="C17" s="106" t="s">
        <v>101</v>
      </c>
      <c r="D17" s="107" t="s">
        <v>102</v>
      </c>
      <c r="E17" s="599" t="str">
        <f t="shared" si="1"/>
        <v>EvenHofstad</v>
      </c>
      <c r="F17" s="192">
        <f>YEAR(I$5)-_xlfn.XLOOKUP(E17,Deltakerliste!E$5:E$98,Deltakerliste!I$5:I$98)</f>
        <v>71</v>
      </c>
      <c r="G17" s="192">
        <f>_xlfn.XLOOKUP(E17,Deltakerliste!E$5:E$98,Deltakerliste!H$5:H$98)</f>
        <v>2</v>
      </c>
      <c r="H17" s="592">
        <f>VLOOKUP(F17,Deltakerliste!P$6:T$84,G17,FALSE)</f>
        <v>1.4609999999999999</v>
      </c>
      <c r="I17" s="86">
        <v>1.7974537037037035E-2</v>
      </c>
      <c r="J17" s="86"/>
      <c r="K17" s="13"/>
      <c r="L17" s="600">
        <f t="shared" si="2"/>
        <v>8.1702441077441072E-3</v>
      </c>
      <c r="M17" s="594">
        <f>IF(L17="Løype",Poengsammendrag!$F$2,IF(L17="Arr",Poengsammendrag!$F$3,IF(L17="Brutt",50,IF(L17="Disk",50,ROUND(MAXA(100*(MIN(L$10:L$89)/L17),50),0)))))</f>
        <v>83</v>
      </c>
      <c r="N17" s="724">
        <f t="shared" si="3"/>
        <v>5.5922273153621548E-3</v>
      </c>
      <c r="O17" s="596">
        <f>IF(N17="Løype",Poengsammendrag!$F$2,IF(N17="Arr",Poengsammendrag!$F$3,IF(N17="Brutt",50,IF(N17="Disk",50,ROUND(MAXA(100*(MIN(N$10:N$89)/N17),50),0)))))</f>
        <v>69</v>
      </c>
      <c r="Q17" s="672"/>
      <c r="R17" s="672"/>
      <c r="S17" s="803" t="s">
        <v>101</v>
      </c>
      <c r="T17" s="736">
        <v>8.1702441077441072E-3</v>
      </c>
      <c r="U17" s="752">
        <v>83</v>
      </c>
      <c r="V17" s="781"/>
      <c r="W17" s="776" t="s">
        <v>367</v>
      </c>
      <c r="X17" s="740">
        <v>80</v>
      </c>
      <c r="AB17" s="828">
        <f t="shared" si="5"/>
        <v>62</v>
      </c>
      <c r="AC17" s="829">
        <f t="shared" si="4"/>
        <v>0</v>
      </c>
    </row>
    <row r="18" spans="2:29" ht="21" customHeight="1" thickBot="1" x14ac:dyDescent="0.3">
      <c r="B18" s="16">
        <f t="shared" si="0"/>
        <v>9</v>
      </c>
      <c r="C18" s="106" t="s">
        <v>78</v>
      </c>
      <c r="D18" s="107" t="s">
        <v>79</v>
      </c>
      <c r="E18" s="599" t="str">
        <f t="shared" si="1"/>
        <v>LeifEngen</v>
      </c>
      <c r="F18" s="192">
        <f>YEAR(I$5)-_xlfn.XLOOKUP(E18,Deltakerliste!E$5:E$98,Deltakerliste!I$5:I$98)</f>
        <v>84</v>
      </c>
      <c r="G18" s="192">
        <f>_xlfn.XLOOKUP(E18,Deltakerliste!E$5:E$98,Deltakerliste!H$5:H$98)</f>
        <v>2</v>
      </c>
      <c r="H18" s="592">
        <f>VLOOKUP(F18,Deltakerliste!P$6:T$84,G18,FALSE)</f>
        <v>2.1509999999999998</v>
      </c>
      <c r="I18" s="86">
        <v>1.8136574074074076E-2</v>
      </c>
      <c r="J18" s="86"/>
      <c r="K18" s="13"/>
      <c r="L18" s="600">
        <f t="shared" si="2"/>
        <v>8.2438973063973069E-3</v>
      </c>
      <c r="M18" s="594">
        <f>IF(L18="Løype",Poengsammendrag!$F$2,IF(L18="Arr",Poengsammendrag!$F$3,IF(L18="Brutt",50,IF(L18="Disk",50,ROUND(MAXA(100*(MIN(L$10:L$89)/L18),50),0)))))</f>
        <v>83</v>
      </c>
      <c r="N18" s="724">
        <f t="shared" si="3"/>
        <v>3.8325882410029325E-3</v>
      </c>
      <c r="O18" s="596">
        <f>IF(N18="Løype",Poengsammendrag!$F$2,IF(N18="Arr",Poengsammendrag!$F$3,IF(N18="Brutt",50,IF(N18="Disk",50,ROUND(MAXA(100*(MIN(N$10:N$89)/N18),50),0)))))</f>
        <v>100</v>
      </c>
      <c r="Q18" s="672"/>
      <c r="R18" s="672"/>
      <c r="S18" s="803" t="s">
        <v>338</v>
      </c>
      <c r="T18" s="736">
        <v>8.2438973063973069E-3</v>
      </c>
      <c r="U18" s="752">
        <v>83</v>
      </c>
      <c r="V18" s="781"/>
      <c r="W18" s="776" t="s">
        <v>122</v>
      </c>
      <c r="X18" s="740">
        <v>79</v>
      </c>
      <c r="AB18" s="828">
        <f t="shared" si="5"/>
        <v>63</v>
      </c>
      <c r="AC18" s="829">
        <f t="shared" si="4"/>
        <v>0</v>
      </c>
    </row>
    <row r="19" spans="2:29" ht="21" thickBot="1" x14ac:dyDescent="0.3">
      <c r="B19" s="16">
        <f t="shared" si="0"/>
        <v>10</v>
      </c>
      <c r="C19" s="106" t="s">
        <v>68</v>
      </c>
      <c r="D19" s="107" t="s">
        <v>69</v>
      </c>
      <c r="E19" s="599" t="str">
        <f t="shared" si="1"/>
        <v>JanBøhle</v>
      </c>
      <c r="F19" s="192">
        <f>YEAR(I$5)-_xlfn.XLOOKUP(E19,Deltakerliste!E$5:E$98,Deltakerliste!I$5:I$98)</f>
        <v>73</v>
      </c>
      <c r="G19" s="192">
        <f>_xlfn.XLOOKUP(E19,Deltakerliste!E$5:E$98,Deltakerliste!H$5:H$98)</f>
        <v>2</v>
      </c>
      <c r="H19" s="592">
        <f>VLOOKUP(F19,Deltakerliste!P$6:T$84,G19,FALSE)</f>
        <v>1.5329999999999999</v>
      </c>
      <c r="I19" s="86"/>
      <c r="J19" s="86">
        <v>2.5914351851851852E-2</v>
      </c>
      <c r="K19" s="13"/>
      <c r="L19" s="600">
        <f t="shared" si="2"/>
        <v>8.3594683393070478E-3</v>
      </c>
      <c r="M19" s="594">
        <f>IF(L19="Løype",Poengsammendrag!$F$2,IF(L19="Arr",Poengsammendrag!$F$3,IF(L19="Brutt",50,IF(L19="Disk",50,ROUND(MAXA(100*(MIN(L$10:L$89)/L19),50),0)))))</f>
        <v>82</v>
      </c>
      <c r="N19" s="724">
        <f t="shared" si="3"/>
        <v>5.4530126153340174E-3</v>
      </c>
      <c r="O19" s="596">
        <f>IF(N19="Løype",Poengsammendrag!$F$2,IF(N19="Arr",Poengsammendrag!$F$3,IF(N19="Brutt",50,IF(N19="Disk",50,ROUND(MAXA(100*(MIN(N$10:N$89)/N19),50),0)))))</f>
        <v>70</v>
      </c>
      <c r="Q19" s="672"/>
      <c r="R19" s="672"/>
      <c r="S19" s="803" t="s">
        <v>68</v>
      </c>
      <c r="T19" s="736">
        <v>8.3594683393070478E-3</v>
      </c>
      <c r="U19" s="752">
        <v>82</v>
      </c>
      <c r="V19" s="781"/>
      <c r="W19" s="776" t="s">
        <v>337</v>
      </c>
      <c r="X19" s="740">
        <v>79</v>
      </c>
      <c r="AB19" s="828">
        <f t="shared" si="5"/>
        <v>64</v>
      </c>
      <c r="AC19" s="829">
        <f t="shared" si="4"/>
        <v>0</v>
      </c>
    </row>
    <row r="20" spans="2:29" ht="21" thickBot="1" x14ac:dyDescent="0.3">
      <c r="B20" s="16">
        <f t="shared" si="0"/>
        <v>11</v>
      </c>
      <c r="C20" s="106" t="s">
        <v>63</v>
      </c>
      <c r="D20" s="107" t="s">
        <v>98</v>
      </c>
      <c r="E20" s="599" t="str">
        <f t="shared" si="1"/>
        <v>ToreHeggem</v>
      </c>
      <c r="F20" s="192">
        <f>YEAR(I$5)-_xlfn.XLOOKUP(E20,Deltakerliste!E$5:E$98,Deltakerliste!I$5:I$98)</f>
        <v>72</v>
      </c>
      <c r="G20" s="192">
        <f>_xlfn.XLOOKUP(E20,Deltakerliste!E$5:E$98,Deltakerliste!H$5:H$98)</f>
        <v>2</v>
      </c>
      <c r="H20" s="592">
        <f>VLOOKUP(F20,Deltakerliste!P$6:T$84,G20,FALSE)</f>
        <v>1.4969999999999999</v>
      </c>
      <c r="I20" s="86"/>
      <c r="J20" s="86">
        <v>2.599537037037037E-2</v>
      </c>
      <c r="K20" s="13"/>
      <c r="L20" s="600">
        <f t="shared" si="2"/>
        <v>8.3856033452807642E-3</v>
      </c>
      <c r="M20" s="594">
        <f>IF(L20="Løype",Poengsammendrag!$F$2,IF(L20="Arr",Poengsammendrag!$F$3,IF(L20="Brutt",50,IF(L20="Disk",50,ROUND(MAXA(100*(MIN(L$10:L$89)/L20),50),0)))))</f>
        <v>81</v>
      </c>
      <c r="N20" s="724">
        <f t="shared" si="3"/>
        <v>5.6016054410693156E-3</v>
      </c>
      <c r="O20" s="596">
        <f>IF(N20="Løype",Poengsammendrag!$F$2,IF(N20="Arr",Poengsammendrag!$F$3,IF(N20="Brutt",50,IF(N20="Disk",50,ROUND(MAXA(100*(MIN(N$10:N$89)/N20),50),0)))))</f>
        <v>68</v>
      </c>
      <c r="Q20" s="672"/>
      <c r="R20" s="672"/>
      <c r="S20" s="803" t="s">
        <v>340</v>
      </c>
      <c r="T20" s="736">
        <v>8.3856033452807642E-3</v>
      </c>
      <c r="U20" s="752">
        <v>81</v>
      </c>
      <c r="V20" s="781"/>
      <c r="W20" s="776" t="s">
        <v>120</v>
      </c>
      <c r="X20" s="740">
        <v>79</v>
      </c>
      <c r="AB20" s="828">
        <f t="shared" si="5"/>
        <v>65</v>
      </c>
      <c r="AC20" s="829">
        <f t="shared" si="4"/>
        <v>0</v>
      </c>
    </row>
    <row r="21" spans="2:29" ht="21" customHeight="1" thickBot="1" x14ac:dyDescent="0.3">
      <c r="B21" s="16">
        <f t="shared" si="0"/>
        <v>12</v>
      </c>
      <c r="C21" s="106" t="s">
        <v>64</v>
      </c>
      <c r="D21" s="107" t="s">
        <v>366</v>
      </c>
      <c r="E21" s="599" t="str">
        <f t="shared" si="1"/>
        <v>BjørnHafskjold</v>
      </c>
      <c r="F21" s="192">
        <f>YEAR(I$5)-_xlfn.XLOOKUP(E21,Deltakerliste!E$5:E$98,Deltakerliste!I$5:I$98)</f>
        <v>78</v>
      </c>
      <c r="G21" s="192">
        <f>_xlfn.XLOOKUP(E21,Deltakerliste!E$5:E$98,Deltakerliste!H$5:H$98)</f>
        <v>2</v>
      </c>
      <c r="H21" s="592">
        <f>VLOOKUP(F21,Deltakerliste!P$6:T$84,G21,FALSE)</f>
        <v>1.7550000000000001</v>
      </c>
      <c r="I21" s="14">
        <v>1.8541666666666668E-2</v>
      </c>
      <c r="J21" s="14"/>
      <c r="K21" s="18"/>
      <c r="L21" s="600">
        <f t="shared" si="2"/>
        <v>8.4280303030303035E-3</v>
      </c>
      <c r="M21" s="594">
        <f>IF(L21="Løype",Poengsammendrag!$F$2,IF(L21="Arr",Poengsammendrag!$F$3,IF(L21="Brutt",50,IF(L21="Disk",50,ROUND(MAXA(100*(MIN(L$10:L$89)/L21),50),0)))))</f>
        <v>81</v>
      </c>
      <c r="N21" s="724">
        <f t="shared" si="3"/>
        <v>4.8022964689631359E-3</v>
      </c>
      <c r="O21" s="596">
        <f>IF(N21="Løype",Poengsammendrag!$F$2,IF(N21="Arr",Poengsammendrag!$F$3,IF(N21="Brutt",50,IF(N21="Disk",50,ROUND(MAXA(100*(MIN(N$10:N$89)/N21),50),0)))))</f>
        <v>80</v>
      </c>
      <c r="Q21" s="672"/>
      <c r="R21" s="672"/>
      <c r="S21" s="803" t="s">
        <v>367</v>
      </c>
      <c r="T21" s="736">
        <v>8.4280303030303035E-3</v>
      </c>
      <c r="U21" s="752">
        <v>81</v>
      </c>
      <c r="V21" s="781"/>
      <c r="W21" s="776" t="s">
        <v>138</v>
      </c>
      <c r="X21" s="740">
        <v>78</v>
      </c>
      <c r="AB21" s="828">
        <f t="shared" si="5"/>
        <v>66</v>
      </c>
      <c r="AC21" s="829">
        <f t="shared" si="4"/>
        <v>1</v>
      </c>
    </row>
    <row r="22" spans="2:29" ht="21" customHeight="1" thickBot="1" x14ac:dyDescent="0.3">
      <c r="B22" s="16">
        <f t="shared" si="0"/>
        <v>13</v>
      </c>
      <c r="C22" s="106" t="s">
        <v>106</v>
      </c>
      <c r="D22" s="107" t="s">
        <v>107</v>
      </c>
      <c r="E22" s="599" t="str">
        <f t="shared" si="1"/>
        <v>Jon ArneKlemetsaune</v>
      </c>
      <c r="F22" s="192">
        <f>YEAR(I$5)-_xlfn.XLOOKUP(E22,Deltakerliste!E$5:E$98,Deltakerliste!I$5:I$98)</f>
        <v>76</v>
      </c>
      <c r="G22" s="192">
        <f>_xlfn.XLOOKUP(E22,Deltakerliste!E$5:E$98,Deltakerliste!H$5:H$98)</f>
        <v>2</v>
      </c>
      <c r="H22" s="592">
        <f>VLOOKUP(F22,Deltakerliste!P$6:T$84,G22,FALSE)</f>
        <v>1.655</v>
      </c>
      <c r="I22" s="86"/>
      <c r="J22" s="86">
        <v>2.6157407407407407E-2</v>
      </c>
      <c r="K22" s="17"/>
      <c r="L22" s="600">
        <f t="shared" si="2"/>
        <v>8.4378733572281952E-3</v>
      </c>
      <c r="M22" s="594">
        <f>IF(L22="Løype",Poengsammendrag!$F$2,IF(L22="Arr",Poengsammendrag!$F$3,IF(L22="Brutt",50,IF(L22="Disk",50,ROUND(MAXA(100*(MIN(L$10:L$89)/L22),50),0)))))</f>
        <v>81</v>
      </c>
      <c r="N22" s="724">
        <f t="shared" si="3"/>
        <v>5.0984129046696041E-3</v>
      </c>
      <c r="O22" s="596">
        <f>IF(N22="Løype",Poengsammendrag!$F$2,IF(N22="Arr",Poengsammendrag!$F$3,IF(N22="Brutt",50,IF(N22="Disk",50,ROUND(MAXA(100*(MIN(N$10:N$89)/N22),50),0)))))</f>
        <v>75</v>
      </c>
      <c r="Q22" s="672"/>
      <c r="R22" s="672"/>
      <c r="S22" s="803" t="s">
        <v>106</v>
      </c>
      <c r="T22" s="736">
        <v>8.4378733572281952E-3</v>
      </c>
      <c r="U22" s="752">
        <v>81</v>
      </c>
      <c r="V22" s="781"/>
      <c r="W22" s="776" t="s">
        <v>134</v>
      </c>
      <c r="X22" s="740">
        <v>77</v>
      </c>
      <c r="AB22" s="828">
        <f t="shared" si="5"/>
        <v>67</v>
      </c>
      <c r="AC22" s="829">
        <f t="shared" si="4"/>
        <v>0</v>
      </c>
    </row>
    <row r="23" spans="2:29" ht="21" customHeight="1" thickBot="1" x14ac:dyDescent="0.3">
      <c r="B23" s="16">
        <f t="shared" si="0"/>
        <v>14</v>
      </c>
      <c r="C23" s="106" t="s">
        <v>80</v>
      </c>
      <c r="D23" s="107" t="s">
        <v>81</v>
      </c>
      <c r="E23" s="599" t="str">
        <f t="shared" si="1"/>
        <v>HalvorFlatberg</v>
      </c>
      <c r="F23" s="192">
        <f>YEAR(I$5)-_xlfn.XLOOKUP(E23,Deltakerliste!E$5:E$98,Deltakerliste!I$5:I$98)</f>
        <v>79</v>
      </c>
      <c r="G23" s="192">
        <f>_xlfn.XLOOKUP(E23,Deltakerliste!E$5:E$98,Deltakerliste!H$5:H$98)</f>
        <v>2</v>
      </c>
      <c r="H23" s="592">
        <f>VLOOKUP(F23,Deltakerliste!P$6:T$84,G23,FALSE)</f>
        <v>1.8050000000000002</v>
      </c>
      <c r="I23" s="86">
        <v>1.8576388888888889E-2</v>
      </c>
      <c r="J23" s="86"/>
      <c r="K23" s="13"/>
      <c r="L23" s="600">
        <f t="shared" si="2"/>
        <v>8.4438131313131302E-3</v>
      </c>
      <c r="M23" s="594">
        <f>IF(L23="Løype",Poengsammendrag!$F$2,IF(L23="Arr",Poengsammendrag!$F$3,IF(L23="Brutt",50,IF(L23="Disk",50,ROUND(MAXA(100*(MIN(L$10:L$89)/L23),50),0)))))</f>
        <v>81</v>
      </c>
      <c r="N23" s="724">
        <f t="shared" si="3"/>
        <v>4.6780128151319277E-3</v>
      </c>
      <c r="O23" s="596">
        <f>IF(N23="Løype",Poengsammendrag!$F$2,IF(N23="Arr",Poengsammendrag!$F$3,IF(N23="Brutt",50,IF(N23="Disk",50,ROUND(MAXA(100*(MIN(N$10:N$89)/N23),50),0)))))</f>
        <v>82</v>
      </c>
      <c r="Q23" s="672"/>
      <c r="R23" s="672"/>
      <c r="S23" s="803" t="s">
        <v>80</v>
      </c>
      <c r="T23" s="736">
        <v>8.4438131313131302E-3</v>
      </c>
      <c r="U23" s="752">
        <v>81</v>
      </c>
      <c r="V23" s="781"/>
      <c r="W23" s="776" t="s">
        <v>90</v>
      </c>
      <c r="X23" s="740">
        <v>75</v>
      </c>
      <c r="AB23" s="828">
        <f t="shared" si="5"/>
        <v>68</v>
      </c>
      <c r="AC23" s="829">
        <f t="shared" si="4"/>
        <v>0</v>
      </c>
    </row>
    <row r="24" spans="2:29" ht="21" thickBot="1" x14ac:dyDescent="0.3">
      <c r="B24" s="16">
        <f t="shared" si="0"/>
        <v>15</v>
      </c>
      <c r="C24" s="106" t="s">
        <v>263</v>
      </c>
      <c r="D24" s="107" t="s">
        <v>264</v>
      </c>
      <c r="E24" s="599" t="str">
        <f t="shared" si="1"/>
        <v>RuneHolt</v>
      </c>
      <c r="F24" s="192">
        <f>YEAR(I$5)-_xlfn.XLOOKUP(E24,Deltakerliste!E$5:E$98,Deltakerliste!I$5:I$98)</f>
        <v>72</v>
      </c>
      <c r="G24" s="192">
        <f>_xlfn.XLOOKUP(E24,Deltakerliste!E$5:E$98,Deltakerliste!H$5:H$98)</f>
        <v>2</v>
      </c>
      <c r="H24" s="592">
        <f>VLOOKUP(F24,Deltakerliste!P$6:T$84,G24,FALSE)</f>
        <v>1.4969999999999999</v>
      </c>
      <c r="I24" s="86">
        <v>1.8807870370370371E-2</v>
      </c>
      <c r="J24" s="86"/>
      <c r="K24" s="17"/>
      <c r="L24" s="600">
        <f t="shared" si="2"/>
        <v>8.5490319865319866E-3</v>
      </c>
      <c r="M24" s="594">
        <f>IF(L24="Løype",Poengsammendrag!$F$2,IF(L24="Arr",Poengsammendrag!$F$3,IF(L24="Brutt",50,IF(L24="Disk",50,ROUND(MAXA(100*(MIN(L$10:L$89)/L24),50),0)))))</f>
        <v>80</v>
      </c>
      <c r="N24" s="724">
        <f t="shared" si="3"/>
        <v>5.7107762101082076E-3</v>
      </c>
      <c r="O24" s="596">
        <f>IF(N24="Løype",Poengsammendrag!$F$2,IF(N24="Arr",Poengsammendrag!$F$3,IF(N24="Brutt",50,IF(N24="Disk",50,ROUND(MAXA(100*(MIN(N$10:N$89)/N24),50),0)))))</f>
        <v>67</v>
      </c>
      <c r="Q24" s="672"/>
      <c r="R24" s="672"/>
      <c r="S24" s="803" t="s">
        <v>263</v>
      </c>
      <c r="T24" s="736">
        <v>8.5490319865319866E-3</v>
      </c>
      <c r="U24" s="752">
        <v>80</v>
      </c>
      <c r="V24" s="781"/>
      <c r="W24" s="776" t="s">
        <v>106</v>
      </c>
      <c r="X24" s="740">
        <v>75</v>
      </c>
      <c r="AB24" s="828">
        <f t="shared" si="5"/>
        <v>69</v>
      </c>
      <c r="AC24" s="829">
        <f t="shared" si="4"/>
        <v>1</v>
      </c>
    </row>
    <row r="25" spans="2:29" ht="21" thickBot="1" x14ac:dyDescent="0.3">
      <c r="B25" s="16">
        <f t="shared" si="0"/>
        <v>16</v>
      </c>
      <c r="C25" s="106" t="s">
        <v>63</v>
      </c>
      <c r="D25" s="107" t="s">
        <v>336</v>
      </c>
      <c r="E25" s="599" t="str">
        <f t="shared" si="1"/>
        <v>ToreFornes</v>
      </c>
      <c r="F25" s="192">
        <f>YEAR(I$5)-_xlfn.XLOOKUP(E25,Deltakerliste!E$5:E$98,Deltakerliste!I$5:I$98)</f>
        <v>66</v>
      </c>
      <c r="G25" s="192">
        <f>_xlfn.XLOOKUP(E25,Deltakerliste!E$5:E$98,Deltakerliste!H$5:H$98)</f>
        <v>2</v>
      </c>
      <c r="H25" s="592">
        <f>VLOOKUP(F25,Deltakerliste!P$6:T$84,G25,FALSE)</f>
        <v>1.3209999999999997</v>
      </c>
      <c r="I25" s="86"/>
      <c r="J25" s="86">
        <v>2.7870370370370372E-2</v>
      </c>
      <c r="K25" s="13"/>
      <c r="L25" s="600">
        <f t="shared" si="2"/>
        <v>8.9904420549581834E-3</v>
      </c>
      <c r="M25" s="594">
        <f>IF(L25="Løype",Poengsammendrag!$F$2,IF(L25="Arr",Poengsammendrag!$F$3,IF(L25="Brutt",50,IF(L25="Disk",50,ROUND(MAXA(100*(MIN(L$10:L$89)/L25),50),0)))))</f>
        <v>76</v>
      </c>
      <c r="N25" s="724">
        <f t="shared" si="3"/>
        <v>6.8057850529585047E-3</v>
      </c>
      <c r="O25" s="596">
        <f>IF(N25="Løype",Poengsammendrag!$F$2,IF(N25="Arr",Poengsammendrag!$F$3,IF(N25="Brutt",50,IF(N25="Disk",50,ROUND(MAXA(100*(MIN(N$10:N$89)/N25),50),0)))))</f>
        <v>56</v>
      </c>
      <c r="Q25" s="672"/>
      <c r="R25" s="672"/>
      <c r="S25" s="803" t="s">
        <v>346</v>
      </c>
      <c r="T25" s="736">
        <v>8.9904420549581834E-3</v>
      </c>
      <c r="U25" s="752">
        <v>76</v>
      </c>
      <c r="V25" s="781"/>
      <c r="W25" s="776" t="s">
        <v>163</v>
      </c>
      <c r="X25" s="740">
        <v>75</v>
      </c>
      <c r="AB25" s="828">
        <f t="shared" si="5"/>
        <v>70</v>
      </c>
      <c r="AC25" s="829">
        <f t="shared" si="4"/>
        <v>0</v>
      </c>
    </row>
    <row r="26" spans="2:29" ht="21" customHeight="1" thickBot="1" x14ac:dyDescent="0.3">
      <c r="B26" s="16">
        <f t="shared" si="0"/>
        <v>17</v>
      </c>
      <c r="C26" s="106" t="s">
        <v>72</v>
      </c>
      <c r="D26" s="107" t="s">
        <v>73</v>
      </c>
      <c r="E26" s="599" t="str">
        <f t="shared" si="1"/>
        <v>KåreEggereide</v>
      </c>
      <c r="F26" s="192">
        <f>YEAR(I$5)-_xlfn.XLOOKUP(E26,Deltakerliste!E$5:E$98,Deltakerliste!I$5:I$98)</f>
        <v>74</v>
      </c>
      <c r="G26" s="192">
        <f>_xlfn.XLOOKUP(E26,Deltakerliste!E$5:E$98,Deltakerliste!H$5:H$98)</f>
        <v>2</v>
      </c>
      <c r="H26" s="592">
        <f>VLOOKUP(F26,Deltakerliste!P$6:T$84,G26,FALSE)</f>
        <v>1.569</v>
      </c>
      <c r="I26" s="593"/>
      <c r="J26" s="13">
        <v>2.8842592592592593E-2</v>
      </c>
      <c r="K26" s="13"/>
      <c r="L26" s="600">
        <f t="shared" si="2"/>
        <v>9.304062126642771E-3</v>
      </c>
      <c r="M26" s="594">
        <f>IF(L26="Løype",Poengsammendrag!$F$2,IF(L26="Arr",Poengsammendrag!$F$3,IF(L26="Brutt",50,IF(L26="Disk",50,ROUND(MAXA(100*(MIN(L$10:L$89)/L26),50),0)))))</f>
        <v>73</v>
      </c>
      <c r="N26" s="724">
        <f t="shared" si="3"/>
        <v>5.9299312470635895E-3</v>
      </c>
      <c r="O26" s="596">
        <f>IF(N26="Løype",Poengsammendrag!$F$2,IF(N26="Arr",Poengsammendrag!$F$3,IF(N26="Brutt",50,IF(N26="Disk",50,ROUND(MAXA(100*(MIN(N$10:N$89)/N26),50),0)))))</f>
        <v>65</v>
      </c>
      <c r="Q26" s="672"/>
      <c r="R26" s="672"/>
      <c r="S26" s="803" t="s">
        <v>72</v>
      </c>
      <c r="T26" s="736">
        <v>9.304062126642771E-3</v>
      </c>
      <c r="U26" s="752">
        <v>73</v>
      </c>
      <c r="V26" s="781"/>
      <c r="W26" s="776" t="s">
        <v>356</v>
      </c>
      <c r="X26" s="740">
        <v>72</v>
      </c>
      <c r="AB26" s="828">
        <f t="shared" si="5"/>
        <v>71</v>
      </c>
      <c r="AC26" s="829">
        <f t="shared" si="4"/>
        <v>2</v>
      </c>
    </row>
    <row r="27" spans="2:29" ht="21" thickBot="1" x14ac:dyDescent="0.3">
      <c r="B27" s="16">
        <f t="shared" si="0"/>
        <v>18</v>
      </c>
      <c r="C27" s="106" t="s">
        <v>122</v>
      </c>
      <c r="D27" s="107" t="s">
        <v>123</v>
      </c>
      <c r="E27" s="599" t="str">
        <f t="shared" si="1"/>
        <v>MartinMelhuus</v>
      </c>
      <c r="F27" s="192">
        <f>YEAR(I$5)-_xlfn.XLOOKUP(E27,Deltakerliste!E$5:E$98,Deltakerliste!I$5:I$98)</f>
        <v>81</v>
      </c>
      <c r="G27" s="192">
        <f>_xlfn.XLOOKUP(E27,Deltakerliste!E$5:E$98,Deltakerliste!H$5:H$98)</f>
        <v>2</v>
      </c>
      <c r="H27" s="592">
        <f>VLOOKUP(F27,Deltakerliste!P$6:T$84,G27,FALSE)</f>
        <v>1.9290000000000003</v>
      </c>
      <c r="I27" s="13">
        <v>2.0486111111111111E-2</v>
      </c>
      <c r="J27" s="13"/>
      <c r="K27" s="13"/>
      <c r="L27" s="600">
        <f t="shared" si="2"/>
        <v>9.3118686868686861E-3</v>
      </c>
      <c r="M27" s="594">
        <f>IF(L27="Løype",Poengsammendrag!$F$2,IF(L27="Arr",Poengsammendrag!$F$3,IF(L27="Brutt",50,IF(L27="Disk",50,ROUND(MAXA(100*(MIN(L$10:L$89)/L27),50),0)))))</f>
        <v>73</v>
      </c>
      <c r="N27" s="724">
        <f t="shared" si="3"/>
        <v>4.8273036220159073E-3</v>
      </c>
      <c r="O27" s="596">
        <f>IF(N27="Løype",Poengsammendrag!$F$2,IF(N27="Arr",Poengsammendrag!$F$3,IF(N27="Brutt",50,IF(N27="Disk",50,ROUND(MAXA(100*(MIN(N$10:N$89)/N27),50),0)))))</f>
        <v>79</v>
      </c>
      <c r="Q27" s="672"/>
      <c r="R27" s="672"/>
      <c r="S27" s="803" t="s">
        <v>122</v>
      </c>
      <c r="T27" s="736">
        <v>9.3118686868686861E-3</v>
      </c>
      <c r="U27" s="752">
        <v>73</v>
      </c>
      <c r="V27" s="781"/>
      <c r="W27" s="776" t="s">
        <v>68</v>
      </c>
      <c r="X27" s="740">
        <v>70</v>
      </c>
      <c r="AB27" s="828">
        <f t="shared" si="5"/>
        <v>72</v>
      </c>
      <c r="AC27" s="829">
        <f t="shared" si="4"/>
        <v>5</v>
      </c>
    </row>
    <row r="28" spans="2:29" ht="21" customHeight="1" thickBot="1" x14ac:dyDescent="0.3">
      <c r="B28" s="16">
        <f t="shared" si="0"/>
        <v>19</v>
      </c>
      <c r="C28" s="106" t="s">
        <v>78</v>
      </c>
      <c r="D28" s="107" t="s">
        <v>146</v>
      </c>
      <c r="E28" s="599" t="str">
        <f t="shared" si="1"/>
        <v>LeifRøhjell</v>
      </c>
      <c r="F28" s="192">
        <f>YEAR(I$5)-_xlfn.XLOOKUP(E28,Deltakerliste!E$5:E$98,Deltakerliste!I$5:I$98)</f>
        <v>81</v>
      </c>
      <c r="G28" s="192">
        <f>_xlfn.XLOOKUP(E28,Deltakerliste!E$5:E$98,Deltakerliste!H$5:H$98)</f>
        <v>2</v>
      </c>
      <c r="H28" s="592">
        <f>VLOOKUP(F28,Deltakerliste!P$6:T$84,G28,FALSE)</f>
        <v>1.9290000000000003</v>
      </c>
      <c r="I28" s="132">
        <v>2.060185185185185E-2</v>
      </c>
      <c r="J28" s="18"/>
      <c r="K28" s="18"/>
      <c r="L28" s="600">
        <f t="shared" si="2"/>
        <v>9.3644781144781135E-3</v>
      </c>
      <c r="M28" s="594">
        <f>IF(L28="Løype",Poengsammendrag!$F$2,IF(L28="Arr",Poengsammendrag!$F$3,IF(L28="Brutt",50,IF(L28="Disk",50,ROUND(MAXA(100*(MIN(L$10:L$89)/L28),50),0)))))</f>
        <v>73</v>
      </c>
      <c r="N28" s="724">
        <f t="shared" si="3"/>
        <v>4.8545765238352063E-3</v>
      </c>
      <c r="O28" s="596">
        <f>IF(N28="Løype",Poengsammendrag!$F$2,IF(N28="Arr",Poengsammendrag!$F$3,IF(N28="Brutt",50,IF(N28="Disk",50,ROUND(MAXA(100*(MIN(N$10:N$89)/N28),50),0)))))</f>
        <v>79</v>
      </c>
      <c r="Q28" s="672"/>
      <c r="R28" s="672"/>
      <c r="S28" s="803" t="s">
        <v>337</v>
      </c>
      <c r="T28" s="736">
        <v>9.3644781144781135E-3</v>
      </c>
      <c r="U28" s="752">
        <v>73</v>
      </c>
      <c r="V28" s="781"/>
      <c r="W28" s="776" t="s">
        <v>101</v>
      </c>
      <c r="X28" s="740">
        <v>69</v>
      </c>
      <c r="AB28" s="828">
        <f t="shared" si="5"/>
        <v>73</v>
      </c>
      <c r="AC28" s="829">
        <f t="shared" si="4"/>
        <v>2</v>
      </c>
    </row>
    <row r="29" spans="2:29" ht="21" thickBot="1" x14ac:dyDescent="0.3">
      <c r="B29" s="16">
        <f t="shared" si="0"/>
        <v>20</v>
      </c>
      <c r="C29" s="106" t="s">
        <v>159</v>
      </c>
      <c r="D29" s="107" t="s">
        <v>160</v>
      </c>
      <c r="E29" s="599" t="str">
        <f t="shared" si="1"/>
        <v>EigilSørli</v>
      </c>
      <c r="F29" s="192">
        <f>YEAR(I$5)-_xlfn.XLOOKUP(E29,Deltakerliste!E$5:E$98,Deltakerliste!I$5:I$98)</f>
        <v>85</v>
      </c>
      <c r="G29" s="192">
        <f>_xlfn.XLOOKUP(E29,Deltakerliste!E$5:E$98,Deltakerliste!H$5:H$98)</f>
        <v>2</v>
      </c>
      <c r="H29" s="592">
        <f>VLOOKUP(F29,Deltakerliste!P$6:T$84,G29,FALSE)</f>
        <v>2.2249999999999996</v>
      </c>
      <c r="I29" s="132">
        <v>2.1006944444444446E-2</v>
      </c>
      <c r="J29" s="18"/>
      <c r="K29" s="18"/>
      <c r="L29" s="600">
        <f t="shared" si="2"/>
        <v>9.5486111111111119E-3</v>
      </c>
      <c r="M29" s="594">
        <f>IF(L29="Løype",Poengsammendrag!$F$2,IF(L29="Arr",Poengsammendrag!$F$3,IF(L29="Brutt",50,IF(L29="Disk",50,ROUND(MAXA(100*(MIN(L$10:L$89)/L29),50),0)))))</f>
        <v>71</v>
      </c>
      <c r="N29" s="724">
        <f t="shared" si="3"/>
        <v>4.2915106117353318E-3</v>
      </c>
      <c r="O29" s="596">
        <f>IF(N29="Løype",Poengsammendrag!$F$2,IF(N29="Arr",Poengsammendrag!$F$3,IF(N29="Brutt",50,IF(N29="Disk",50,ROUND(MAXA(100*(MIN(N$10:N$89)/N29),50),0)))))</f>
        <v>89</v>
      </c>
      <c r="Q29" s="672"/>
      <c r="R29" s="672"/>
      <c r="S29" s="803" t="s">
        <v>357</v>
      </c>
      <c r="T29" s="736">
        <v>9.5486111111111119E-3</v>
      </c>
      <c r="U29" s="752">
        <v>71</v>
      </c>
      <c r="V29" s="781"/>
      <c r="W29" s="776" t="s">
        <v>340</v>
      </c>
      <c r="X29" s="740">
        <v>68</v>
      </c>
      <c r="AB29" s="828">
        <f t="shared" si="5"/>
        <v>74</v>
      </c>
      <c r="AC29" s="829">
        <f t="shared" si="4"/>
        <v>2</v>
      </c>
    </row>
    <row r="30" spans="2:29" ht="21" thickBot="1" x14ac:dyDescent="0.3">
      <c r="B30" s="16">
        <f t="shared" si="0"/>
        <v>21</v>
      </c>
      <c r="C30" s="106" t="s">
        <v>142</v>
      </c>
      <c r="D30" s="107" t="s">
        <v>143</v>
      </c>
      <c r="E30" s="599" t="str">
        <f t="shared" si="1"/>
        <v>EgilRepvik</v>
      </c>
      <c r="F30" s="192">
        <f>YEAR(I$5)-_xlfn.XLOOKUP(E30,Deltakerliste!E$5:E$98,Deltakerliste!I$5:I$98)</f>
        <v>79</v>
      </c>
      <c r="G30" s="192">
        <f>_xlfn.XLOOKUP(E30,Deltakerliste!E$5:E$98,Deltakerliste!H$5:H$98)</f>
        <v>2</v>
      </c>
      <c r="H30" s="592">
        <f>VLOOKUP(F30,Deltakerliste!P$6:T$84,G30,FALSE)</f>
        <v>1.8050000000000002</v>
      </c>
      <c r="I30" s="132">
        <v>2.1180555555555557E-2</v>
      </c>
      <c r="J30" s="18"/>
      <c r="K30" s="18"/>
      <c r="L30" s="600">
        <f t="shared" si="2"/>
        <v>9.6275252525252521E-3</v>
      </c>
      <c r="M30" s="594">
        <f>IF(L30="Løype",Poengsammendrag!$F$2,IF(L30="Arr",Poengsammendrag!$F$3,IF(L30="Brutt",50,IF(L30="Disk",50,ROUND(MAXA(100*(MIN(L$10:L$89)/L30),50),0)))))</f>
        <v>71</v>
      </c>
      <c r="N30" s="724">
        <f t="shared" si="3"/>
        <v>5.333809004169114E-3</v>
      </c>
      <c r="O30" s="596">
        <f>IF(N30="Løype",Poengsammendrag!$F$2,IF(N30="Arr",Poengsammendrag!$F$3,IF(N30="Brutt",50,IF(N30="Disk",50,ROUND(MAXA(100*(MIN(N$10:N$89)/N30),50),0)))))</f>
        <v>72</v>
      </c>
      <c r="Q30" s="672"/>
      <c r="R30" s="672"/>
      <c r="S30" s="803" t="s">
        <v>356</v>
      </c>
      <c r="T30" s="736">
        <v>9.6275252525252521E-3</v>
      </c>
      <c r="U30" s="752">
        <v>71</v>
      </c>
      <c r="V30" s="781"/>
      <c r="W30" s="776" t="s">
        <v>170</v>
      </c>
      <c r="X30" s="740">
        <v>68</v>
      </c>
      <c r="AB30" s="828">
        <f t="shared" si="5"/>
        <v>75</v>
      </c>
      <c r="AC30" s="829">
        <f t="shared" si="4"/>
        <v>1</v>
      </c>
    </row>
    <row r="31" spans="2:29" ht="21" customHeight="1" thickBot="1" x14ac:dyDescent="0.3">
      <c r="B31" s="16">
        <f t="shared" si="0"/>
        <v>22</v>
      </c>
      <c r="C31" s="106" t="s">
        <v>138</v>
      </c>
      <c r="D31" s="107" t="s">
        <v>137</v>
      </c>
      <c r="E31" s="599" t="str">
        <f t="shared" si="1"/>
        <v>GunnhildOftedal</v>
      </c>
      <c r="F31" s="192">
        <f>YEAR(I$5)-_xlfn.XLOOKUP(E31,Deltakerliste!E$5:E$98,Deltakerliste!I$5:I$98)</f>
        <v>72</v>
      </c>
      <c r="G31" s="192">
        <f>_xlfn.XLOOKUP(E31,Deltakerliste!E$5:E$98,Deltakerliste!H$5:H$98)</f>
        <v>4</v>
      </c>
      <c r="H31" s="592">
        <f>VLOOKUP(F31,Deltakerliste!P$6:T$84,G31,FALSE)</f>
        <v>2.0362000000000013</v>
      </c>
      <c r="I31" s="13"/>
      <c r="J31" s="13">
        <v>3.107638888888889E-2</v>
      </c>
      <c r="K31" s="13"/>
      <c r="L31" s="600">
        <f t="shared" si="2"/>
        <v>1.0024641577060931E-2</v>
      </c>
      <c r="M31" s="594">
        <f>IF(L31="Løype",Poengsammendrag!$F$2,IF(L31="Arr",Poengsammendrag!$F$3,IF(L31="Brutt",50,IF(L31="Disk",50,ROUND(MAXA(100*(MIN(L$10:L$89)/L31),50),0)))))</f>
        <v>68</v>
      </c>
      <c r="N31" s="724">
        <f t="shared" si="3"/>
        <v>4.9232106753073985E-3</v>
      </c>
      <c r="O31" s="596">
        <f>IF(N31="Løype",Poengsammendrag!$F$2,IF(N31="Arr",Poengsammendrag!$F$3,IF(N31="Brutt",50,IF(N31="Disk",50,ROUND(MAXA(100*(MIN(N$10:N$89)/N31),50),0)))))</f>
        <v>78</v>
      </c>
      <c r="Q31" s="672"/>
      <c r="R31" s="672"/>
      <c r="S31" s="803" t="s">
        <v>138</v>
      </c>
      <c r="T31" s="736">
        <v>1.0024641577060931E-2</v>
      </c>
      <c r="U31" s="752">
        <v>68</v>
      </c>
      <c r="V31" s="781"/>
      <c r="W31" s="776" t="s">
        <v>263</v>
      </c>
      <c r="X31" s="740">
        <v>67</v>
      </c>
      <c r="AB31" s="828">
        <f t="shared" si="5"/>
        <v>76</v>
      </c>
      <c r="AC31" s="829">
        <f t="shared" si="4"/>
        <v>3</v>
      </c>
    </row>
    <row r="32" spans="2:29" ht="21" customHeight="1" thickBot="1" x14ac:dyDescent="0.3">
      <c r="B32" s="16">
        <f t="shared" si="0"/>
        <v>23</v>
      </c>
      <c r="C32" s="106" t="s">
        <v>136</v>
      </c>
      <c r="D32" s="107" t="s">
        <v>137</v>
      </c>
      <c r="E32" s="599" t="str">
        <f t="shared" si="1"/>
        <v>HaraldOftedal</v>
      </c>
      <c r="F32" s="192">
        <f>YEAR(I$5)-_xlfn.XLOOKUP(E32,Deltakerliste!E$5:E$98,Deltakerliste!I$5:I$98)</f>
        <v>73</v>
      </c>
      <c r="G32" s="192">
        <f>_xlfn.XLOOKUP(E32,Deltakerliste!E$5:E$98,Deltakerliste!H$5:H$98)</f>
        <v>2</v>
      </c>
      <c r="H32" s="592">
        <f>VLOOKUP(F32,Deltakerliste!P$6:T$84,G32,FALSE)</f>
        <v>1.5329999999999999</v>
      </c>
      <c r="I32" s="132">
        <v>2.2638888888888889E-2</v>
      </c>
      <c r="J32" s="132"/>
      <c r="K32" s="134"/>
      <c r="L32" s="600">
        <f t="shared" si="2"/>
        <v>1.0290404040404039E-2</v>
      </c>
      <c r="M32" s="594">
        <f>IF(L32="Løype",Poengsammendrag!$F$2,IF(L32="Arr",Poengsammendrag!$F$3,IF(L32="Brutt",50,IF(L32="Disk",50,ROUND(MAXA(100*(MIN(L$10:L$89)/L32),50),0)))))</f>
        <v>66</v>
      </c>
      <c r="N32" s="724">
        <f t="shared" si="3"/>
        <v>6.7125923290306845E-3</v>
      </c>
      <c r="O32" s="596">
        <f>IF(N32="Løype",Poengsammendrag!$F$2,IF(N32="Arr",Poengsammendrag!$F$3,IF(N32="Brutt",50,IF(N32="Disk",50,ROUND(MAXA(100*(MIN(N$10:N$89)/N32),50),0)))))</f>
        <v>57</v>
      </c>
      <c r="S32" s="803" t="s">
        <v>136</v>
      </c>
      <c r="T32" s="736">
        <v>1.0290404040404039E-2</v>
      </c>
      <c r="U32" s="752">
        <v>66</v>
      </c>
      <c r="V32" s="781"/>
      <c r="W32" s="776" t="s">
        <v>72</v>
      </c>
      <c r="X32" s="740">
        <v>65</v>
      </c>
      <c r="AB32" s="828">
        <f t="shared" si="5"/>
        <v>77</v>
      </c>
      <c r="AC32" s="829">
        <f t="shared" si="4"/>
        <v>1</v>
      </c>
    </row>
    <row r="33" spans="2:29" ht="21" customHeight="1" thickBot="1" x14ac:dyDescent="0.3">
      <c r="B33" s="16">
        <f t="shared" si="0"/>
        <v>24</v>
      </c>
      <c r="C33" s="106" t="s">
        <v>96</v>
      </c>
      <c r="D33" s="107" t="s">
        <v>97</v>
      </c>
      <c r="E33" s="599" t="str">
        <f t="shared" si="1"/>
        <v>StigHaugskott</v>
      </c>
      <c r="F33" s="192">
        <f>YEAR(I$5)-_xlfn.XLOOKUP(E33,Deltakerliste!E$5:E$98,Deltakerliste!I$5:I$98)</f>
        <v>86</v>
      </c>
      <c r="G33" s="192">
        <f>_xlfn.XLOOKUP(E33,Deltakerliste!E$5:E$98,Deltakerliste!H$5:H$98)</f>
        <v>2</v>
      </c>
      <c r="H33" s="592">
        <f>VLOOKUP(F33,Deltakerliste!P$6:T$84,G33,FALSE)</f>
        <v>2.3089999999999997</v>
      </c>
      <c r="I33" s="86">
        <v>2.2905092592592591E-2</v>
      </c>
      <c r="J33" s="86"/>
      <c r="K33" s="86"/>
      <c r="L33" s="600">
        <f t="shared" si="2"/>
        <v>1.0411405723905722E-2</v>
      </c>
      <c r="M33" s="594">
        <f>IF(L33="Løype",Poengsammendrag!$F$2,IF(L33="Arr",Poengsammendrag!$F$3,IF(L33="Brutt",50,IF(L33="Disk",50,ROUND(MAXA(100*(MIN(L$10:L$89)/L33),50),0)))))</f>
        <v>65</v>
      </c>
      <c r="N33" s="724">
        <f t="shared" si="3"/>
        <v>4.5090540164165107E-3</v>
      </c>
      <c r="O33" s="596">
        <f>IF(N33="Løype",Poengsammendrag!$F$2,IF(N33="Arr",Poengsammendrag!$F$3,IF(N33="Brutt",50,IF(N33="Disk",50,ROUND(MAXA(100*(MIN(N$10:N$89)/N33),50),0)))))</f>
        <v>85</v>
      </c>
      <c r="S33" s="803" t="s">
        <v>96</v>
      </c>
      <c r="T33" s="736">
        <v>1.0411405723905722E-2</v>
      </c>
      <c r="U33" s="752">
        <v>65</v>
      </c>
      <c r="V33" s="781"/>
      <c r="W33" s="776" t="s">
        <v>136</v>
      </c>
      <c r="X33" s="740">
        <v>57</v>
      </c>
      <c r="AB33" s="828">
        <f t="shared" si="5"/>
        <v>78</v>
      </c>
      <c r="AC33" s="829">
        <f t="shared" si="4"/>
        <v>1</v>
      </c>
    </row>
    <row r="34" spans="2:29" ht="21" customHeight="1" thickBot="1" x14ac:dyDescent="0.3">
      <c r="B34" s="16">
        <f t="shared" si="0"/>
        <v>25</v>
      </c>
      <c r="C34" s="106" t="s">
        <v>170</v>
      </c>
      <c r="D34" s="107" t="s">
        <v>171</v>
      </c>
      <c r="E34" s="599" t="str">
        <f t="shared" si="1"/>
        <v>ØisteinÅsmul</v>
      </c>
      <c r="F34" s="192">
        <f>YEAR(I$5)-_xlfn.XLOOKUP(E34,Deltakerliste!E$5:E$98,Deltakerliste!I$5:I$98)</f>
        <v>80</v>
      </c>
      <c r="G34" s="192">
        <f>_xlfn.XLOOKUP(E34,Deltakerliste!E$5:E$98,Deltakerliste!H$5:H$98)</f>
        <v>2</v>
      </c>
      <c r="H34" s="592">
        <f>VLOOKUP(F34,Deltakerliste!P$6:T$84,G34,FALSE)</f>
        <v>1.8550000000000002</v>
      </c>
      <c r="I34" s="132">
        <v>2.3090277777777779E-2</v>
      </c>
      <c r="J34" s="132"/>
      <c r="K34" s="18"/>
      <c r="L34" s="600">
        <f t="shared" si="2"/>
        <v>1.0495580808080808E-2</v>
      </c>
      <c r="M34" s="594">
        <f>IF(L34="Løype",Poengsammendrag!$F$2,IF(L34="Arr",Poengsammendrag!$F$3,IF(L34="Brutt",50,IF(L34="Disk",50,ROUND(MAXA(100*(MIN(L$10:L$89)/L34),50),0)))))</f>
        <v>65</v>
      </c>
      <c r="N34" s="724">
        <f t="shared" si="3"/>
        <v>5.6579950447874974E-3</v>
      </c>
      <c r="O34" s="596">
        <f>IF(N34="Løype",Poengsammendrag!$F$2,IF(N34="Arr",Poengsammendrag!$F$3,IF(N34="Brutt",50,IF(N34="Disk",50,ROUND(MAXA(100*(MIN(N$10:N$89)/N34),50),0)))))</f>
        <v>68</v>
      </c>
      <c r="S34" s="803" t="s">
        <v>170</v>
      </c>
      <c r="T34" s="736">
        <v>1.0495580808080808E-2</v>
      </c>
      <c r="U34" s="752">
        <v>65</v>
      </c>
      <c r="V34" s="781"/>
      <c r="W34" s="776" t="s">
        <v>114</v>
      </c>
      <c r="X34" s="740">
        <v>57</v>
      </c>
      <c r="AB34" s="828">
        <f t="shared" si="5"/>
        <v>79</v>
      </c>
      <c r="AC34" s="829">
        <f t="shared" si="4"/>
        <v>2</v>
      </c>
    </row>
    <row r="35" spans="2:29" ht="21" customHeight="1" thickBot="1" x14ac:dyDescent="0.3">
      <c r="B35" s="16">
        <f t="shared" si="0"/>
        <v>26</v>
      </c>
      <c r="C35" s="106" t="s">
        <v>114</v>
      </c>
      <c r="D35" s="107" t="s">
        <v>115</v>
      </c>
      <c r="E35" s="599" t="str">
        <f t="shared" si="1"/>
        <v>MagnusLandstad</v>
      </c>
      <c r="F35" s="192">
        <f>YEAR(I$5)-_xlfn.XLOOKUP(E35,Deltakerliste!E$5:E$98,Deltakerliste!I$5:I$98)</f>
        <v>82</v>
      </c>
      <c r="G35" s="192">
        <f>_xlfn.XLOOKUP(E35,Deltakerliste!E$5:E$98,Deltakerliste!H$5:H$98)</f>
        <v>2</v>
      </c>
      <c r="H35" s="592">
        <f>VLOOKUP(F35,Deltakerliste!P$6:T$84,G35,FALSE)</f>
        <v>2.0030000000000001</v>
      </c>
      <c r="I35" s="86"/>
      <c r="J35" s="86">
        <v>4.1689814814814811E-2</v>
      </c>
      <c r="K35" s="13"/>
      <c r="L35" s="600">
        <f t="shared" si="2"/>
        <v>1.3448327359617681E-2</v>
      </c>
      <c r="M35" s="594">
        <f>IF(L35="Løype",Poengsammendrag!$F$2,IF(L35="Arr",Poengsammendrag!$F$3,IF(L35="Brutt",50,IF(L35="Disk",50,ROUND(MAXA(100*(MIN(L$10:L$89)/L35),50),0)))))</f>
        <v>51</v>
      </c>
      <c r="N35" s="724">
        <f t="shared" si="3"/>
        <v>6.7140925409973438E-3</v>
      </c>
      <c r="O35" s="596">
        <f>IF(N35="Løype",Poengsammendrag!$F$2,IF(N35="Arr",Poengsammendrag!$F$3,IF(N35="Brutt",50,IF(N35="Disk",50,ROUND(MAXA(100*(MIN(N$10:N$89)/N35),50),0)))))</f>
        <v>57</v>
      </c>
      <c r="S35" s="803" t="s">
        <v>114</v>
      </c>
      <c r="T35" s="736">
        <v>1.3448327359617681E-2</v>
      </c>
      <c r="U35" s="752">
        <v>51</v>
      </c>
      <c r="V35" s="781"/>
      <c r="W35" s="776" t="s">
        <v>346</v>
      </c>
      <c r="X35" s="740">
        <v>56</v>
      </c>
      <c r="AB35" s="828">
        <f t="shared" si="5"/>
        <v>80</v>
      </c>
      <c r="AC35" s="829">
        <f t="shared" si="4"/>
        <v>2</v>
      </c>
    </row>
    <row r="36" spans="2:29" ht="21" thickBot="1" x14ac:dyDescent="0.3">
      <c r="B36" s="16">
        <f t="shared" si="0"/>
        <v>27</v>
      </c>
      <c r="C36" s="106" t="s">
        <v>82</v>
      </c>
      <c r="D36" s="107" t="s">
        <v>83</v>
      </c>
      <c r="E36" s="599" t="str">
        <f t="shared" si="1"/>
        <v>RoarForbord</v>
      </c>
      <c r="F36" s="192">
        <f>YEAR(I$5)-_xlfn.XLOOKUP(E36,Deltakerliste!E$5:E$98,Deltakerliste!I$5:I$98)</f>
        <v>82</v>
      </c>
      <c r="G36" s="192">
        <f>_xlfn.XLOOKUP(E36,Deltakerliste!E$5:E$98,Deltakerliste!H$5:H$98)</f>
        <v>2</v>
      </c>
      <c r="H36" s="592">
        <f>VLOOKUP(F36,Deltakerliste!P$6:T$84,G36,FALSE)</f>
        <v>2.0030000000000001</v>
      </c>
      <c r="I36" s="86">
        <v>3.2824074074074075E-2</v>
      </c>
      <c r="J36" s="86"/>
      <c r="K36" s="13"/>
      <c r="L36" s="600">
        <f t="shared" si="2"/>
        <v>1.4920033670033668E-2</v>
      </c>
      <c r="M36" s="594">
        <f>IF(L36="Løype",Poengsammendrag!$F$2,IF(L36="Arr",Poengsammendrag!$F$3,IF(L36="Brutt",50,IF(L36="Disk",50,ROUND(MAXA(100*(MIN(L$10:L$89)/L36),50),0)))))</f>
        <v>50</v>
      </c>
      <c r="N36" s="724">
        <f t="shared" si="3"/>
        <v>7.44884356966234E-3</v>
      </c>
      <c r="O36" s="596">
        <f>IF(N36="Løype",Poengsammendrag!$F$2,IF(N36="Arr",Poengsammendrag!$F$3,IF(N36="Brutt",50,IF(N36="Disk",50,ROUND(MAXA(100*(MIN(N$10:N$89)/N36),50),0)))))</f>
        <v>51</v>
      </c>
      <c r="S36" s="803" t="s">
        <v>82</v>
      </c>
      <c r="T36" s="736">
        <v>1.4920033670033668E-2</v>
      </c>
      <c r="U36" s="752">
        <v>50</v>
      </c>
      <c r="V36" s="781"/>
      <c r="W36" s="776" t="s">
        <v>82</v>
      </c>
      <c r="X36" s="740">
        <v>51</v>
      </c>
      <c r="AB36" s="828">
        <f t="shared" si="5"/>
        <v>81</v>
      </c>
      <c r="AC36" s="829">
        <f t="shared" si="4"/>
        <v>2</v>
      </c>
    </row>
    <row r="37" spans="2:29" ht="21" customHeight="1" thickBot="1" x14ac:dyDescent="0.3">
      <c r="B37" s="16">
        <f t="shared" si="0"/>
        <v>28</v>
      </c>
      <c r="C37" s="106" t="s">
        <v>63</v>
      </c>
      <c r="D37" s="107" t="s">
        <v>105</v>
      </c>
      <c r="E37" s="599" t="str">
        <f t="shared" si="1"/>
        <v>ToreKiste</v>
      </c>
      <c r="F37" s="192">
        <f>YEAR(I$5)-_xlfn.XLOOKUP(E37,Deltakerliste!E$5:E$98,Deltakerliste!I$5:I$98)</f>
        <v>80</v>
      </c>
      <c r="G37" s="192">
        <f>_xlfn.XLOOKUP(E37,Deltakerliste!E$5:E$98,Deltakerliste!H$5:H$98)</f>
        <v>2</v>
      </c>
      <c r="H37" s="592">
        <f>VLOOKUP(F37,Deltakerliste!P$6:T$84,G37,FALSE)</f>
        <v>1.8550000000000002</v>
      </c>
      <c r="I37" s="86"/>
      <c r="J37" s="86" t="s">
        <v>7</v>
      </c>
      <c r="K37" s="13"/>
      <c r="L37" s="600" t="str">
        <f t="shared" si="2"/>
        <v>Arr</v>
      </c>
      <c r="M37" s="594">
        <f>IF(L37="Løype",Poengsammendrag!$F$2,IF(L37="Arr",Poengsammendrag!$F$3,IF(L37="Brutt",50,IF(L37="Disk",50,ROUND(MAXA(100*(MIN(L$10:L$89)/L37),50),0)))))</f>
        <v>94</v>
      </c>
      <c r="N37" s="724" t="str">
        <f t="shared" si="3"/>
        <v>Arr</v>
      </c>
      <c r="O37" s="596">
        <f>IF(N37="Løype",Poengsammendrag!$F$2,IF(N37="Arr",Poengsammendrag!$F$3,IF(N37="Brutt",50,IF(N37="Disk",50,ROUND(MAXA(100*(MIN(N$10:N$89)/N37),50),0)))))</f>
        <v>94</v>
      </c>
      <c r="S37" s="803" t="s">
        <v>339</v>
      </c>
      <c r="T37" s="736" t="s">
        <v>7</v>
      </c>
      <c r="U37" s="752">
        <v>94</v>
      </c>
      <c r="V37" s="781"/>
      <c r="W37" s="776" t="s">
        <v>339</v>
      </c>
      <c r="X37" s="740">
        <v>94</v>
      </c>
      <c r="AB37" s="828">
        <f t="shared" si="5"/>
        <v>82</v>
      </c>
      <c r="AC37" s="829">
        <f t="shared" si="4"/>
        <v>2</v>
      </c>
    </row>
    <row r="38" spans="2:29" ht="21" customHeight="1" thickBot="1" x14ac:dyDescent="0.3">
      <c r="B38" s="16">
        <f t="shared" si="0"/>
        <v>29</v>
      </c>
      <c r="C38" s="106" t="s">
        <v>130</v>
      </c>
      <c r="D38" s="107" t="s">
        <v>131</v>
      </c>
      <c r="E38" s="599" t="str">
        <f t="shared" si="1"/>
        <v>AtleMørk</v>
      </c>
      <c r="F38" s="192">
        <f>YEAR(I$5)-_xlfn.XLOOKUP(E38,Deltakerliste!E$5:E$98,Deltakerliste!I$5:I$98)</f>
        <v>76</v>
      </c>
      <c r="G38" s="192">
        <f>_xlfn.XLOOKUP(E38,Deltakerliste!E$5:E$98,Deltakerliste!H$5:H$98)</f>
        <v>2</v>
      </c>
      <c r="H38" s="592">
        <f>VLOOKUP(F38,Deltakerliste!P$6:T$84,G38,FALSE)</f>
        <v>1.655</v>
      </c>
      <c r="I38" s="132"/>
      <c r="J38" s="132" t="s">
        <v>7</v>
      </c>
      <c r="K38" s="132"/>
      <c r="L38" s="600" t="str">
        <f t="shared" si="2"/>
        <v>Arr</v>
      </c>
      <c r="M38" s="594">
        <f>IF(L38="Løype",Poengsammendrag!$F$2,IF(L38="Arr",Poengsammendrag!$F$3,IF(L38="Brutt",50,IF(L38="Disk",50,ROUND(MAXA(100*(MIN(L$10:L$89)/L38),50),0)))))</f>
        <v>94</v>
      </c>
      <c r="N38" s="724" t="str">
        <f t="shared" si="3"/>
        <v>Arr</v>
      </c>
      <c r="O38" s="596">
        <f>IF(N38="Løype",Poengsammendrag!$F$2,IF(N38="Arr",Poengsammendrag!$F$3,IF(N38="Brutt",50,IF(N38="Disk",50,ROUND(MAXA(100*(MIN(N$10:N$89)/N38),50),0)))))</f>
        <v>94</v>
      </c>
      <c r="S38" s="803" t="s">
        <v>130</v>
      </c>
      <c r="T38" s="736" t="s">
        <v>7</v>
      </c>
      <c r="U38" s="752">
        <v>94</v>
      </c>
      <c r="V38" s="781"/>
      <c r="W38" s="776" t="s">
        <v>130</v>
      </c>
      <c r="X38" s="740">
        <v>94</v>
      </c>
      <c r="AB38" s="828">
        <f t="shared" si="5"/>
        <v>83</v>
      </c>
      <c r="AC38" s="829">
        <f t="shared" si="4"/>
        <v>0</v>
      </c>
    </row>
    <row r="39" spans="2:29" ht="21" customHeight="1" thickBot="1" x14ac:dyDescent="0.3">
      <c r="B39" s="16">
        <f t="shared" si="0"/>
        <v>30</v>
      </c>
      <c r="C39" s="106" t="s">
        <v>126</v>
      </c>
      <c r="D39" s="107" t="s">
        <v>127</v>
      </c>
      <c r="E39" s="599" t="str">
        <f t="shared" si="1"/>
        <v>ArneMikkelsen</v>
      </c>
      <c r="F39" s="192">
        <f>YEAR(I$5)-_xlfn.XLOOKUP(E39,Deltakerliste!E$5:E$98,Deltakerliste!I$5:I$98)</f>
        <v>72</v>
      </c>
      <c r="G39" s="192">
        <f>_xlfn.XLOOKUP(E39,Deltakerliste!E$5:E$98,Deltakerliste!H$5:H$98)</f>
        <v>2</v>
      </c>
      <c r="H39" s="592">
        <f>VLOOKUP(F39,Deltakerliste!P$6:T$84,G39,FALSE)</f>
        <v>1.4969999999999999</v>
      </c>
      <c r="I39" s="13"/>
      <c r="J39" s="13" t="s">
        <v>62</v>
      </c>
      <c r="K39" s="13"/>
      <c r="L39" s="600" t="str">
        <f t="shared" si="2"/>
        <v>Løype</v>
      </c>
      <c r="M39" s="594">
        <f>IF(L39="Løype",Poengsammendrag!$F$2,IF(L39="Arr",Poengsammendrag!$F$3,IF(L39="Brutt",50,IF(L39="Disk",50,ROUND(MAXA(100*(MIN(L$10:L$89)/L39),50),0)))))</f>
        <v>100</v>
      </c>
      <c r="N39" s="724" t="str">
        <f t="shared" si="3"/>
        <v>Løype</v>
      </c>
      <c r="O39" s="596">
        <f>IF(N39="Løype",Poengsammendrag!$F$2,IF(N39="Arr",Poengsammendrag!$F$3,IF(N39="Brutt",50,IF(N39="Disk",50,ROUND(MAXA(100*(MIN(N$10:N$89)/N39),50),0)))))</f>
        <v>100</v>
      </c>
      <c r="S39" s="803" t="s">
        <v>126</v>
      </c>
      <c r="T39" s="736" t="s">
        <v>62</v>
      </c>
      <c r="U39" s="752">
        <v>100</v>
      </c>
      <c r="V39" s="781"/>
      <c r="W39" s="776" t="s">
        <v>126</v>
      </c>
      <c r="X39" s="740">
        <v>100</v>
      </c>
      <c r="AB39" s="828">
        <f t="shared" si="5"/>
        <v>84</v>
      </c>
      <c r="AC39" s="829">
        <f t="shared" si="4"/>
        <v>1</v>
      </c>
    </row>
    <row r="40" spans="2:29" ht="21" thickBot="1" x14ac:dyDescent="0.3">
      <c r="B40" s="16">
        <f t="shared" si="0"/>
        <v>31</v>
      </c>
      <c r="C40" s="106" t="s">
        <v>60</v>
      </c>
      <c r="D40" s="107" t="s">
        <v>61</v>
      </c>
      <c r="E40" s="599" t="str">
        <f t="shared" si="1"/>
        <v>JosteinAlvestad</v>
      </c>
      <c r="F40" s="192">
        <f>YEAR(I$5)-_xlfn.XLOOKUP(E40,Deltakerliste!E$5:E$98,Deltakerliste!I$5:I$98)</f>
        <v>70</v>
      </c>
      <c r="G40" s="192">
        <f>_xlfn.XLOOKUP(E40,Deltakerliste!E$5:E$98,Deltakerliste!H$5:H$98)</f>
        <v>2</v>
      </c>
      <c r="H40" s="592">
        <f>VLOOKUP(F40,Deltakerliste!P$6:T$84,G40,FALSE)</f>
        <v>1.4249999999999998</v>
      </c>
      <c r="I40" s="13"/>
      <c r="J40" s="13"/>
      <c r="K40" s="17"/>
      <c r="L40" s="600"/>
      <c r="M40" s="594"/>
      <c r="N40" s="724"/>
      <c r="O40" s="596"/>
      <c r="S40" s="803"/>
      <c r="T40" s="736"/>
      <c r="U40" s="752"/>
      <c r="V40" s="781"/>
      <c r="W40" s="776"/>
      <c r="X40" s="740"/>
      <c r="AB40" s="828">
        <f t="shared" si="5"/>
        <v>85</v>
      </c>
      <c r="AC40" s="829">
        <f t="shared" si="4"/>
        <v>1</v>
      </c>
    </row>
    <row r="41" spans="2:29" ht="21" thickBot="1" x14ac:dyDescent="0.3">
      <c r="B41" s="16">
        <f t="shared" si="0"/>
        <v>32</v>
      </c>
      <c r="C41" s="106" t="s">
        <v>66</v>
      </c>
      <c r="D41" s="107" t="s">
        <v>67</v>
      </c>
      <c r="E41" s="599" t="str">
        <f t="shared" si="1"/>
        <v>FrankBjarkø</v>
      </c>
      <c r="F41" s="192">
        <f>YEAR(I$5)-_xlfn.XLOOKUP(E41,Deltakerliste!E$5:E$98,Deltakerliste!I$5:I$98)</f>
        <v>73</v>
      </c>
      <c r="G41" s="192">
        <f>_xlfn.XLOOKUP(E41,Deltakerliste!E$5:E$98,Deltakerliste!H$5:H$98)</f>
        <v>2</v>
      </c>
      <c r="H41" s="592">
        <f>VLOOKUP(F41,Deltakerliste!P$6:T$84,G41,FALSE)</f>
        <v>1.5329999999999999</v>
      </c>
      <c r="I41" s="13"/>
      <c r="J41" s="13"/>
      <c r="K41" s="13"/>
      <c r="L41" s="600"/>
      <c r="M41" s="594"/>
      <c r="N41" s="724"/>
      <c r="O41" s="596"/>
      <c r="S41" s="803"/>
      <c r="T41" s="736"/>
      <c r="U41" s="752"/>
      <c r="V41" s="781"/>
      <c r="W41" s="776"/>
      <c r="X41" s="740"/>
      <c r="AB41" s="828">
        <f t="shared" si="5"/>
        <v>86</v>
      </c>
      <c r="AC41" s="829">
        <f t="shared" si="4"/>
        <v>1</v>
      </c>
    </row>
    <row r="42" spans="2:29" ht="21" customHeight="1" thickBot="1" x14ac:dyDescent="0.3">
      <c r="B42" s="16">
        <f t="shared" si="0"/>
        <v>33</v>
      </c>
      <c r="C42" s="106" t="s">
        <v>364</v>
      </c>
      <c r="D42" s="107" t="s">
        <v>365</v>
      </c>
      <c r="E42" s="599" t="str">
        <f t="shared" ref="E42:E73" si="6">_xlfn.CONCAT(C42:D42)</f>
        <v>GerdBjørset</v>
      </c>
      <c r="F42" s="192">
        <f>YEAR(I$5)-_xlfn.XLOOKUP(E42,Deltakerliste!E$5:E$98,Deltakerliste!I$5:I$98)</f>
        <v>71</v>
      </c>
      <c r="G42" s="192">
        <f>_xlfn.XLOOKUP(E42,Deltakerliste!E$5:E$98,Deltakerliste!H$5:H$98)</f>
        <v>4</v>
      </c>
      <c r="H42" s="592">
        <f>VLOOKUP(F42,Deltakerliste!P$6:T$84,G42,FALSE)</f>
        <v>1.9926000000000013</v>
      </c>
      <c r="I42" s="13"/>
      <c r="J42" s="13"/>
      <c r="K42" s="13"/>
      <c r="L42" s="600"/>
      <c r="M42" s="594"/>
      <c r="N42" s="724"/>
      <c r="O42" s="596"/>
      <c r="S42" s="803"/>
      <c r="T42" s="796"/>
      <c r="U42" s="765"/>
      <c r="V42" s="782"/>
      <c r="W42" s="777"/>
      <c r="X42" s="762"/>
      <c r="AB42" s="828">
        <f t="shared" si="5"/>
        <v>87</v>
      </c>
      <c r="AC42" s="829">
        <f t="shared" si="4"/>
        <v>0</v>
      </c>
    </row>
    <row r="43" spans="2:29" ht="21" thickBot="1" x14ac:dyDescent="0.3">
      <c r="B43" s="16">
        <f t="shared" si="0"/>
        <v>34</v>
      </c>
      <c r="C43" s="106" t="s">
        <v>64</v>
      </c>
      <c r="D43" s="107" t="s">
        <v>267</v>
      </c>
      <c r="E43" s="599" t="str">
        <f t="shared" si="6"/>
        <v>BjørnBrenne</v>
      </c>
      <c r="F43" s="192">
        <f>YEAR(I$5)-_xlfn.XLOOKUP(E43,Deltakerliste!E$5:E$98,Deltakerliste!I$5:I$98)</f>
        <v>80</v>
      </c>
      <c r="G43" s="192">
        <f>_xlfn.XLOOKUP(E43,Deltakerliste!E$5:E$98,Deltakerliste!H$5:H$98)</f>
        <v>2</v>
      </c>
      <c r="H43" s="592">
        <f>VLOOKUP(F43,Deltakerliste!P$6:T$84,G43,FALSE)</f>
        <v>1.8550000000000002</v>
      </c>
      <c r="I43" s="86"/>
      <c r="J43" s="86"/>
      <c r="K43" s="13"/>
      <c r="L43" s="600"/>
      <c r="M43" s="594"/>
      <c r="N43" s="724"/>
      <c r="O43" s="596"/>
      <c r="S43" s="803"/>
      <c r="T43" s="797"/>
      <c r="U43" s="770"/>
      <c r="V43" s="778"/>
      <c r="W43" s="783"/>
      <c r="X43" s="740"/>
      <c r="AB43" s="828">
        <f t="shared" si="5"/>
        <v>88</v>
      </c>
      <c r="AC43" s="829">
        <f t="shared" si="4"/>
        <v>0</v>
      </c>
    </row>
    <row r="44" spans="2:29" ht="21" customHeight="1" thickBot="1" x14ac:dyDescent="0.3">
      <c r="B44" s="16">
        <f t="shared" si="0"/>
        <v>35</v>
      </c>
      <c r="C44" s="106" t="s">
        <v>70</v>
      </c>
      <c r="D44" s="107" t="s">
        <v>71</v>
      </c>
      <c r="E44" s="599" t="str">
        <f t="shared" si="6"/>
        <v>TrondDamås</v>
      </c>
      <c r="F44" s="192">
        <f>YEAR(I$5)-_xlfn.XLOOKUP(E44,Deltakerliste!E$5:E$98,Deltakerliste!I$5:I$98)</f>
        <v>75</v>
      </c>
      <c r="G44" s="192">
        <f>_xlfn.XLOOKUP(E44,Deltakerliste!E$5:E$98,Deltakerliste!H$5:H$98)</f>
        <v>2</v>
      </c>
      <c r="H44" s="592">
        <f>VLOOKUP(F44,Deltakerliste!P$6:T$84,G44,FALSE)</f>
        <v>1.605</v>
      </c>
      <c r="I44" s="13"/>
      <c r="J44" s="13"/>
      <c r="K44" s="13"/>
      <c r="L44" s="600"/>
      <c r="M44" s="594"/>
      <c r="N44" s="724"/>
      <c r="O44" s="596"/>
      <c r="S44" s="803"/>
      <c r="T44" s="797"/>
      <c r="U44" s="770"/>
      <c r="V44" s="772"/>
      <c r="W44" s="783"/>
      <c r="X44" s="740"/>
      <c r="AB44" s="828">
        <f t="shared" si="5"/>
        <v>89</v>
      </c>
      <c r="AC44" s="829">
        <f t="shared" si="4"/>
        <v>0</v>
      </c>
    </row>
    <row r="45" spans="2:29" ht="21" thickBot="1" x14ac:dyDescent="0.3">
      <c r="B45" s="16">
        <f t="shared" si="0"/>
        <v>36</v>
      </c>
      <c r="C45" s="106" t="s">
        <v>74</v>
      </c>
      <c r="D45" s="107" t="s">
        <v>75</v>
      </c>
      <c r="E45" s="599" t="str">
        <f t="shared" si="6"/>
        <v>StinaElfving</v>
      </c>
      <c r="F45" s="192">
        <f>YEAR(I$5)-_xlfn.XLOOKUP(E45,Deltakerliste!E$5:E$98,Deltakerliste!I$5:I$98)</f>
        <v>75</v>
      </c>
      <c r="G45" s="192">
        <f>_xlfn.XLOOKUP(E45,Deltakerliste!E$5:E$98,Deltakerliste!H$5:H$98)</f>
        <v>4</v>
      </c>
      <c r="H45" s="592">
        <f>VLOOKUP(F45,Deltakerliste!P$6:T$84,G45,FALSE)</f>
        <v>2.1670000000000016</v>
      </c>
      <c r="I45" s="13"/>
      <c r="J45" s="13"/>
      <c r="K45" s="17"/>
      <c r="L45" s="600"/>
      <c r="M45" s="594"/>
      <c r="N45" s="724"/>
      <c r="O45" s="596"/>
      <c r="S45" s="803"/>
      <c r="T45" s="797"/>
      <c r="U45" s="770"/>
      <c r="V45" s="772"/>
      <c r="W45" s="783"/>
      <c r="X45" s="740"/>
      <c r="AB45" s="828">
        <f t="shared" si="5"/>
        <v>90</v>
      </c>
      <c r="AC45" s="829">
        <f t="shared" si="4"/>
        <v>0</v>
      </c>
    </row>
    <row r="46" spans="2:29" ht="21" thickBot="1" x14ac:dyDescent="0.3">
      <c r="B46" s="16">
        <f t="shared" si="0"/>
        <v>37</v>
      </c>
      <c r="C46" s="106" t="s">
        <v>76</v>
      </c>
      <c r="D46" s="107" t="s">
        <v>77</v>
      </c>
      <c r="E46" s="599" t="str">
        <f t="shared" si="6"/>
        <v>ReinoldEllingsen</v>
      </c>
      <c r="F46" s="192">
        <f>YEAR(I$5)-_xlfn.XLOOKUP(E46,Deltakerliste!E$5:E$98,Deltakerliste!I$5:I$98)</f>
        <v>74</v>
      </c>
      <c r="G46" s="192">
        <f>_xlfn.XLOOKUP(E46,Deltakerliste!E$5:E$98,Deltakerliste!H$5:H$98)</f>
        <v>2</v>
      </c>
      <c r="H46" s="592">
        <f>VLOOKUP(F46,Deltakerliste!P$6:T$84,G46,FALSE)</f>
        <v>1.569</v>
      </c>
      <c r="I46" s="13"/>
      <c r="J46" s="13"/>
      <c r="K46" s="13"/>
      <c r="L46" s="600"/>
      <c r="M46" s="594"/>
      <c r="N46" s="724"/>
      <c r="O46" s="596"/>
      <c r="S46" s="803"/>
      <c r="T46" s="797"/>
      <c r="U46" s="770"/>
      <c r="V46" s="772"/>
      <c r="W46" s="783"/>
      <c r="X46" s="740"/>
      <c r="AB46" s="828">
        <f t="shared" si="5"/>
        <v>91</v>
      </c>
      <c r="AC46" s="829">
        <f t="shared" si="4"/>
        <v>0</v>
      </c>
    </row>
    <row r="47" spans="2:29" ht="21" customHeight="1" thickBot="1" x14ac:dyDescent="0.3">
      <c r="B47" s="16">
        <f t="shared" si="0"/>
        <v>38</v>
      </c>
      <c r="C47" s="106" t="s">
        <v>216</v>
      </c>
      <c r="D47" s="107" t="s">
        <v>77</v>
      </c>
      <c r="E47" s="599" t="str">
        <f t="shared" si="6"/>
        <v>Åse RitaEllingsen</v>
      </c>
      <c r="F47" s="192">
        <f>YEAR(I$5)-_xlfn.XLOOKUP(E47,Deltakerliste!E$5:E$98,Deltakerliste!I$5:I$98)</f>
        <v>61</v>
      </c>
      <c r="G47" s="192">
        <f>_xlfn.XLOOKUP(E47,Deltakerliste!E$5:E$98,Deltakerliste!H$5:H$98)</f>
        <v>4</v>
      </c>
      <c r="H47" s="592">
        <f>VLOOKUP(F47,Deltakerliste!P$6:T$84,G47,FALSE)</f>
        <v>1.6542000000000003</v>
      </c>
      <c r="I47" s="593"/>
      <c r="J47" s="14"/>
      <c r="K47" s="13"/>
      <c r="L47" s="600"/>
      <c r="M47" s="594"/>
      <c r="N47" s="724"/>
      <c r="O47" s="596"/>
      <c r="S47" s="803"/>
      <c r="T47" s="797"/>
      <c r="U47" s="770"/>
      <c r="V47" s="772"/>
      <c r="W47" s="783"/>
      <c r="X47" s="740"/>
      <c r="AB47" s="828">
        <f t="shared" si="5"/>
        <v>92</v>
      </c>
      <c r="AC47" s="829">
        <f t="shared" si="4"/>
        <v>0</v>
      </c>
    </row>
    <row r="48" spans="2:29" ht="21" customHeight="1" thickBot="1" x14ac:dyDescent="0.3">
      <c r="B48" s="16">
        <f t="shared" si="0"/>
        <v>39</v>
      </c>
      <c r="C48" s="106" t="s">
        <v>271</v>
      </c>
      <c r="D48" s="107" t="s">
        <v>272</v>
      </c>
      <c r="E48" s="599" t="str">
        <f t="shared" si="6"/>
        <v>Arne KjellFoldvik</v>
      </c>
      <c r="F48" s="192">
        <f>YEAR(I$5)-_xlfn.XLOOKUP(E48,Deltakerliste!E$5:E$98,Deltakerliste!I$5:I$98)</f>
        <v>91</v>
      </c>
      <c r="G48" s="192">
        <f>_xlfn.XLOOKUP(E48,Deltakerliste!E$5:E$98,Deltakerliste!H$5:H$98)</f>
        <v>2</v>
      </c>
      <c r="H48" s="592">
        <f>VLOOKUP(F48,Deltakerliste!P$6:T$84,G48,FALSE)</f>
        <v>2.7290000000000001</v>
      </c>
      <c r="I48" s="14"/>
      <c r="J48" s="14"/>
      <c r="K48" s="13"/>
      <c r="L48" s="600"/>
      <c r="M48" s="594"/>
      <c r="N48" s="724"/>
      <c r="O48" s="596"/>
      <c r="S48" s="803"/>
      <c r="T48" s="797"/>
      <c r="U48" s="770"/>
      <c r="V48" s="772"/>
      <c r="W48" s="783"/>
      <c r="X48" s="740"/>
      <c r="AB48" s="828">
        <f t="shared" si="5"/>
        <v>93</v>
      </c>
      <c r="AC48" s="829">
        <f t="shared" si="4"/>
        <v>0</v>
      </c>
    </row>
    <row r="49" spans="2:29" ht="21" customHeight="1" thickBot="1" x14ac:dyDescent="0.3">
      <c r="B49" s="16">
        <f t="shared" si="0"/>
        <v>40</v>
      </c>
      <c r="C49" s="106" t="s">
        <v>377</v>
      </c>
      <c r="D49" s="107" t="s">
        <v>83</v>
      </c>
      <c r="E49" s="599" t="str">
        <f t="shared" si="6"/>
        <v>HildeForbord</v>
      </c>
      <c r="F49" s="192">
        <f>YEAR(I$5)-_xlfn.XLOOKUP(E49,Deltakerliste!E$5:E$98,Deltakerliste!I$5:I$98)</f>
        <v>59</v>
      </c>
      <c r="G49" s="192">
        <f>_xlfn.XLOOKUP(E49,Deltakerliste!E$5:E$98,Deltakerliste!H$5:H$98)</f>
        <v>4</v>
      </c>
      <c r="H49" s="592">
        <f>VLOOKUP(F49,Deltakerliste!P$6:T$84,G49,FALSE)</f>
        <v>1.6020000000000001</v>
      </c>
      <c r="I49" s="14"/>
      <c r="J49" s="14"/>
      <c r="K49" s="13"/>
      <c r="L49" s="600"/>
      <c r="M49" s="594"/>
      <c r="N49" s="724"/>
      <c r="O49" s="596"/>
      <c r="S49" s="803"/>
      <c r="T49" s="796"/>
      <c r="U49" s="793"/>
      <c r="V49" s="794"/>
      <c r="W49" s="795"/>
      <c r="X49" s="762"/>
      <c r="AB49" s="828">
        <f t="shared" si="5"/>
        <v>94</v>
      </c>
      <c r="AC49" s="829">
        <f t="shared" si="4"/>
        <v>0</v>
      </c>
    </row>
    <row r="50" spans="2:29" ht="21" thickBot="1" x14ac:dyDescent="0.3">
      <c r="B50" s="16">
        <f t="shared" si="0"/>
        <v>41</v>
      </c>
      <c r="C50" s="106" t="s">
        <v>84</v>
      </c>
      <c r="D50" s="107" t="s">
        <v>85</v>
      </c>
      <c r="E50" s="599" t="str">
        <f t="shared" si="6"/>
        <v>PaulForseth</v>
      </c>
      <c r="F50" s="192">
        <f>YEAR(I$5)-_xlfn.XLOOKUP(E50,Deltakerliste!E$5:E$98,Deltakerliste!I$5:I$98)</f>
        <v>93</v>
      </c>
      <c r="G50" s="192">
        <f>_xlfn.XLOOKUP(E50,Deltakerliste!E$5:E$98,Deltakerliste!H$5:H$98)</f>
        <v>2</v>
      </c>
      <c r="H50" s="592">
        <f>VLOOKUP(F50,Deltakerliste!P$6:T$84,G50,FALSE)</f>
        <v>2.8970000000000002</v>
      </c>
      <c r="I50" s="86"/>
      <c r="J50" s="86"/>
      <c r="K50" s="17"/>
      <c r="L50" s="600"/>
      <c r="M50" s="594"/>
      <c r="N50" s="724"/>
      <c r="O50" s="596"/>
      <c r="S50" s="803"/>
      <c r="T50" s="851"/>
      <c r="U50" s="770"/>
      <c r="V50" s="772"/>
      <c r="W50" s="783"/>
      <c r="X50" s="740"/>
      <c r="AB50" s="830">
        <f t="shared" si="5"/>
        <v>95</v>
      </c>
      <c r="AC50" s="831">
        <f t="shared" si="4"/>
        <v>0</v>
      </c>
    </row>
    <row r="51" spans="2:29" ht="21" customHeight="1" thickBot="1" x14ac:dyDescent="0.3">
      <c r="B51" s="16">
        <f t="shared" si="0"/>
        <v>42</v>
      </c>
      <c r="C51" s="106" t="s">
        <v>86</v>
      </c>
      <c r="D51" s="107" t="s">
        <v>87</v>
      </c>
      <c r="E51" s="599" t="str">
        <f t="shared" si="6"/>
        <v>KristianFougner</v>
      </c>
      <c r="F51" s="192">
        <f>YEAR(I$5)-_xlfn.XLOOKUP(E51,Deltakerliste!E$5:E$98,Deltakerliste!I$5:I$98)</f>
        <v>75</v>
      </c>
      <c r="G51" s="192">
        <f>_xlfn.XLOOKUP(E51,Deltakerliste!E$5:E$98,Deltakerliste!H$5:H$98)</f>
        <v>2</v>
      </c>
      <c r="H51" s="592">
        <f>VLOOKUP(F51,Deltakerliste!P$6:T$84,G51,FALSE)</f>
        <v>1.605</v>
      </c>
      <c r="I51" s="86"/>
      <c r="J51" s="86"/>
      <c r="K51" s="13"/>
      <c r="L51" s="600"/>
      <c r="M51" s="594"/>
      <c r="N51" s="724"/>
      <c r="O51" s="596"/>
      <c r="S51" s="803"/>
      <c r="T51" s="797"/>
      <c r="U51" s="770"/>
      <c r="V51" s="772"/>
      <c r="W51" s="783"/>
      <c r="X51" s="740"/>
    </row>
    <row r="52" spans="2:29" ht="21" thickBot="1" x14ac:dyDescent="0.3">
      <c r="B52" s="16">
        <f t="shared" si="0"/>
        <v>43</v>
      </c>
      <c r="C52" s="106" t="s">
        <v>88</v>
      </c>
      <c r="D52" s="107" t="s">
        <v>89</v>
      </c>
      <c r="E52" s="599" t="str">
        <f t="shared" si="6"/>
        <v>EdgarFuruholt</v>
      </c>
      <c r="F52" s="192">
        <f>YEAR(I$5)-_xlfn.XLOOKUP(E52,Deltakerliste!E$5:E$98,Deltakerliste!I$5:I$98)</f>
        <v>78</v>
      </c>
      <c r="G52" s="192">
        <f>_xlfn.XLOOKUP(E52,Deltakerliste!E$5:E$98,Deltakerliste!H$5:H$98)</f>
        <v>2</v>
      </c>
      <c r="H52" s="592">
        <f>VLOOKUP(F52,Deltakerliste!P$6:T$84,G52,FALSE)</f>
        <v>1.7550000000000001</v>
      </c>
      <c r="I52" s="18"/>
      <c r="J52" s="132"/>
      <c r="K52" s="18"/>
      <c r="L52" s="600"/>
      <c r="M52" s="594"/>
      <c r="N52" s="724"/>
      <c r="O52" s="596"/>
      <c r="S52" s="803"/>
      <c r="T52" s="798"/>
      <c r="U52" s="770"/>
      <c r="V52" s="772"/>
      <c r="W52" s="783"/>
      <c r="X52" s="740"/>
      <c r="AC52" s="651">
        <f>SUM(AC10:AC50)</f>
        <v>30</v>
      </c>
    </row>
    <row r="53" spans="2:29" ht="21" thickBot="1" x14ac:dyDescent="0.3">
      <c r="B53" s="16">
        <f t="shared" si="0"/>
        <v>44</v>
      </c>
      <c r="C53" s="106" t="s">
        <v>207</v>
      </c>
      <c r="D53" s="107" t="s">
        <v>89</v>
      </c>
      <c r="E53" s="599" t="str">
        <f t="shared" si="6"/>
        <v>AnneFuruholt</v>
      </c>
      <c r="F53" s="192">
        <f>YEAR(I$5)-_xlfn.XLOOKUP(E53,Deltakerliste!E$5:E$98,Deltakerliste!I$5:I$98)</f>
        <v>78</v>
      </c>
      <c r="G53" s="192">
        <f>_xlfn.XLOOKUP(E53,Deltakerliste!E$5:E$98,Deltakerliste!H$5:H$98)</f>
        <v>4</v>
      </c>
      <c r="H53" s="592">
        <f>VLOOKUP(F53,Deltakerliste!P$6:T$84,G53,FALSE)</f>
        <v>2.3398000000000012</v>
      </c>
      <c r="I53" s="13"/>
      <c r="J53" s="13"/>
      <c r="K53" s="13"/>
      <c r="L53" s="600"/>
      <c r="M53" s="594"/>
      <c r="N53" s="724"/>
      <c r="O53" s="596"/>
      <c r="S53" s="803"/>
      <c r="T53" s="798"/>
      <c r="U53" s="770"/>
      <c r="V53" s="772"/>
      <c r="W53" s="783"/>
      <c r="X53" s="740"/>
    </row>
    <row r="54" spans="2:29" ht="21" thickBot="1" x14ac:dyDescent="0.3">
      <c r="B54" s="16">
        <f t="shared" si="0"/>
        <v>45</v>
      </c>
      <c r="C54" s="106" t="s">
        <v>116</v>
      </c>
      <c r="D54" s="107" t="s">
        <v>353</v>
      </c>
      <c r="E54" s="599" t="str">
        <f t="shared" si="6"/>
        <v>AndersGjermo</v>
      </c>
      <c r="F54" s="192">
        <f>YEAR(I$5)-_xlfn.XLOOKUP(E54,Deltakerliste!E$5:E$98,Deltakerliste!I$5:I$98)</f>
        <v>67</v>
      </c>
      <c r="G54" s="192">
        <f>_xlfn.XLOOKUP(E54,Deltakerliste!E$5:E$98,Deltakerliste!H$5:H$98)</f>
        <v>2</v>
      </c>
      <c r="H54" s="592">
        <f>VLOOKUP(F54,Deltakerliste!P$6:T$84,G54,FALSE)</f>
        <v>1.3469999999999998</v>
      </c>
      <c r="I54" s="132"/>
      <c r="J54" s="132"/>
      <c r="K54" s="18"/>
      <c r="L54" s="600"/>
      <c r="M54" s="594"/>
      <c r="N54" s="724"/>
      <c r="O54" s="596"/>
      <c r="S54" s="846"/>
      <c r="T54" s="847"/>
      <c r="U54" s="848"/>
      <c r="V54" s="778"/>
      <c r="W54" s="849"/>
      <c r="X54" s="850"/>
    </row>
    <row r="55" spans="2:29" ht="21" customHeight="1" thickBot="1" x14ac:dyDescent="0.3">
      <c r="B55" s="16">
        <f t="shared" si="0"/>
        <v>46</v>
      </c>
      <c r="C55" s="106" t="s">
        <v>92</v>
      </c>
      <c r="D55" s="107" t="s">
        <v>93</v>
      </c>
      <c r="E55" s="599" t="str">
        <f t="shared" si="6"/>
        <v>Jens ØysteinGjersvold</v>
      </c>
      <c r="F55" s="192">
        <f>YEAR(I$5)-_xlfn.XLOOKUP(E55,Deltakerliste!E$5:E$98,Deltakerliste!I$5:I$98)</f>
        <v>73</v>
      </c>
      <c r="G55" s="192">
        <f>_xlfn.XLOOKUP(E55,Deltakerliste!E$5:E$98,Deltakerliste!H$5:H$98)</f>
        <v>2</v>
      </c>
      <c r="H55" s="592">
        <f>VLOOKUP(F55,Deltakerliste!P$6:T$84,G55,FALSE)</f>
        <v>1.5329999999999999</v>
      </c>
      <c r="I55" s="14"/>
      <c r="J55" s="14"/>
      <c r="K55" s="18"/>
      <c r="L55" s="600"/>
      <c r="M55" s="594"/>
      <c r="N55" s="724"/>
      <c r="O55" s="596"/>
      <c r="S55" s="803"/>
      <c r="T55" s="798"/>
      <c r="U55" s="770"/>
      <c r="V55" s="772"/>
      <c r="W55" s="783"/>
      <c r="X55" s="740"/>
    </row>
    <row r="56" spans="2:29" ht="21" thickBot="1" x14ac:dyDescent="0.3">
      <c r="B56" s="16">
        <f t="shared" si="0"/>
        <v>47</v>
      </c>
      <c r="C56" s="106" t="s">
        <v>60</v>
      </c>
      <c r="D56" s="107" t="s">
        <v>372</v>
      </c>
      <c r="E56" s="599" t="str">
        <f t="shared" si="6"/>
        <v>JosteinGrepstad</v>
      </c>
      <c r="F56" s="192">
        <f>YEAR(I$5)-_xlfn.XLOOKUP(E56,Deltakerliste!E$5:E$98,Deltakerliste!I$5:I$98)</f>
        <v>74</v>
      </c>
      <c r="G56" s="192">
        <f>_xlfn.XLOOKUP(E56,Deltakerliste!E$5:E$98,Deltakerliste!H$5:H$98)</f>
        <v>2</v>
      </c>
      <c r="H56" s="592">
        <f>VLOOKUP(F56,Deltakerliste!P$6:T$84,G56,FALSE)</f>
        <v>1.569</v>
      </c>
      <c r="I56" s="14"/>
      <c r="J56" s="14"/>
      <c r="K56" s="18"/>
      <c r="L56" s="600"/>
      <c r="M56" s="594"/>
      <c r="N56" s="724"/>
      <c r="O56" s="596"/>
      <c r="S56" s="803"/>
      <c r="T56" s="798"/>
      <c r="U56" s="770"/>
      <c r="V56" s="772"/>
      <c r="W56" s="783"/>
      <c r="X56" s="740"/>
    </row>
    <row r="57" spans="2:29" ht="21" thickBot="1" x14ac:dyDescent="0.3">
      <c r="B57" s="16">
        <f t="shared" si="0"/>
        <v>48</v>
      </c>
      <c r="C57" s="106" t="s">
        <v>94</v>
      </c>
      <c r="D57" s="107" t="s">
        <v>95</v>
      </c>
      <c r="E57" s="599" t="str">
        <f t="shared" si="6"/>
        <v>TerjeHanssen</v>
      </c>
      <c r="F57" s="192">
        <f>YEAR(I$5)-_xlfn.XLOOKUP(E57,Deltakerliste!E$5:E$98,Deltakerliste!I$5:I$98)</f>
        <v>77</v>
      </c>
      <c r="G57" s="192">
        <f>_xlfn.XLOOKUP(E57,Deltakerliste!E$5:E$98,Deltakerliste!H$5:H$98)</f>
        <v>2</v>
      </c>
      <c r="H57" s="592">
        <f>VLOOKUP(F57,Deltakerliste!P$6:T$84,G57,FALSE)</f>
        <v>1.7050000000000001</v>
      </c>
      <c r="I57" s="86"/>
      <c r="J57" s="86"/>
      <c r="K57" s="17"/>
      <c r="L57" s="600"/>
      <c r="M57" s="594"/>
      <c r="N57" s="724"/>
      <c r="O57" s="596"/>
      <c r="S57" s="804"/>
      <c r="T57" s="801"/>
      <c r="U57" s="771"/>
      <c r="V57" s="773"/>
      <c r="W57" s="784"/>
      <c r="X57" s="741"/>
    </row>
    <row r="58" spans="2:29" ht="20" customHeight="1" thickBot="1" x14ac:dyDescent="0.3">
      <c r="B58" s="16">
        <f t="shared" si="0"/>
        <v>49</v>
      </c>
      <c r="C58" s="106" t="s">
        <v>342</v>
      </c>
      <c r="D58" s="107" t="s">
        <v>343</v>
      </c>
      <c r="E58" s="599" t="str">
        <f t="shared" si="6"/>
        <v>ArildHeggeset</v>
      </c>
      <c r="F58" s="192">
        <f>YEAR(I$5)-_xlfn.XLOOKUP(E58,Deltakerliste!E$5:E$98,Deltakerliste!I$5:I$98)</f>
        <v>58</v>
      </c>
      <c r="G58" s="192">
        <f>_xlfn.XLOOKUP(E58,Deltakerliste!E$5:E$98,Deltakerliste!H$5:H$98)</f>
        <v>2</v>
      </c>
      <c r="H58" s="592">
        <f>VLOOKUP(F58,Deltakerliste!P$6:T$84,G58,FALSE)</f>
        <v>1.1720000000000002</v>
      </c>
      <c r="I58" s="86"/>
      <c r="J58" s="86"/>
      <c r="K58" s="13"/>
      <c r="L58" s="600"/>
      <c r="M58" s="594"/>
      <c r="N58" s="724"/>
      <c r="O58" s="596"/>
    </row>
    <row r="59" spans="2:29" ht="21" thickBot="1" x14ac:dyDescent="0.3">
      <c r="B59" s="16">
        <f t="shared" si="0"/>
        <v>50</v>
      </c>
      <c r="C59" s="106" t="s">
        <v>309</v>
      </c>
      <c r="D59" s="107" t="s">
        <v>310</v>
      </c>
      <c r="E59" s="599" t="str">
        <f t="shared" si="6"/>
        <v>VigdisHeimly</v>
      </c>
      <c r="F59" s="192">
        <f>YEAR(I$5)-_xlfn.XLOOKUP(E59,Deltakerliste!E$5:E$98,Deltakerliste!I$5:I$98)</f>
        <v>66</v>
      </c>
      <c r="G59" s="192">
        <f>_xlfn.XLOOKUP(E59,Deltakerliste!E$5:E$98,Deltakerliste!H$5:H$98)</f>
        <v>4</v>
      </c>
      <c r="H59" s="592">
        <f>VLOOKUP(F59,Deltakerliste!P$6:T$84,G59,FALSE)</f>
        <v>1.8066000000000009</v>
      </c>
      <c r="I59" s="86"/>
      <c r="J59" s="86"/>
      <c r="K59" s="17"/>
      <c r="L59" s="600"/>
      <c r="M59" s="594"/>
      <c r="N59" s="724"/>
      <c r="O59" s="596"/>
    </row>
    <row r="60" spans="2:29" ht="21" customHeight="1" thickBot="1" x14ac:dyDescent="0.3">
      <c r="B60" s="16">
        <f t="shared" si="0"/>
        <v>51</v>
      </c>
      <c r="C60" s="106" t="s">
        <v>99</v>
      </c>
      <c r="D60" s="107" t="s">
        <v>100</v>
      </c>
      <c r="E60" s="599" t="str">
        <f t="shared" si="6"/>
        <v>RobertHirsch</v>
      </c>
      <c r="F60" s="192">
        <f>YEAR(I$5)-_xlfn.XLOOKUP(E60,Deltakerliste!E$5:E$98,Deltakerliste!I$5:I$98)</f>
        <v>68</v>
      </c>
      <c r="G60" s="192">
        <f>_xlfn.XLOOKUP(E60,Deltakerliste!E$5:E$98,Deltakerliste!H$5:H$98)</f>
        <v>2</v>
      </c>
      <c r="H60" s="592">
        <f>VLOOKUP(F60,Deltakerliste!P$6:T$84,G60,FALSE)</f>
        <v>1.3729999999999998</v>
      </c>
      <c r="I60" s="86"/>
      <c r="J60" s="86"/>
      <c r="K60" s="13"/>
      <c r="L60" s="600"/>
      <c r="M60" s="594"/>
      <c r="N60" s="724"/>
      <c r="O60" s="596"/>
    </row>
    <row r="61" spans="2:29" ht="21" customHeight="1" thickBot="1" x14ac:dyDescent="0.3">
      <c r="B61" s="16">
        <f t="shared" si="0"/>
        <v>52</v>
      </c>
      <c r="C61" s="106" t="s">
        <v>103</v>
      </c>
      <c r="D61" s="107" t="s">
        <v>104</v>
      </c>
      <c r="E61" s="599" t="str">
        <f t="shared" si="6"/>
        <v>SveinHove</v>
      </c>
      <c r="F61" s="192">
        <f>YEAR(I$5)-_xlfn.XLOOKUP(E61,Deltakerliste!E$5:E$98,Deltakerliste!I$5:I$98)</f>
        <v>78</v>
      </c>
      <c r="G61" s="192">
        <f>_xlfn.XLOOKUP(E61,Deltakerliste!E$5:E$98,Deltakerliste!H$5:H$98)</f>
        <v>2</v>
      </c>
      <c r="H61" s="592">
        <f>VLOOKUP(F61,Deltakerliste!P$6:T$84,G61,FALSE)</f>
        <v>1.7550000000000001</v>
      </c>
      <c r="I61" s="86"/>
      <c r="J61" s="86"/>
      <c r="K61" s="17"/>
      <c r="L61" s="600"/>
      <c r="M61" s="594"/>
      <c r="N61" s="724"/>
      <c r="O61" s="596"/>
    </row>
    <row r="62" spans="2:29" ht="21" customHeight="1" thickBot="1" x14ac:dyDescent="0.3">
      <c r="B62" s="16">
        <f t="shared" si="0"/>
        <v>53</v>
      </c>
      <c r="C62" s="106" t="s">
        <v>269</v>
      </c>
      <c r="D62" s="107" t="s">
        <v>270</v>
      </c>
      <c r="E62" s="599" t="str">
        <f t="shared" si="6"/>
        <v>Per OlavJohansen</v>
      </c>
      <c r="F62" s="192">
        <f>YEAR(I$5)-_xlfn.XLOOKUP(E62,Deltakerliste!E$5:E$98,Deltakerliste!I$5:I$98)</f>
        <v>67</v>
      </c>
      <c r="G62" s="192">
        <f>_xlfn.XLOOKUP(E62,Deltakerliste!E$5:E$98,Deltakerliste!H$5:H$98)</f>
        <v>2</v>
      </c>
      <c r="H62" s="592">
        <f>VLOOKUP(F62,Deltakerliste!P$6:T$84,G62,FALSE)</f>
        <v>1.3469999999999998</v>
      </c>
      <c r="I62" s="132"/>
      <c r="J62" s="132"/>
      <c r="K62" s="134"/>
      <c r="L62" s="600"/>
      <c r="M62" s="594"/>
      <c r="N62" s="724"/>
      <c r="O62" s="596"/>
    </row>
    <row r="63" spans="2:29" ht="21" thickBot="1" x14ac:dyDescent="0.3">
      <c r="B63" s="16">
        <f t="shared" si="0"/>
        <v>54</v>
      </c>
      <c r="C63" s="106" t="s">
        <v>108</v>
      </c>
      <c r="D63" s="107" t="s">
        <v>109</v>
      </c>
      <c r="E63" s="599" t="str">
        <f t="shared" si="6"/>
        <v>Finn FayeKnudsen</v>
      </c>
      <c r="F63" s="192">
        <f>YEAR(I$5)-_xlfn.XLOOKUP(E63,Deltakerliste!E$5:E$98,Deltakerliste!I$5:I$98)</f>
        <v>83</v>
      </c>
      <c r="G63" s="192">
        <f>_xlfn.XLOOKUP(E63,Deltakerliste!E$5:E$98,Deltakerliste!H$5:H$98)</f>
        <v>2</v>
      </c>
      <c r="H63" s="592">
        <f>VLOOKUP(F63,Deltakerliste!P$6:T$84,G63,FALSE)</f>
        <v>2.077</v>
      </c>
      <c r="I63" s="86"/>
      <c r="J63" s="86"/>
      <c r="K63" s="13"/>
      <c r="L63" s="600"/>
      <c r="M63" s="594"/>
      <c r="N63" s="724"/>
      <c r="O63" s="596"/>
    </row>
    <row r="64" spans="2:29" ht="21" thickBot="1" x14ac:dyDescent="0.3">
      <c r="B64" s="16">
        <f t="shared" si="0"/>
        <v>55</v>
      </c>
      <c r="C64" s="106" t="s">
        <v>110</v>
      </c>
      <c r="D64" s="107" t="s">
        <v>111</v>
      </c>
      <c r="E64" s="599" t="str">
        <f t="shared" si="6"/>
        <v>Jan ErikKofoed</v>
      </c>
      <c r="F64" s="192">
        <f>YEAR(I$5)-_xlfn.XLOOKUP(E64,Deltakerliste!E$5:E$98,Deltakerliste!I$5:I$98)</f>
        <v>71</v>
      </c>
      <c r="G64" s="192">
        <f>_xlfn.XLOOKUP(E64,Deltakerliste!E$5:E$98,Deltakerliste!H$5:H$98)</f>
        <v>2</v>
      </c>
      <c r="H64" s="592">
        <f>VLOOKUP(F64,Deltakerliste!P$6:T$84,G64,FALSE)</f>
        <v>1.4609999999999999</v>
      </c>
      <c r="I64" s="86"/>
      <c r="J64" s="86"/>
      <c r="K64" s="13"/>
      <c r="L64" s="600"/>
      <c r="M64" s="594"/>
      <c r="N64" s="724"/>
      <c r="O64" s="596"/>
    </row>
    <row r="65" spans="2:17" ht="21" thickBot="1" x14ac:dyDescent="0.3">
      <c r="B65" s="16">
        <f t="shared" si="0"/>
        <v>56</v>
      </c>
      <c r="C65" s="106" t="s">
        <v>251</v>
      </c>
      <c r="D65" s="107" t="s">
        <v>252</v>
      </c>
      <c r="E65" s="599" t="str">
        <f t="shared" si="6"/>
        <v>OttarKristiansen</v>
      </c>
      <c r="F65" s="192">
        <f>YEAR(I$5)-_xlfn.XLOOKUP(E65,Deltakerliste!E$5:E$98,Deltakerliste!I$5:I$98)</f>
        <v>76</v>
      </c>
      <c r="G65" s="192">
        <f>_xlfn.XLOOKUP(E65,Deltakerliste!E$5:E$98,Deltakerliste!H$5:H$98)</f>
        <v>2</v>
      </c>
      <c r="H65" s="592">
        <f>VLOOKUP(F65,Deltakerliste!P$6:T$84,G65,FALSE)</f>
        <v>1.655</v>
      </c>
      <c r="I65" s="86"/>
      <c r="J65" s="86"/>
      <c r="K65" s="17"/>
      <c r="L65" s="600"/>
      <c r="M65" s="594"/>
      <c r="N65" s="724"/>
      <c r="O65" s="596"/>
    </row>
    <row r="66" spans="2:17" ht="21" thickBot="1" x14ac:dyDescent="0.3">
      <c r="B66" s="16">
        <f t="shared" si="0"/>
        <v>57</v>
      </c>
      <c r="C66" s="106" t="s">
        <v>299</v>
      </c>
      <c r="D66" s="107" t="s">
        <v>300</v>
      </c>
      <c r="E66" s="599" t="str">
        <f t="shared" si="6"/>
        <v>OlavKvittem</v>
      </c>
      <c r="F66" s="192">
        <f>YEAR(I$5)-_xlfn.XLOOKUP(E66,Deltakerliste!E$5:E$98,Deltakerliste!I$5:I$98)</f>
        <v>70</v>
      </c>
      <c r="G66" s="192">
        <f>_xlfn.XLOOKUP(E66,Deltakerliste!E$5:E$98,Deltakerliste!H$5:H$98)</f>
        <v>2</v>
      </c>
      <c r="H66" s="592">
        <f>VLOOKUP(F66,Deltakerliste!P$6:T$84,G66,FALSE)</f>
        <v>1.4249999999999998</v>
      </c>
      <c r="I66" s="86"/>
      <c r="J66" s="86"/>
      <c r="K66" s="13"/>
      <c r="L66" s="600"/>
      <c r="M66" s="594"/>
      <c r="N66" s="724"/>
      <c r="O66" s="596"/>
    </row>
    <row r="67" spans="2:17" ht="21" thickBot="1" x14ac:dyDescent="0.3">
      <c r="B67" s="16">
        <f t="shared" si="0"/>
        <v>58</v>
      </c>
      <c r="C67" s="106" t="s">
        <v>112</v>
      </c>
      <c r="D67" s="107" t="s">
        <v>113</v>
      </c>
      <c r="E67" s="599" t="str">
        <f t="shared" si="6"/>
        <v>ToridKvaal</v>
      </c>
      <c r="F67" s="192">
        <f>YEAR(I$5)-_xlfn.XLOOKUP(E67,Deltakerliste!E$5:E$98,Deltakerliste!I$5:I$98)</f>
        <v>83</v>
      </c>
      <c r="G67" s="192">
        <f>_xlfn.XLOOKUP(E67,Deltakerliste!E$5:E$98,Deltakerliste!H$5:H$98)</f>
        <v>4</v>
      </c>
      <c r="H67" s="592">
        <f>VLOOKUP(F67,Deltakerliste!P$6:T$84,G67,FALSE)</f>
        <v>2.6998000000000006</v>
      </c>
      <c r="I67" s="86"/>
      <c r="J67" s="86"/>
      <c r="K67" s="13"/>
      <c r="L67" s="600"/>
      <c r="M67" s="594"/>
      <c r="N67" s="724"/>
      <c r="O67" s="596"/>
    </row>
    <row r="68" spans="2:17" ht="21" thickBot="1" x14ac:dyDescent="0.3">
      <c r="B68" s="16">
        <f t="shared" si="0"/>
        <v>59</v>
      </c>
      <c r="C68" s="106" t="s">
        <v>254</v>
      </c>
      <c r="D68" s="107" t="s">
        <v>255</v>
      </c>
      <c r="E68" s="599" t="str">
        <f t="shared" si="6"/>
        <v>ArnfinnLangeland</v>
      </c>
      <c r="F68" s="192">
        <f>YEAR(I$5)-_xlfn.XLOOKUP(E68,Deltakerliste!E$5:E$98,Deltakerliste!I$5:I$98)</f>
        <v>89</v>
      </c>
      <c r="G68" s="192">
        <f>_xlfn.XLOOKUP(E68,Deltakerliste!E$5:E$98,Deltakerliste!H$5:H$98)</f>
        <v>2</v>
      </c>
      <c r="H68" s="592">
        <f>VLOOKUP(F68,Deltakerliste!P$6:T$84,G68,FALSE)</f>
        <v>2.5609999999999999</v>
      </c>
      <c r="I68" s="86"/>
      <c r="J68" s="86"/>
      <c r="K68" s="13"/>
      <c r="L68" s="600"/>
      <c r="M68" s="594"/>
      <c r="N68" s="724"/>
      <c r="O68" s="596"/>
    </row>
    <row r="69" spans="2:17" ht="21" thickBot="1" x14ac:dyDescent="0.3">
      <c r="B69" s="16">
        <f t="shared" si="0"/>
        <v>60</v>
      </c>
      <c r="C69" s="106" t="s">
        <v>116</v>
      </c>
      <c r="D69" s="107" t="s">
        <v>117</v>
      </c>
      <c r="E69" s="599" t="str">
        <f t="shared" si="6"/>
        <v>AndersLauglo</v>
      </c>
      <c r="F69" s="192">
        <f>YEAR(I$5)-_xlfn.XLOOKUP(E69,Deltakerliste!E$5:E$98,Deltakerliste!I$5:I$98)</f>
        <v>86</v>
      </c>
      <c r="G69" s="192">
        <f>_xlfn.XLOOKUP(E69,Deltakerliste!E$5:E$98,Deltakerliste!H$5:H$98)</f>
        <v>2</v>
      </c>
      <c r="H69" s="592">
        <f>VLOOKUP(F69,Deltakerliste!P$6:T$84,G69,FALSE)</f>
        <v>2.3089999999999997</v>
      </c>
      <c r="I69" s="13"/>
      <c r="J69" s="13"/>
      <c r="K69" s="86"/>
      <c r="L69" s="600"/>
      <c r="M69" s="594"/>
      <c r="N69" s="724"/>
      <c r="O69" s="596"/>
    </row>
    <row r="70" spans="2:17" ht="21" thickBot="1" x14ac:dyDescent="0.3">
      <c r="B70" s="16">
        <f t="shared" si="0"/>
        <v>61</v>
      </c>
      <c r="C70" s="106" t="s">
        <v>248</v>
      </c>
      <c r="D70" s="107" t="s">
        <v>249</v>
      </c>
      <c r="E70" s="599" t="str">
        <f t="shared" si="6"/>
        <v>ErikLund</v>
      </c>
      <c r="F70" s="192">
        <f>YEAR(I$5)-_xlfn.XLOOKUP(E70,Deltakerliste!E$5:E$98,Deltakerliste!I$5:I$98)</f>
        <v>78</v>
      </c>
      <c r="G70" s="192">
        <f>_xlfn.XLOOKUP(E70,Deltakerliste!E$5:E$98,Deltakerliste!H$5:H$98)</f>
        <v>2</v>
      </c>
      <c r="H70" s="592">
        <f>VLOOKUP(F70,Deltakerliste!P$6:T$84,G70,FALSE)</f>
        <v>1.7550000000000001</v>
      </c>
      <c r="I70" s="13"/>
      <c r="J70" s="13"/>
      <c r="K70" s="17"/>
      <c r="L70" s="600"/>
      <c r="M70" s="594"/>
      <c r="N70" s="724"/>
      <c r="O70" s="596"/>
    </row>
    <row r="71" spans="2:17" ht="21" thickBot="1" x14ac:dyDescent="0.3">
      <c r="B71" s="16">
        <f t="shared" si="0"/>
        <v>62</v>
      </c>
      <c r="C71" s="106" t="s">
        <v>222</v>
      </c>
      <c r="D71" s="107" t="s">
        <v>221</v>
      </c>
      <c r="E71" s="599" t="str">
        <f t="shared" si="6"/>
        <v>Kjell Maroni</v>
      </c>
      <c r="F71" s="192">
        <f>YEAR(I$5)-_xlfn.XLOOKUP(E71,Deltakerliste!E$5:E$98,Deltakerliste!I$5:I$98)</f>
        <v>69</v>
      </c>
      <c r="G71" s="192">
        <f>_xlfn.XLOOKUP(E71,Deltakerliste!E$5:E$98,Deltakerliste!H$5:H$98)</f>
        <v>2</v>
      </c>
      <c r="H71" s="592">
        <f>VLOOKUP(F71,Deltakerliste!P$6:T$84,G71,FALSE)</f>
        <v>1.3989999999999998</v>
      </c>
      <c r="I71" s="13"/>
      <c r="J71" s="13"/>
      <c r="K71" s="13"/>
      <c r="L71" s="600"/>
      <c r="M71" s="594"/>
      <c r="N71" s="724"/>
      <c r="O71" s="596"/>
    </row>
    <row r="72" spans="2:17" ht="21" thickBot="1" x14ac:dyDescent="0.3">
      <c r="B72" s="16">
        <f t="shared" si="0"/>
        <v>63</v>
      </c>
      <c r="C72" s="106" t="s">
        <v>124</v>
      </c>
      <c r="D72" s="107" t="s">
        <v>125</v>
      </c>
      <c r="E72" s="599" t="str">
        <f t="shared" si="6"/>
        <v>Heidi Midttun</v>
      </c>
      <c r="F72" s="192">
        <f>YEAR(I$5)-_xlfn.XLOOKUP(E72,Deltakerliste!E$5:E$98,Deltakerliste!I$5:I$98)</f>
        <v>70</v>
      </c>
      <c r="G72" s="192">
        <f>_xlfn.XLOOKUP(E72,Deltakerliste!E$5:E$98,Deltakerliste!H$5:H$98)</f>
        <v>4</v>
      </c>
      <c r="H72" s="592">
        <f>VLOOKUP(F72,Deltakerliste!P$6:T$84,G72,FALSE)</f>
        <v>1.9490000000000012</v>
      </c>
      <c r="I72" s="13"/>
      <c r="J72" s="13"/>
      <c r="K72" s="13"/>
      <c r="L72" s="600"/>
      <c r="M72" s="594"/>
      <c r="N72" s="724"/>
      <c r="O72" s="596"/>
    </row>
    <row r="73" spans="2:17" ht="21" thickBot="1" x14ac:dyDescent="0.3">
      <c r="B73" s="16">
        <f t="shared" si="0"/>
        <v>64</v>
      </c>
      <c r="C73" s="106" t="s">
        <v>128</v>
      </c>
      <c r="D73" s="107" t="s">
        <v>129</v>
      </c>
      <c r="E73" s="599" t="str">
        <f t="shared" si="6"/>
        <v>OddMusum</v>
      </c>
      <c r="F73" s="192">
        <f>YEAR(I$5)-_xlfn.XLOOKUP(E73,Deltakerliste!E$5:E$98,Deltakerliste!I$5:I$98)</f>
        <v>83</v>
      </c>
      <c r="G73" s="192">
        <f>_xlfn.XLOOKUP(E73,Deltakerliste!E$5:E$98,Deltakerliste!H$5:H$98)</f>
        <v>2</v>
      </c>
      <c r="H73" s="592">
        <f>VLOOKUP(F73,Deltakerliste!P$6:T$84,G73,FALSE)</f>
        <v>2.077</v>
      </c>
      <c r="I73" s="13"/>
      <c r="J73" s="13"/>
      <c r="K73" s="13"/>
      <c r="L73" s="600"/>
      <c r="M73" s="594"/>
      <c r="N73" s="724"/>
      <c r="O73" s="596"/>
    </row>
    <row r="74" spans="2:17" ht="21" thickBot="1" x14ac:dyDescent="0.3">
      <c r="B74" s="16">
        <f t="shared" ref="B74:B91" si="7">B73+1</f>
        <v>65</v>
      </c>
      <c r="C74" s="106" t="s">
        <v>132</v>
      </c>
      <c r="D74" s="107" t="s">
        <v>133</v>
      </c>
      <c r="E74" s="599" t="str">
        <f t="shared" ref="E74:E91" si="8">_xlfn.CONCAT(C74:D74)</f>
        <v>JarleNestvold</v>
      </c>
      <c r="F74" s="192">
        <f>YEAR(I$5)-_xlfn.XLOOKUP(E74,Deltakerliste!E$5:E$98,Deltakerliste!I$5:I$98)</f>
        <v>88</v>
      </c>
      <c r="G74" s="192">
        <f>_xlfn.XLOOKUP(E74,Deltakerliste!E$5:E$98,Deltakerliste!H$5:H$98)</f>
        <v>2</v>
      </c>
      <c r="H74" s="592">
        <f>VLOOKUP(F74,Deltakerliste!P$6:T$84,G74,FALSE)</f>
        <v>2.4769999999999999</v>
      </c>
      <c r="I74" s="132"/>
      <c r="J74" s="18"/>
      <c r="K74" s="18"/>
      <c r="L74" s="600"/>
      <c r="M74" s="594"/>
      <c r="N74" s="724"/>
      <c r="O74" s="596"/>
    </row>
    <row r="75" spans="2:17" ht="21" thickBot="1" x14ac:dyDescent="0.3">
      <c r="B75" s="16">
        <f t="shared" si="7"/>
        <v>66</v>
      </c>
      <c r="C75" s="106" t="s">
        <v>265</v>
      </c>
      <c r="D75" s="107" t="s">
        <v>344</v>
      </c>
      <c r="E75" s="599" t="str">
        <f t="shared" si="8"/>
        <v>ØysteinNytrø</v>
      </c>
      <c r="F75" s="192">
        <f>YEAR(I$5)-_xlfn.XLOOKUP(E75,Deltakerliste!E$5:E$98,Deltakerliste!I$5:I$98)</f>
        <v>65</v>
      </c>
      <c r="G75" s="192">
        <f>_xlfn.XLOOKUP(E75,Deltakerliste!E$5:E$98,Deltakerliste!H$5:H$98)</f>
        <v>2</v>
      </c>
      <c r="H75" s="592">
        <f>VLOOKUP(F75,Deltakerliste!P$6:T$84,G75,FALSE)</f>
        <v>1.2949999999999997</v>
      </c>
      <c r="I75" s="18"/>
      <c r="J75" s="132"/>
      <c r="K75" s="18"/>
      <c r="L75" s="600"/>
      <c r="M75" s="594"/>
      <c r="N75" s="724"/>
      <c r="O75" s="596"/>
      <c r="Q75" s="112"/>
    </row>
    <row r="76" spans="2:17" ht="21" thickBot="1" x14ac:dyDescent="0.3">
      <c r="B76" s="16">
        <f t="shared" si="7"/>
        <v>67</v>
      </c>
      <c r="C76" s="106" t="s">
        <v>72</v>
      </c>
      <c r="D76" s="107" t="s">
        <v>139</v>
      </c>
      <c r="E76" s="599" t="str">
        <f t="shared" si="8"/>
        <v>KåreOnsøyen</v>
      </c>
      <c r="F76" s="192">
        <f>YEAR(I$5)-_xlfn.XLOOKUP(E76,Deltakerliste!E$5:E$98,Deltakerliste!I$5:I$98)</f>
        <v>77</v>
      </c>
      <c r="G76" s="192">
        <f>_xlfn.XLOOKUP(E76,Deltakerliste!E$5:E$98,Deltakerliste!H$5:H$98)</f>
        <v>2</v>
      </c>
      <c r="H76" s="592">
        <f>VLOOKUP(F76,Deltakerliste!P$6:T$84,G76,FALSE)</f>
        <v>1.7050000000000001</v>
      </c>
      <c r="I76" s="13"/>
      <c r="J76" s="13"/>
      <c r="K76" s="13"/>
      <c r="L76" s="600"/>
      <c r="M76" s="594"/>
      <c r="N76" s="724"/>
      <c r="O76" s="596"/>
    </row>
    <row r="77" spans="2:17" ht="21" thickBot="1" x14ac:dyDescent="0.3">
      <c r="B77" s="16">
        <f t="shared" si="7"/>
        <v>68</v>
      </c>
      <c r="C77" s="106" t="s">
        <v>140</v>
      </c>
      <c r="D77" s="107" t="s">
        <v>141</v>
      </c>
      <c r="E77" s="599" t="str">
        <f t="shared" si="8"/>
        <v>Grete BergeOwren</v>
      </c>
      <c r="F77" s="192">
        <f>YEAR(I$5)-_xlfn.XLOOKUP(E77,Deltakerliste!E$5:E$98,Deltakerliste!I$5:I$98)</f>
        <v>67</v>
      </c>
      <c r="G77" s="192">
        <f>_xlfn.XLOOKUP(E77,Deltakerliste!E$5:E$98,Deltakerliste!H$5:H$98)</f>
        <v>4</v>
      </c>
      <c r="H77" s="592">
        <f>VLOOKUP(F77,Deltakerliste!P$6:T$84,G77,FALSE)</f>
        <v>1.8422000000000009</v>
      </c>
      <c r="I77" s="18"/>
      <c r="J77" s="18"/>
      <c r="K77" s="18"/>
      <c r="L77" s="600"/>
      <c r="M77" s="594"/>
      <c r="N77" s="724"/>
      <c r="O77" s="596"/>
    </row>
    <row r="78" spans="2:17" ht="21" thickBot="1" x14ac:dyDescent="0.3">
      <c r="B78" s="16">
        <f t="shared" si="7"/>
        <v>69</v>
      </c>
      <c r="C78" s="106" t="s">
        <v>144</v>
      </c>
      <c r="D78" s="107" t="s">
        <v>145</v>
      </c>
      <c r="E78" s="599" t="str">
        <f t="shared" si="8"/>
        <v>Bjørn Rindstad</v>
      </c>
      <c r="F78" s="192">
        <f>YEAR(I$5)-_xlfn.XLOOKUP(E78,Deltakerliste!E$5:E$98,Deltakerliste!I$5:I$98)</f>
        <v>74</v>
      </c>
      <c r="G78" s="192">
        <f>_xlfn.XLOOKUP(E78,Deltakerliste!E$5:E$98,Deltakerliste!H$5:H$98)</f>
        <v>2</v>
      </c>
      <c r="H78" s="592">
        <f>VLOOKUP(F78,Deltakerliste!P$6:T$84,G78,FALSE)</f>
        <v>1.569</v>
      </c>
      <c r="I78" s="18"/>
      <c r="J78" s="18"/>
      <c r="K78" s="18"/>
      <c r="L78" s="600"/>
      <c r="M78" s="594"/>
      <c r="N78" s="724"/>
      <c r="O78" s="596"/>
    </row>
    <row r="79" spans="2:17" ht="21" thickBot="1" x14ac:dyDescent="0.3">
      <c r="B79" s="16">
        <f t="shared" si="7"/>
        <v>70</v>
      </c>
      <c r="C79" s="106" t="s">
        <v>228</v>
      </c>
      <c r="D79" s="107" t="s">
        <v>229</v>
      </c>
      <c r="E79" s="599" t="str">
        <f t="shared" si="8"/>
        <v>May-LisRønning</v>
      </c>
      <c r="F79" s="192">
        <f>YEAR(I$5)-_xlfn.XLOOKUP(E79,Deltakerliste!E$5:E$98,Deltakerliste!I$5:I$98)</f>
        <v>55</v>
      </c>
      <c r="G79" s="192">
        <f>_xlfn.XLOOKUP(E79,Deltakerliste!E$5:E$98,Deltakerliste!H$5:H$98)</f>
        <v>4</v>
      </c>
      <c r="H79" s="592">
        <f>VLOOKUP(F79,Deltakerliste!P$6:T$84,G79,FALSE)</f>
        <v>1.5099999999999996</v>
      </c>
      <c r="I79" s="18"/>
      <c r="J79" s="18"/>
      <c r="K79" s="18"/>
      <c r="L79" s="600"/>
      <c r="M79" s="594"/>
      <c r="N79" s="724"/>
      <c r="O79" s="596"/>
    </row>
    <row r="80" spans="2:17" ht="21" thickBot="1" x14ac:dyDescent="0.3">
      <c r="B80" s="16">
        <f t="shared" si="7"/>
        <v>71</v>
      </c>
      <c r="C80" s="111" t="s">
        <v>147</v>
      </c>
      <c r="D80" s="193" t="s">
        <v>148</v>
      </c>
      <c r="E80" s="599" t="str">
        <f t="shared" si="8"/>
        <v>ViggoSchei</v>
      </c>
      <c r="F80" s="192">
        <f>YEAR(I$5)-_xlfn.XLOOKUP(E80,Deltakerliste!E$5:E$98,Deltakerliste!I$5:I$98)</f>
        <v>74</v>
      </c>
      <c r="G80" s="192">
        <f>_xlfn.XLOOKUP(E80,Deltakerliste!E$5:E$98,Deltakerliste!H$5:H$98)</f>
        <v>2</v>
      </c>
      <c r="H80" s="592">
        <f>VLOOKUP(F80,Deltakerliste!P$6:T$84,G80,FALSE)</f>
        <v>1.569</v>
      </c>
      <c r="I80" s="18"/>
      <c r="J80" s="132"/>
      <c r="K80" s="18"/>
      <c r="L80" s="600"/>
      <c r="M80" s="594"/>
      <c r="N80" s="724"/>
      <c r="O80" s="596"/>
    </row>
    <row r="81" spans="2:15" ht="21" thickBot="1" x14ac:dyDescent="0.3">
      <c r="B81" s="16">
        <f t="shared" si="7"/>
        <v>72</v>
      </c>
      <c r="C81" s="111" t="s">
        <v>298</v>
      </c>
      <c r="D81" s="193" t="s">
        <v>297</v>
      </c>
      <c r="E81" s="599" t="str">
        <f t="shared" si="8"/>
        <v>ØyvindSchjelderup</v>
      </c>
      <c r="F81" s="192">
        <f>YEAR(I$5)-_xlfn.XLOOKUP(E81,Deltakerliste!E$5:E$98,Deltakerliste!I$5:I$98)</f>
        <v>60</v>
      </c>
      <c r="G81" s="192">
        <f>_xlfn.XLOOKUP(E81,Deltakerliste!E$5:E$98,Deltakerliste!H$5:H$98)</f>
        <v>2</v>
      </c>
      <c r="H81" s="592">
        <f>VLOOKUP(F81,Deltakerliste!P$6:T$84,G81,FALSE)</f>
        <v>1.2000000000000002</v>
      </c>
      <c r="I81" s="18"/>
      <c r="J81" s="18"/>
      <c r="K81" s="18"/>
      <c r="L81" s="600"/>
      <c r="M81" s="594"/>
      <c r="N81" s="724"/>
      <c r="O81" s="596"/>
    </row>
    <row r="82" spans="2:15" ht="21" thickBot="1" x14ac:dyDescent="0.3">
      <c r="B82" s="16">
        <f t="shared" si="7"/>
        <v>73</v>
      </c>
      <c r="C82" s="111" t="s">
        <v>149</v>
      </c>
      <c r="D82" s="108" t="s">
        <v>150</v>
      </c>
      <c r="E82" s="599" t="str">
        <f t="shared" si="8"/>
        <v>BenteSkorge</v>
      </c>
      <c r="F82" s="192">
        <f>YEAR(I$5)-_xlfn.XLOOKUP(E82,Deltakerliste!E$5:E$98,Deltakerliste!I$5:I$98)</f>
        <v>66</v>
      </c>
      <c r="G82" s="192">
        <f>_xlfn.XLOOKUP(E82,Deltakerliste!E$5:E$98,Deltakerliste!H$5:H$98)</f>
        <v>4</v>
      </c>
      <c r="H82" s="592">
        <f>VLOOKUP(F82,Deltakerliste!P$6:T$84,G82,FALSE)</f>
        <v>1.8066000000000009</v>
      </c>
      <c r="I82" s="18"/>
      <c r="J82" s="132"/>
      <c r="K82" s="18"/>
      <c r="L82" s="600"/>
      <c r="M82" s="594"/>
      <c r="N82" s="724"/>
      <c r="O82" s="596"/>
    </row>
    <row r="83" spans="2:15" ht="21" thickBot="1" x14ac:dyDescent="0.3">
      <c r="B83" s="16">
        <f t="shared" si="7"/>
        <v>74</v>
      </c>
      <c r="C83" s="111" t="s">
        <v>153</v>
      </c>
      <c r="D83" s="193" t="s">
        <v>154</v>
      </c>
      <c r="E83" s="599" t="str">
        <f t="shared" si="8"/>
        <v>ReidunSmaavik</v>
      </c>
      <c r="F83" s="192">
        <f>YEAR(I$5)-_xlfn.XLOOKUP(E83,Deltakerliste!E$5:E$98,Deltakerliste!I$5:I$98)</f>
        <v>70</v>
      </c>
      <c r="G83" s="192">
        <f>_xlfn.XLOOKUP(E83,Deltakerliste!E$5:E$98,Deltakerliste!H$5:H$98)</f>
        <v>4</v>
      </c>
      <c r="H83" s="592">
        <f>VLOOKUP(F83,Deltakerliste!P$6:T$84,G83,FALSE)</f>
        <v>1.9490000000000012</v>
      </c>
      <c r="I83" s="132"/>
      <c r="J83" s="18"/>
      <c r="K83" s="18"/>
      <c r="L83" s="600"/>
      <c r="M83" s="594"/>
      <c r="N83" s="724"/>
      <c r="O83" s="596"/>
    </row>
    <row r="84" spans="2:15" ht="21" thickBot="1" x14ac:dyDescent="0.3">
      <c r="B84" s="16">
        <f t="shared" si="7"/>
        <v>75</v>
      </c>
      <c r="C84" s="111" t="s">
        <v>155</v>
      </c>
      <c r="D84" s="193" t="s">
        <v>156</v>
      </c>
      <c r="E84" s="599" t="str">
        <f t="shared" si="8"/>
        <v>KjellrunSporild</v>
      </c>
      <c r="F84" s="192">
        <f>YEAR(I$5)-_xlfn.XLOOKUP(E84,Deltakerliste!E$5:E$98,Deltakerliste!I$5:I$98)</f>
        <v>70</v>
      </c>
      <c r="G84" s="192">
        <f>_xlfn.XLOOKUP(E84,Deltakerliste!E$5:E$98,Deltakerliste!H$5:H$98)</f>
        <v>4</v>
      </c>
      <c r="H84" s="592">
        <f>VLOOKUP(F84,Deltakerliste!P$6:T$84,G84,FALSE)</f>
        <v>1.9490000000000012</v>
      </c>
      <c r="I84" s="18"/>
      <c r="J84" s="132"/>
      <c r="K84" s="18"/>
      <c r="L84" s="600"/>
      <c r="M84" s="594"/>
      <c r="N84" s="724"/>
      <c r="O84" s="596"/>
    </row>
    <row r="85" spans="2:15" ht="21" thickBot="1" x14ac:dyDescent="0.3">
      <c r="B85" s="16">
        <f t="shared" si="7"/>
        <v>76</v>
      </c>
      <c r="C85" s="111" t="s">
        <v>232</v>
      </c>
      <c r="D85" s="133" t="s">
        <v>231</v>
      </c>
      <c r="E85" s="599" t="str">
        <f t="shared" si="8"/>
        <v>BeritSunnset</v>
      </c>
      <c r="F85" s="192">
        <f>YEAR(I$5)-_xlfn.XLOOKUP(E85,Deltakerliste!E$5:E$98,Deltakerliste!I$5:I$98)</f>
        <v>62</v>
      </c>
      <c r="G85" s="192">
        <f>_xlfn.XLOOKUP(E85,Deltakerliste!E$5:E$98,Deltakerliste!H$5:H$98)</f>
        <v>4</v>
      </c>
      <c r="H85" s="592">
        <f>VLOOKUP(F85,Deltakerliste!P$6:T$84,G85,FALSE)</f>
        <v>1.6834000000000005</v>
      </c>
      <c r="I85" s="18"/>
      <c r="J85" s="18"/>
      <c r="K85" s="18"/>
      <c r="L85" s="600"/>
      <c r="M85" s="594"/>
      <c r="N85" s="724"/>
      <c r="O85" s="596"/>
    </row>
    <row r="86" spans="2:15" ht="21" thickBot="1" x14ac:dyDescent="0.3">
      <c r="B86" s="16">
        <f t="shared" si="7"/>
        <v>77</v>
      </c>
      <c r="C86" s="111" t="s">
        <v>230</v>
      </c>
      <c r="D86" s="108" t="s">
        <v>231</v>
      </c>
      <c r="E86" s="599" t="str">
        <f t="shared" si="8"/>
        <v>TrineSunnset</v>
      </c>
      <c r="F86" s="192">
        <f>YEAR(I$5)-_xlfn.XLOOKUP(E86,Deltakerliste!E$5:E$98,Deltakerliste!I$5:I$98)</f>
        <v>62</v>
      </c>
      <c r="G86" s="192">
        <f>_xlfn.XLOOKUP(E86,Deltakerliste!E$5:E$98,Deltakerliste!H$5:H$98)</f>
        <v>4</v>
      </c>
      <c r="H86" s="592">
        <f>VLOOKUP(F86,Deltakerliste!P$6:T$84,G86,FALSE)</f>
        <v>1.6834000000000005</v>
      </c>
      <c r="I86" s="18"/>
      <c r="J86" s="18"/>
      <c r="K86" s="18"/>
      <c r="L86" s="600"/>
      <c r="M86" s="594"/>
      <c r="N86" s="724"/>
      <c r="O86" s="596"/>
    </row>
    <row r="87" spans="2:15" ht="21" thickBot="1" x14ac:dyDescent="0.3">
      <c r="B87" s="16">
        <f t="shared" si="7"/>
        <v>78</v>
      </c>
      <c r="C87" s="193" t="s">
        <v>161</v>
      </c>
      <c r="D87" s="108" t="s">
        <v>162</v>
      </c>
      <c r="E87" s="599" t="str">
        <f t="shared" si="8"/>
        <v>Nils OlavVennevik</v>
      </c>
      <c r="F87" s="192">
        <f>YEAR(I$5)-_xlfn.XLOOKUP(E87,Deltakerliste!E$5:E$98,Deltakerliste!I$5:I$98)</f>
        <v>77</v>
      </c>
      <c r="G87" s="192">
        <f>_xlfn.XLOOKUP(E87,Deltakerliste!E$5:E$98,Deltakerliste!H$5:H$98)</f>
        <v>2</v>
      </c>
      <c r="H87" s="592">
        <f>VLOOKUP(F87,Deltakerliste!P$6:T$84,G87,FALSE)</f>
        <v>1.7050000000000001</v>
      </c>
      <c r="I87" s="132"/>
      <c r="J87" s="18"/>
      <c r="K87" s="18"/>
      <c r="L87" s="600"/>
      <c r="M87" s="594"/>
      <c r="N87" s="724"/>
      <c r="O87" s="596"/>
    </row>
    <row r="88" spans="2:15" ht="21" thickBot="1" x14ac:dyDescent="0.3">
      <c r="B88" s="16">
        <f t="shared" si="7"/>
        <v>79</v>
      </c>
      <c r="C88" s="193" t="s">
        <v>265</v>
      </c>
      <c r="D88" s="108" t="s">
        <v>266</v>
      </c>
      <c r="E88" s="599" t="str">
        <f t="shared" si="8"/>
        <v>ØysteinWiggen</v>
      </c>
      <c r="F88" s="192">
        <f>YEAR(I$5)-_xlfn.XLOOKUP(E88,Deltakerliste!E$5:E$98,Deltakerliste!I$5:I$98)</f>
        <v>59</v>
      </c>
      <c r="G88" s="192">
        <f>_xlfn.XLOOKUP(E88,Deltakerliste!E$5:E$98,Deltakerliste!H$5:H$98)</f>
        <v>2</v>
      </c>
      <c r="H88" s="592">
        <f>VLOOKUP(F88,Deltakerliste!P$6:T$84,G88,FALSE)</f>
        <v>1.1860000000000002</v>
      </c>
      <c r="I88" s="18"/>
      <c r="J88" s="132"/>
      <c r="K88" s="18"/>
      <c r="L88" s="600"/>
      <c r="M88" s="594"/>
      <c r="N88" s="724"/>
      <c r="O88" s="596"/>
    </row>
    <row r="89" spans="2:15" ht="21" thickBot="1" x14ac:dyDescent="0.3">
      <c r="B89" s="16">
        <f t="shared" si="7"/>
        <v>80</v>
      </c>
      <c r="C89" s="193" t="s">
        <v>307</v>
      </c>
      <c r="D89" s="108" t="s">
        <v>308</v>
      </c>
      <c r="E89" s="599" t="str">
        <f t="shared" si="8"/>
        <v>RolfWærnes</v>
      </c>
      <c r="F89" s="192">
        <f>YEAR(I$5)-_xlfn.XLOOKUP(E89,Deltakerliste!E$5:E$98,Deltakerliste!I$5:I$98)</f>
        <v>74</v>
      </c>
      <c r="G89" s="192">
        <f>_xlfn.XLOOKUP(E89,Deltakerliste!E$5:E$98,Deltakerliste!H$5:H$98)</f>
        <v>2</v>
      </c>
      <c r="H89" s="592">
        <f>VLOOKUP(F89,Deltakerliste!P$6:T$84,G89,FALSE)</f>
        <v>1.569</v>
      </c>
      <c r="I89" s="18"/>
      <c r="J89" s="132"/>
      <c r="K89" s="18"/>
      <c r="L89" s="790"/>
      <c r="M89" s="594"/>
      <c r="N89" s="724"/>
      <c r="O89" s="596"/>
    </row>
    <row r="90" spans="2:15" ht="21" thickBot="1" x14ac:dyDescent="0.3">
      <c r="B90" s="16">
        <f t="shared" si="7"/>
        <v>81</v>
      </c>
      <c r="C90" s="193" t="s">
        <v>166</v>
      </c>
      <c r="D90" s="108" t="s">
        <v>167</v>
      </c>
      <c r="E90" s="599" t="str">
        <f t="shared" si="8"/>
        <v>GunnarØsterbø</v>
      </c>
      <c r="F90" s="192">
        <f>YEAR(I$5)-_xlfn.XLOOKUP(E90,Deltakerliste!E$5:E$98,Deltakerliste!I$5:I$98)</f>
        <v>86</v>
      </c>
      <c r="G90" s="192">
        <f>_xlfn.XLOOKUP(E90,Deltakerliste!E$5:E$98,Deltakerliste!H$5:H$98)</f>
        <v>2</v>
      </c>
      <c r="H90" s="592">
        <f>VLOOKUP(F90,Deltakerliste!P$6:T$84,G90,FALSE)</f>
        <v>2.3089999999999997</v>
      </c>
      <c r="I90" s="18"/>
      <c r="J90" s="132"/>
      <c r="K90" s="18"/>
      <c r="L90" s="791"/>
      <c r="M90" s="594"/>
      <c r="N90" s="792"/>
      <c r="O90" s="596"/>
    </row>
    <row r="91" spans="2:15" ht="21" thickBot="1" x14ac:dyDescent="0.3">
      <c r="B91" s="16">
        <f t="shared" si="7"/>
        <v>82</v>
      </c>
      <c r="C91" s="193" t="s">
        <v>168</v>
      </c>
      <c r="D91" s="108" t="s">
        <v>169</v>
      </c>
      <c r="E91" s="599" t="str">
        <f t="shared" si="8"/>
        <v>SteinØvstedal</v>
      </c>
      <c r="F91" s="192">
        <f>YEAR(I$5)-_xlfn.XLOOKUP(E91,Deltakerliste!E$5:E$98,Deltakerliste!I$5:I$98)</f>
        <v>74</v>
      </c>
      <c r="G91" s="192">
        <f>_xlfn.XLOOKUP(E91,Deltakerliste!E$5:E$98,Deltakerliste!H$5:H$98)</f>
        <v>2</v>
      </c>
      <c r="H91" s="592">
        <f>VLOOKUP(F91,Deltakerliste!P$6:T$84,G91,FALSE)</f>
        <v>1.569</v>
      </c>
      <c r="I91" s="132"/>
      <c r="J91" s="132"/>
      <c r="K91" s="18"/>
      <c r="L91" s="725"/>
      <c r="M91" s="717"/>
      <c r="N91" s="726"/>
      <c r="O91" s="719"/>
    </row>
    <row r="100" spans="4:11" ht="17" thickBot="1" x14ac:dyDescent="0.25"/>
    <row r="101" spans="4:11" ht="21" thickTop="1" thickBot="1" x14ac:dyDescent="0.3">
      <c r="D101" s="646" t="s">
        <v>288</v>
      </c>
      <c r="E101" s="647"/>
      <c r="F101" s="666"/>
      <c r="G101" s="666"/>
      <c r="H101" s="666"/>
      <c r="I101" s="648" t="s">
        <v>195</v>
      </c>
      <c r="J101" s="648" t="s">
        <v>196</v>
      </c>
      <c r="K101" s="649" t="s">
        <v>197</v>
      </c>
    </row>
    <row r="102" spans="4:11" ht="20" x14ac:dyDescent="0.25">
      <c r="D102" s="634" t="s">
        <v>172</v>
      </c>
      <c r="E102" s="320"/>
      <c r="F102" s="208"/>
      <c r="G102" s="208"/>
      <c r="H102" s="208"/>
      <c r="I102" s="635">
        <f>COUNT(I10:I94)+COUNTIF(I10:I94,"Brutt")+COUNTIF(I10:I94,"(*)")</f>
        <v>14</v>
      </c>
      <c r="J102" s="635">
        <f>COUNT(J10:J94)+COUNTIF(J10:J94,"Brutt")+COUNTIF(J10:J94,"(*)")</f>
        <v>13</v>
      </c>
      <c r="K102" s="636">
        <f>I102+J102</f>
        <v>27</v>
      </c>
    </row>
    <row r="103" spans="4:11" ht="19" x14ac:dyDescent="0.25">
      <c r="D103" s="637" t="s">
        <v>174</v>
      </c>
      <c r="E103" s="320"/>
      <c r="F103" s="208"/>
      <c r="G103" s="208"/>
      <c r="H103" s="208"/>
      <c r="I103" s="635">
        <f>COUNT(I10:I94)</f>
        <v>14</v>
      </c>
      <c r="J103" s="635">
        <f>COUNT(J10:J94)</f>
        <v>13</v>
      </c>
      <c r="K103" s="636">
        <f t="shared" ref="K103" si="9">I103+J103</f>
        <v>27</v>
      </c>
    </row>
    <row r="104" spans="4:11" ht="19" x14ac:dyDescent="0.25">
      <c r="D104" s="637" t="s">
        <v>173</v>
      </c>
      <c r="E104" s="320"/>
      <c r="F104" s="208"/>
      <c r="G104" s="208"/>
      <c r="H104" s="208"/>
      <c r="I104" s="208"/>
      <c r="J104" s="208"/>
      <c r="K104" s="636">
        <f>K102+COUNTIF(L10:L94,"Arr")+COUNTIF(L10:L94,"Løype")</f>
        <v>30</v>
      </c>
    </row>
    <row r="105" spans="4:11" ht="19" x14ac:dyDescent="0.25">
      <c r="D105" s="637" t="s">
        <v>341</v>
      </c>
      <c r="E105" s="320"/>
      <c r="F105" s="208"/>
      <c r="G105" s="208"/>
      <c r="H105" s="208"/>
      <c r="I105" s="208"/>
      <c r="J105" s="208"/>
      <c r="K105" s="638">
        <f>IF(SUM(L10:L94)=0," ",AVERAGEIF(M10:M94,"&gt;0",F10:F94))</f>
        <v>76.266666666666666</v>
      </c>
    </row>
    <row r="106" spans="4:11" ht="19" x14ac:dyDescent="0.25">
      <c r="D106" s="637" t="s">
        <v>296</v>
      </c>
      <c r="E106" s="320"/>
      <c r="F106" s="208"/>
      <c r="G106" s="208"/>
      <c r="H106" s="208"/>
      <c r="I106" s="208"/>
      <c r="J106" s="208"/>
      <c r="K106" s="638">
        <f>AVERAGE(I8:J8)</f>
        <v>2.6500000000000004</v>
      </c>
    </row>
    <row r="107" spans="4:11" ht="19" x14ac:dyDescent="0.25">
      <c r="D107" s="637" t="s">
        <v>176</v>
      </c>
      <c r="E107" s="320"/>
      <c r="F107" s="208"/>
      <c r="G107" s="208"/>
      <c r="H107" s="208"/>
      <c r="I107" s="112">
        <f>I8*I103</f>
        <v>30.800000000000004</v>
      </c>
      <c r="J107" s="112">
        <f>J8*J103</f>
        <v>40.300000000000004</v>
      </c>
      <c r="K107" s="638">
        <f>I107+J107</f>
        <v>71.100000000000009</v>
      </c>
    </row>
    <row r="108" spans="4:11" ht="19" x14ac:dyDescent="0.25">
      <c r="D108" s="639" t="s">
        <v>286</v>
      </c>
      <c r="E108" s="320"/>
      <c r="F108" s="208"/>
      <c r="G108" s="208"/>
      <c r="H108" s="208"/>
      <c r="I108" s="103">
        <f>IF(SUM(I10:I94)=0," ",AVERAGE(I10:I94))</f>
        <v>2.1049933862433864E-2</v>
      </c>
      <c r="J108" s="103">
        <f>IF(SUM(J10:J94)=0," ",AVERAGE(J10:J94))</f>
        <v>2.6382656695156697E-2</v>
      </c>
      <c r="K108" s="640">
        <f>IF(SUM(I10:J94)=0," ",AVERAGE(I10:J94))</f>
        <v>2.3617541152263374E-2</v>
      </c>
    </row>
    <row r="109" spans="4:11" ht="20" thickBot="1" x14ac:dyDescent="0.3">
      <c r="D109" s="641" t="s">
        <v>287</v>
      </c>
      <c r="E109" s="642"/>
      <c r="F109" s="644"/>
      <c r="G109" s="644"/>
      <c r="H109" s="644"/>
      <c r="I109" s="643"/>
      <c r="J109" s="644"/>
      <c r="K109" s="645">
        <f>MIN(L10:L94)</f>
        <v>6.8175029868578251E-3</v>
      </c>
    </row>
    <row r="110" spans="4:11" ht="17" thickTop="1" x14ac:dyDescent="0.2"/>
  </sheetData>
  <autoFilter ref="C9:O91" xr:uid="{18E85A3B-3F51-A749-A6F0-489293A92ACA}">
    <sortState xmlns:xlrd2="http://schemas.microsoft.com/office/spreadsheetml/2017/richdata2" ref="C10:O91">
      <sortCondition ref="L9:L91"/>
    </sortState>
  </autoFilter>
  <mergeCells count="3">
    <mergeCell ref="W7:X7"/>
    <mergeCell ref="S8:U8"/>
    <mergeCell ref="W8:X8"/>
  </mergeCells>
  <pageMargins left="0.7" right="0.7" top="0.75" bottom="0.75" header="0.3" footer="0.3"/>
  <pageSetup paperSize="9" orientation="portrait" horizontalDpi="0" verticalDpi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7270B-D1AE-2745-AA22-87A5FF48A210}">
  <dimension ref="B1:AC110"/>
  <sheetViews>
    <sheetView topLeftCell="A55" zoomScale="90" zoomScaleNormal="90" workbookViewId="0">
      <selection activeCell="I102" sqref="I102"/>
    </sheetView>
  </sheetViews>
  <sheetFormatPr baseColWidth="10" defaultColWidth="10.83203125" defaultRowHeight="16" x14ac:dyDescent="0.2"/>
  <cols>
    <col min="3" max="3" width="14.5" customWidth="1"/>
    <col min="4" max="4" width="20.1640625" customWidth="1"/>
    <col min="5" max="5" width="20.1640625" hidden="1" customWidth="1"/>
    <col min="6" max="6" width="14.5" style="15" customWidth="1"/>
    <col min="7" max="7" width="14.5" style="15" hidden="1" customWidth="1"/>
    <col min="8" max="8" width="14" style="15" customWidth="1"/>
    <col min="9" max="10" width="19.1640625" style="15" customWidth="1"/>
    <col min="11" max="11" width="17.6640625" style="15" customWidth="1"/>
    <col min="12" max="12" width="10.83203125" style="15"/>
    <col min="14" max="14" width="10.83203125" style="15"/>
    <col min="18" max="18" width="12.5" customWidth="1"/>
    <col min="19" max="19" width="13.5" customWidth="1"/>
    <col min="22" max="22" width="1.83203125" customWidth="1"/>
    <col min="23" max="23" width="15.83203125" customWidth="1"/>
    <col min="24" max="24" width="11" customWidth="1"/>
  </cols>
  <sheetData>
    <row r="1" spans="2:29" ht="8" customHeight="1" x14ac:dyDescent="0.2"/>
    <row r="2" spans="2:29" ht="8" customHeight="1" x14ac:dyDescent="0.2"/>
    <row r="5" spans="2:29" ht="26" x14ac:dyDescent="0.3">
      <c r="B5" s="21" t="s">
        <v>206</v>
      </c>
      <c r="C5" s="245" t="s">
        <v>381</v>
      </c>
      <c r="F5" s="667"/>
      <c r="G5" s="667"/>
      <c r="H5" s="671" t="s">
        <v>189</v>
      </c>
      <c r="I5" s="670">
        <f>'Løp 9'!I5+7</f>
        <v>46000</v>
      </c>
    </row>
    <row r="6" spans="2:29" ht="17" thickBot="1" x14ac:dyDescent="0.25">
      <c r="B6" s="15"/>
    </row>
    <row r="7" spans="2:29" ht="59" customHeight="1" thickBot="1" x14ac:dyDescent="0.35">
      <c r="B7" s="12" t="s">
        <v>194</v>
      </c>
      <c r="C7" s="662" t="s">
        <v>57</v>
      </c>
      <c r="D7" s="391" t="s">
        <v>58</v>
      </c>
      <c r="E7" s="663"/>
      <c r="F7" s="663" t="s">
        <v>234</v>
      </c>
      <c r="G7" s="391" t="s">
        <v>280</v>
      </c>
      <c r="H7" s="391" t="s">
        <v>235</v>
      </c>
      <c r="I7" s="391" t="s">
        <v>302</v>
      </c>
      <c r="J7" s="391" t="s">
        <v>303</v>
      </c>
      <c r="K7" s="391" t="s">
        <v>192</v>
      </c>
      <c r="L7" s="194" t="s">
        <v>209</v>
      </c>
      <c r="M7" s="392" t="s">
        <v>55</v>
      </c>
      <c r="N7" s="393" t="s">
        <v>242</v>
      </c>
      <c r="O7" s="393" t="s">
        <v>240</v>
      </c>
      <c r="Q7" s="319"/>
      <c r="R7" s="319"/>
      <c r="S7" s="755" t="str">
        <f>B5</f>
        <v>Løp 10</v>
      </c>
      <c r="T7" s="754" t="str">
        <f>C5</f>
        <v>Stavset Altura</v>
      </c>
      <c r="U7" s="730"/>
      <c r="V7" s="730"/>
      <c r="W7" s="941"/>
      <c r="X7" s="941"/>
    </row>
    <row r="8" spans="2:29" ht="23" customHeight="1" thickTop="1" thickBot="1" x14ac:dyDescent="0.35">
      <c r="B8" s="22"/>
      <c r="C8" s="394"/>
      <c r="D8" s="395"/>
      <c r="E8" s="597"/>
      <c r="F8" s="668"/>
      <c r="G8" s="668"/>
      <c r="H8" s="664"/>
      <c r="I8" s="391">
        <v>1.6</v>
      </c>
      <c r="J8" s="789">
        <v>2.7</v>
      </c>
      <c r="K8" s="391"/>
      <c r="N8" s="720"/>
      <c r="O8" s="390"/>
      <c r="S8" s="942" t="s">
        <v>312</v>
      </c>
      <c r="T8" s="943"/>
      <c r="U8" s="944"/>
      <c r="V8" s="779"/>
      <c r="W8" s="945" t="s">
        <v>313</v>
      </c>
      <c r="X8" s="940"/>
      <c r="AB8" s="836" t="s">
        <v>361</v>
      </c>
      <c r="AC8" s="827"/>
    </row>
    <row r="9" spans="2:29" ht="21" thickBot="1" x14ac:dyDescent="0.3">
      <c r="B9" s="22"/>
      <c r="C9" s="109"/>
      <c r="D9" s="105"/>
      <c r="E9" s="598"/>
      <c r="F9" s="669"/>
      <c r="G9" s="669"/>
      <c r="H9" s="665"/>
      <c r="I9" s="12"/>
      <c r="J9" s="12"/>
      <c r="K9" s="12"/>
      <c r="N9" s="722"/>
      <c r="O9" s="200"/>
      <c r="Q9" s="110"/>
      <c r="S9" s="731"/>
      <c r="T9" s="727" t="s">
        <v>311</v>
      </c>
      <c r="U9" s="750" t="s">
        <v>55</v>
      </c>
      <c r="V9" s="780"/>
      <c r="W9" s="774"/>
      <c r="X9" s="732" t="s">
        <v>55</v>
      </c>
      <c r="AB9" s="834" t="s">
        <v>234</v>
      </c>
      <c r="AC9" s="835" t="s">
        <v>362</v>
      </c>
    </row>
    <row r="10" spans="2:29" ht="21" thickBot="1" x14ac:dyDescent="0.3">
      <c r="B10" s="16">
        <f t="shared" ref="B10:B73" si="0">B9+1</f>
        <v>1</v>
      </c>
      <c r="C10" s="106" t="s">
        <v>78</v>
      </c>
      <c r="D10" s="107" t="s">
        <v>79</v>
      </c>
      <c r="E10" s="599" t="str">
        <f t="shared" ref="E10:E41" si="1">_xlfn.CONCAT(C10:D10)</f>
        <v>LeifEngen</v>
      </c>
      <c r="F10" s="192">
        <f>YEAR(I$5)-_xlfn.XLOOKUP(E10,Deltakerliste!E$5:E$98,Deltakerliste!I$5:I$98)</f>
        <v>84</v>
      </c>
      <c r="G10" s="192">
        <f>_xlfn.XLOOKUP(E10,Deltakerliste!E$5:E$98,Deltakerliste!H$5:H$98)</f>
        <v>2</v>
      </c>
      <c r="H10" s="592">
        <f>VLOOKUP(F10,Deltakerliste!P$6:T$84,G10,FALSE)</f>
        <v>2.1509999999999998</v>
      </c>
      <c r="I10" s="86">
        <v>1.6099537037037037E-2</v>
      </c>
      <c r="J10" s="86"/>
      <c r="K10" s="13"/>
      <c r="L10" s="600">
        <f t="shared" ref="L10:L43" si="2">IF(OR(I10="Arr",J10="Arr",K10="Arr"),"Arr",IF(OR(I10="Brutt",J10="Brutt",K10="Brutt"),"Brutt",IF(OR(I10="Løype",J10="Løype",K10="Løype"),"Løype",IF(I10&gt;0,I10/I$8,J10/J$8))))</f>
        <v>1.0062210648148148E-2</v>
      </c>
      <c r="M10" s="594">
        <f>IF(L10="Løype",Poengsammendrag!$F$2,IF(L10="Arr",Poengsammendrag!$F$3,IF(L10="Brutt",50,IF(L10="Disk",50,ROUND(MAXA(100*(MIN(L$10:L$89)/L10),50),0)))))</f>
        <v>74</v>
      </c>
      <c r="N10" s="724">
        <f t="shared" ref="N10:N43" si="3">IF(L10="Arr","Arr",IF(L10="Brutt","Brutt",IF(L10="Løype","Løype",L10/H10)))</f>
        <v>4.6779221981162944E-3</v>
      </c>
      <c r="O10" s="596">
        <f>IF(N10="Løype",Poengsammendrag!$F$2,IF(N10="Arr",Poengsammendrag!$F$3,IF(N10="Brutt",50,IF(N10="Disk",50,ROUND(MAXA(100*(MIN(N$10:N$89)/N10),50),0)))))</f>
        <v>100</v>
      </c>
      <c r="Q10" s="672"/>
      <c r="R10" s="672"/>
      <c r="S10" s="802" t="s">
        <v>222</v>
      </c>
      <c r="T10" s="734">
        <v>7.4245541838134418E-3</v>
      </c>
      <c r="U10" s="751">
        <v>100</v>
      </c>
      <c r="V10" s="781"/>
      <c r="W10" s="775" t="s">
        <v>338</v>
      </c>
      <c r="X10" s="739">
        <v>100</v>
      </c>
      <c r="AB10" s="832">
        <v>55</v>
      </c>
      <c r="AC10" s="833">
        <f t="shared" ref="AC10:AC50" si="4">COUNTIFS(F$10:F$95,AB10,M$10:M$95,"&gt;0")</f>
        <v>0</v>
      </c>
    </row>
    <row r="11" spans="2:29" ht="21" customHeight="1" thickBot="1" x14ac:dyDescent="0.3">
      <c r="B11" s="16">
        <f t="shared" si="0"/>
        <v>2</v>
      </c>
      <c r="C11" s="106" t="s">
        <v>138</v>
      </c>
      <c r="D11" s="107" t="s">
        <v>137</v>
      </c>
      <c r="E11" s="599" t="str">
        <f t="shared" si="1"/>
        <v>GunnhildOftedal</v>
      </c>
      <c r="F11" s="192">
        <f>YEAR(I$5)-_xlfn.XLOOKUP(E11,Deltakerliste!E$5:E$98,Deltakerliste!I$5:I$98)</f>
        <v>72</v>
      </c>
      <c r="G11" s="192">
        <f>_xlfn.XLOOKUP(E11,Deltakerliste!E$5:E$98,Deltakerliste!H$5:H$98)</f>
        <v>4</v>
      </c>
      <c r="H11" s="592">
        <f>VLOOKUP(F11,Deltakerliste!P$6:T$84,G11,FALSE)</f>
        <v>2.0362000000000013</v>
      </c>
      <c r="I11" s="13"/>
      <c r="J11" s="13">
        <v>2.7245370370370371E-2</v>
      </c>
      <c r="K11" s="13"/>
      <c r="L11" s="600">
        <f t="shared" si="2"/>
        <v>1.0090877914951989E-2</v>
      </c>
      <c r="M11" s="594">
        <f>IF(L11="Løype",Poengsammendrag!$F$2,IF(L11="Arr",Poengsammendrag!$F$3,IF(L11="Brutt",50,IF(L11="Disk",50,ROUND(MAXA(100*(MIN(L$10:L$89)/L11),50),0)))))</f>
        <v>74</v>
      </c>
      <c r="N11" s="724">
        <f t="shared" si="3"/>
        <v>4.9557400623475014E-3</v>
      </c>
      <c r="O11" s="596">
        <f>IF(N11="Løype",Poengsammendrag!$F$2,IF(N11="Arr",Poengsammendrag!$F$3,IF(N11="Brutt",50,IF(N11="Disk",50,ROUND(MAXA(100*(MIN(N$10:N$89)/N11),50),0)))))</f>
        <v>94</v>
      </c>
      <c r="Q11" s="672"/>
      <c r="R11" s="672"/>
      <c r="S11" s="803" t="s">
        <v>126</v>
      </c>
      <c r="T11" s="736">
        <v>7.5145747599451307E-3</v>
      </c>
      <c r="U11" s="752">
        <v>99</v>
      </c>
      <c r="V11" s="781"/>
      <c r="W11" s="776" t="s">
        <v>138</v>
      </c>
      <c r="X11" s="740">
        <v>94</v>
      </c>
      <c r="AB11" s="828">
        <f>AB10+1</f>
        <v>56</v>
      </c>
      <c r="AC11" s="829">
        <f t="shared" si="4"/>
        <v>0</v>
      </c>
    </row>
    <row r="12" spans="2:29" ht="21" customHeight="1" thickBot="1" x14ac:dyDescent="0.3">
      <c r="B12" s="16">
        <f t="shared" si="0"/>
        <v>3</v>
      </c>
      <c r="C12" s="106" t="s">
        <v>126</v>
      </c>
      <c r="D12" s="107" t="s">
        <v>127</v>
      </c>
      <c r="E12" s="599" t="str">
        <f t="shared" si="1"/>
        <v>ArneMikkelsen</v>
      </c>
      <c r="F12" s="192">
        <f>YEAR(I$5)-_xlfn.XLOOKUP(E12,Deltakerliste!E$5:E$98,Deltakerliste!I$5:I$98)</f>
        <v>72</v>
      </c>
      <c r="G12" s="192">
        <f>_xlfn.XLOOKUP(E12,Deltakerliste!E$5:E$98,Deltakerliste!H$5:H$98)</f>
        <v>2</v>
      </c>
      <c r="H12" s="592">
        <f>VLOOKUP(F12,Deltakerliste!P$6:T$84,G12,FALSE)</f>
        <v>1.4969999999999999</v>
      </c>
      <c r="I12" s="13"/>
      <c r="J12" s="13">
        <v>2.0289351851851854E-2</v>
      </c>
      <c r="K12" s="13"/>
      <c r="L12" s="600">
        <f t="shared" si="2"/>
        <v>7.5145747599451307E-3</v>
      </c>
      <c r="M12" s="594">
        <f>IF(L12="Løype",Poengsammendrag!$F$2,IF(L12="Arr",Poengsammendrag!$F$3,IF(L12="Brutt",50,IF(L12="Disk",50,ROUND(MAXA(100*(MIN(L$10:L$89)/L12),50),0)))))</f>
        <v>99</v>
      </c>
      <c r="N12" s="724">
        <f t="shared" si="3"/>
        <v>5.019756018667422E-3</v>
      </c>
      <c r="O12" s="596">
        <f>IF(N12="Løype",Poengsammendrag!$F$2,IF(N12="Arr",Poengsammendrag!$F$3,IF(N12="Brutt",50,IF(N12="Disk",50,ROUND(MAXA(100*(MIN(N$10:N$89)/N12),50),0)))))</f>
        <v>93</v>
      </c>
      <c r="Q12" s="672"/>
      <c r="R12" s="672"/>
      <c r="S12" s="803" t="s">
        <v>380</v>
      </c>
      <c r="T12" s="736">
        <v>7.8875171467764054E-3</v>
      </c>
      <c r="U12" s="752">
        <v>94</v>
      </c>
      <c r="V12" s="781"/>
      <c r="W12" s="776" t="s">
        <v>126</v>
      </c>
      <c r="X12" s="740">
        <v>93</v>
      </c>
      <c r="AB12" s="828">
        <f t="shared" ref="AB12:AB50" si="5">AB11+1</f>
        <v>57</v>
      </c>
      <c r="AC12" s="829">
        <f t="shared" si="4"/>
        <v>0</v>
      </c>
    </row>
    <row r="13" spans="2:29" ht="21" customHeight="1" thickBot="1" x14ac:dyDescent="0.3">
      <c r="B13" s="16">
        <f t="shared" si="0"/>
        <v>4</v>
      </c>
      <c r="C13" s="106" t="s">
        <v>64</v>
      </c>
      <c r="D13" s="107" t="s">
        <v>65</v>
      </c>
      <c r="E13" s="599" t="str">
        <f t="shared" si="1"/>
        <v>BjørnBerger</v>
      </c>
      <c r="F13" s="192">
        <f>YEAR(I$5)-_xlfn.XLOOKUP(E13,Deltakerliste!E$5:E$98,Deltakerliste!I$5:I$98)</f>
        <v>74</v>
      </c>
      <c r="G13" s="192">
        <f>_xlfn.XLOOKUP(E13,Deltakerliste!E$5:E$98,Deltakerliste!H$5:H$98)</f>
        <v>2</v>
      </c>
      <c r="H13" s="592">
        <f>VLOOKUP(F13,Deltakerliste!P$6:T$84,G13,FALSE)</f>
        <v>1.569</v>
      </c>
      <c r="I13" s="13"/>
      <c r="J13" s="13">
        <v>2.1296296296296296E-2</v>
      </c>
      <c r="K13" s="19"/>
      <c r="L13" s="600">
        <f t="shared" si="2"/>
        <v>7.8875171467764054E-3</v>
      </c>
      <c r="M13" s="594">
        <f>IF(L13="Løype",Poengsammendrag!$F$2,IF(L13="Arr",Poengsammendrag!$F$3,IF(L13="Brutt",50,IF(L13="Disk",50,ROUND(MAXA(100*(MIN(L$10:L$89)/L13),50),0)))))</f>
        <v>94</v>
      </c>
      <c r="N13" s="724">
        <f t="shared" si="3"/>
        <v>5.0270982452367153E-3</v>
      </c>
      <c r="O13" s="596">
        <f>IF(N13="Løype",Poengsammendrag!$F$2,IF(N13="Arr",Poengsammendrag!$F$3,IF(N13="Brutt",50,IF(N13="Disk",50,ROUND(MAXA(100*(MIN(N$10:N$89)/N13),50),0)))))</f>
        <v>93</v>
      </c>
      <c r="Q13" s="672"/>
      <c r="R13" s="672"/>
      <c r="S13" s="803" t="s">
        <v>134</v>
      </c>
      <c r="T13" s="736">
        <v>8.3247599451303153E-3</v>
      </c>
      <c r="U13" s="752">
        <v>89</v>
      </c>
      <c r="V13" s="781"/>
      <c r="W13" s="776" t="s">
        <v>380</v>
      </c>
      <c r="X13" s="740">
        <v>93</v>
      </c>
      <c r="AB13" s="828">
        <f t="shared" si="5"/>
        <v>58</v>
      </c>
      <c r="AC13" s="829">
        <f t="shared" si="4"/>
        <v>0</v>
      </c>
    </row>
    <row r="14" spans="2:29" ht="21" customHeight="1" thickBot="1" x14ac:dyDescent="0.3">
      <c r="B14" s="16">
        <f t="shared" si="0"/>
        <v>5</v>
      </c>
      <c r="C14" s="106" t="s">
        <v>159</v>
      </c>
      <c r="D14" s="107" t="s">
        <v>160</v>
      </c>
      <c r="E14" s="599" t="str">
        <f t="shared" si="1"/>
        <v>EigilSørli</v>
      </c>
      <c r="F14" s="192">
        <f>YEAR(I$5)-_xlfn.XLOOKUP(E14,Deltakerliste!E$5:E$98,Deltakerliste!I$5:I$98)</f>
        <v>85</v>
      </c>
      <c r="G14" s="192">
        <f>_xlfn.XLOOKUP(E14,Deltakerliste!E$5:E$98,Deltakerliste!H$5:H$98)</f>
        <v>2</v>
      </c>
      <c r="H14" s="592">
        <f>VLOOKUP(F14,Deltakerliste!P$6:T$84,G14,FALSE)</f>
        <v>2.2249999999999996</v>
      </c>
      <c r="I14" s="132">
        <v>1.8287037037037036E-2</v>
      </c>
      <c r="J14" s="18"/>
      <c r="K14" s="18"/>
      <c r="L14" s="600">
        <f t="shared" si="2"/>
        <v>1.1429398148148147E-2</v>
      </c>
      <c r="M14" s="594">
        <f>IF(L14="Løype",Poengsammendrag!$F$2,IF(L14="Arr",Poengsammendrag!$F$3,IF(L14="Brutt",50,IF(L14="Disk",50,ROUND(MAXA(100*(MIN(L$10:L$89)/L14),50),0)))))</f>
        <v>65</v>
      </c>
      <c r="N14" s="724">
        <f t="shared" si="3"/>
        <v>5.1368081564710779E-3</v>
      </c>
      <c r="O14" s="596">
        <f>IF(N14="Løype",Poengsammendrag!$F$2,IF(N14="Arr",Poengsammendrag!$F$3,IF(N14="Brutt",50,IF(N14="Disk",50,ROUND(MAXA(100*(MIN(N$10:N$89)/N14),50),0)))))</f>
        <v>91</v>
      </c>
      <c r="Q14" s="672"/>
      <c r="R14" s="672"/>
      <c r="S14" s="803" t="s">
        <v>106</v>
      </c>
      <c r="T14" s="736">
        <v>8.7362825788751715E-3</v>
      </c>
      <c r="U14" s="752">
        <v>85</v>
      </c>
      <c r="V14" s="781"/>
      <c r="W14" s="776" t="s">
        <v>357</v>
      </c>
      <c r="X14" s="740">
        <v>91</v>
      </c>
      <c r="AB14" s="828">
        <f t="shared" si="5"/>
        <v>59</v>
      </c>
      <c r="AC14" s="829">
        <f t="shared" si="4"/>
        <v>0</v>
      </c>
    </row>
    <row r="15" spans="2:29" ht="21" customHeight="1" thickBot="1" x14ac:dyDescent="0.3">
      <c r="B15" s="16">
        <f t="shared" si="0"/>
        <v>6</v>
      </c>
      <c r="C15" s="106" t="s">
        <v>106</v>
      </c>
      <c r="D15" s="107" t="s">
        <v>107</v>
      </c>
      <c r="E15" s="599" t="str">
        <f t="shared" si="1"/>
        <v>Jon ArneKlemetsaune</v>
      </c>
      <c r="F15" s="192">
        <f>YEAR(I$5)-_xlfn.XLOOKUP(E15,Deltakerliste!E$5:E$98,Deltakerliste!I$5:I$98)</f>
        <v>76</v>
      </c>
      <c r="G15" s="192">
        <f>_xlfn.XLOOKUP(E15,Deltakerliste!E$5:E$98,Deltakerliste!H$5:H$98)</f>
        <v>2</v>
      </c>
      <c r="H15" s="592">
        <f>VLOOKUP(F15,Deltakerliste!P$6:T$84,G15,FALSE)</f>
        <v>1.655</v>
      </c>
      <c r="I15" s="86"/>
      <c r="J15" s="86">
        <v>2.3587962962962963E-2</v>
      </c>
      <c r="K15" s="17"/>
      <c r="L15" s="600">
        <f t="shared" si="2"/>
        <v>8.7362825788751715E-3</v>
      </c>
      <c r="M15" s="594">
        <f>IF(L15="Løype",Poengsammendrag!$F$2,IF(L15="Arr",Poengsammendrag!$F$3,IF(L15="Brutt",50,IF(L15="Disk",50,ROUND(MAXA(100*(MIN(L$10:L$89)/L15),50),0)))))</f>
        <v>85</v>
      </c>
      <c r="N15" s="724">
        <f t="shared" si="3"/>
        <v>5.27872059146536E-3</v>
      </c>
      <c r="O15" s="596">
        <f>IF(N15="Løype",Poengsammendrag!$F$2,IF(N15="Arr",Poengsammendrag!$F$3,IF(N15="Brutt",50,IF(N15="Disk",50,ROUND(MAXA(100*(MIN(N$10:N$89)/N15),50),0)))))</f>
        <v>89</v>
      </c>
      <c r="Q15" s="672"/>
      <c r="R15" s="672"/>
      <c r="S15" s="803" t="s">
        <v>120</v>
      </c>
      <c r="T15" s="736">
        <v>9.2635459533607686E-3</v>
      </c>
      <c r="U15" s="752">
        <v>80</v>
      </c>
      <c r="V15" s="781"/>
      <c r="W15" s="776" t="s">
        <v>106</v>
      </c>
      <c r="X15" s="740">
        <v>89</v>
      </c>
      <c r="AB15" s="828">
        <f t="shared" si="5"/>
        <v>60</v>
      </c>
      <c r="AC15" s="829">
        <f t="shared" si="4"/>
        <v>0</v>
      </c>
    </row>
    <row r="16" spans="2:29" ht="21" customHeight="1" thickBot="1" x14ac:dyDescent="0.3">
      <c r="B16" s="16">
        <f t="shared" si="0"/>
        <v>7</v>
      </c>
      <c r="C16" s="106" t="s">
        <v>222</v>
      </c>
      <c r="D16" s="107" t="s">
        <v>221</v>
      </c>
      <c r="E16" s="599" t="str">
        <f t="shared" si="1"/>
        <v>Kjell Maroni</v>
      </c>
      <c r="F16" s="192">
        <f>YEAR(I$5)-_xlfn.XLOOKUP(E16,Deltakerliste!E$5:E$98,Deltakerliste!I$5:I$98)</f>
        <v>69</v>
      </c>
      <c r="G16" s="192">
        <f>_xlfn.XLOOKUP(E16,Deltakerliste!E$5:E$98,Deltakerliste!H$5:H$98)</f>
        <v>2</v>
      </c>
      <c r="H16" s="592">
        <f>VLOOKUP(F16,Deltakerliste!P$6:T$84,G16,FALSE)</f>
        <v>1.3989999999999998</v>
      </c>
      <c r="I16" s="13"/>
      <c r="J16" s="13">
        <v>2.0046296296296295E-2</v>
      </c>
      <c r="K16" s="13"/>
      <c r="L16" s="600">
        <f t="shared" si="2"/>
        <v>7.4245541838134418E-3</v>
      </c>
      <c r="M16" s="594">
        <f>IF(L16="Løype",Poengsammendrag!$F$2,IF(L16="Arr",Poengsammendrag!$F$3,IF(L16="Brutt",50,IF(L16="Disk",50,ROUND(MAXA(100*(MIN(L$10:L$89)/L16),50),0)))))</f>
        <v>100</v>
      </c>
      <c r="N16" s="724">
        <f t="shared" si="3"/>
        <v>5.3070437339624325E-3</v>
      </c>
      <c r="O16" s="596">
        <f>IF(N16="Løype",Poengsammendrag!$F$2,IF(N16="Arr",Poengsammendrag!$F$3,IF(N16="Brutt",50,IF(N16="Disk",50,ROUND(MAXA(100*(MIN(N$10:N$89)/N16),50),0)))))</f>
        <v>88</v>
      </c>
      <c r="Q16" s="672"/>
      <c r="R16" s="672"/>
      <c r="S16" s="803" t="s">
        <v>346</v>
      </c>
      <c r="T16" s="736">
        <v>9.5078875171467764E-3</v>
      </c>
      <c r="U16" s="752">
        <v>78</v>
      </c>
      <c r="V16" s="781"/>
      <c r="W16" s="776" t="s">
        <v>222</v>
      </c>
      <c r="X16" s="740">
        <v>88</v>
      </c>
      <c r="AB16" s="828">
        <f t="shared" si="5"/>
        <v>61</v>
      </c>
      <c r="AC16" s="829">
        <f t="shared" si="4"/>
        <v>0</v>
      </c>
    </row>
    <row r="17" spans="2:29" ht="21" customHeight="1" thickBot="1" x14ac:dyDescent="0.3">
      <c r="B17" s="16">
        <f t="shared" si="0"/>
        <v>8</v>
      </c>
      <c r="C17" s="106" t="s">
        <v>96</v>
      </c>
      <c r="D17" s="107" t="s">
        <v>97</v>
      </c>
      <c r="E17" s="599" t="str">
        <f t="shared" si="1"/>
        <v>StigHaugskott</v>
      </c>
      <c r="F17" s="192">
        <f>YEAR(I$5)-_xlfn.XLOOKUP(E17,Deltakerliste!E$5:E$98,Deltakerliste!I$5:I$98)</f>
        <v>86</v>
      </c>
      <c r="G17" s="192">
        <f>_xlfn.XLOOKUP(E17,Deltakerliste!E$5:E$98,Deltakerliste!H$5:H$98)</f>
        <v>2</v>
      </c>
      <c r="H17" s="592">
        <f>VLOOKUP(F17,Deltakerliste!P$6:T$84,G17,FALSE)</f>
        <v>2.3089999999999997</v>
      </c>
      <c r="I17" s="86">
        <v>2.060185185185185E-2</v>
      </c>
      <c r="J17" s="86"/>
      <c r="K17" s="86"/>
      <c r="L17" s="600">
        <f t="shared" si="2"/>
        <v>1.2876157407407406E-2</v>
      </c>
      <c r="M17" s="594">
        <f>IF(L17="Løype",Poengsammendrag!$F$2,IF(L17="Arr",Poengsammendrag!$F$3,IF(L17="Brutt",50,IF(L17="Disk",50,ROUND(MAXA(100*(MIN(L$10:L$89)/L17),50),0)))))</f>
        <v>58</v>
      </c>
      <c r="N17" s="724">
        <f t="shared" si="3"/>
        <v>5.5765081885696868E-3</v>
      </c>
      <c r="O17" s="596">
        <f>IF(N17="Løype",Poengsammendrag!$F$2,IF(N17="Arr",Poengsammendrag!$F$3,IF(N17="Brutt",50,IF(N17="Disk",50,ROUND(MAXA(100*(MIN(N$10:N$89)/N17),50),0)))))</f>
        <v>84</v>
      </c>
      <c r="Q17" s="672"/>
      <c r="R17" s="672"/>
      <c r="S17" s="803" t="s">
        <v>101</v>
      </c>
      <c r="T17" s="736">
        <v>9.6788194444444448E-3</v>
      </c>
      <c r="U17" s="752">
        <v>77</v>
      </c>
      <c r="V17" s="781"/>
      <c r="W17" s="776" t="s">
        <v>96</v>
      </c>
      <c r="X17" s="740">
        <v>84</v>
      </c>
      <c r="AB17" s="828">
        <f t="shared" si="5"/>
        <v>62</v>
      </c>
      <c r="AC17" s="829">
        <f t="shared" si="4"/>
        <v>0</v>
      </c>
    </row>
    <row r="18" spans="2:29" ht="21" customHeight="1" thickBot="1" x14ac:dyDescent="0.3">
      <c r="B18" s="16">
        <f t="shared" si="0"/>
        <v>9</v>
      </c>
      <c r="C18" s="106" t="s">
        <v>114</v>
      </c>
      <c r="D18" s="107" t="s">
        <v>115</v>
      </c>
      <c r="E18" s="599" t="str">
        <f t="shared" si="1"/>
        <v>MagnusLandstad</v>
      </c>
      <c r="F18" s="192">
        <f>YEAR(I$5)-_xlfn.XLOOKUP(E18,Deltakerliste!E$5:E$98,Deltakerliste!I$5:I$98)</f>
        <v>82</v>
      </c>
      <c r="G18" s="192">
        <f>_xlfn.XLOOKUP(E18,Deltakerliste!E$5:E$98,Deltakerliste!H$5:H$98)</f>
        <v>2</v>
      </c>
      <c r="H18" s="592">
        <f>VLOOKUP(F18,Deltakerliste!P$6:T$84,G18,FALSE)</f>
        <v>2.0030000000000001</v>
      </c>
      <c r="I18" s="86"/>
      <c r="J18" s="86">
        <v>3.1631944444444442E-2</v>
      </c>
      <c r="K18" s="13"/>
      <c r="L18" s="600">
        <f t="shared" si="2"/>
        <v>1.1715534979423866E-2</v>
      </c>
      <c r="M18" s="594">
        <f>IF(L18="Løype",Poengsammendrag!$F$2,IF(L18="Arr",Poengsammendrag!$F$3,IF(L18="Brutt",50,IF(L18="Disk",50,ROUND(MAXA(100*(MIN(L$10:L$89)/L18),50),0)))))</f>
        <v>63</v>
      </c>
      <c r="N18" s="724">
        <f t="shared" si="3"/>
        <v>5.8489939987138619E-3</v>
      </c>
      <c r="O18" s="596">
        <f>IF(N18="Løype",Poengsammendrag!$F$2,IF(N18="Arr",Poengsammendrag!$F$3,IF(N18="Brutt",50,IF(N18="Disk",50,ROUND(MAXA(100*(MIN(N$10:N$89)/N18),50),0)))))</f>
        <v>80</v>
      </c>
      <c r="Q18" s="672"/>
      <c r="R18" s="672"/>
      <c r="S18" s="803" t="s">
        <v>163</v>
      </c>
      <c r="T18" s="736">
        <v>9.9579903978052123E-3</v>
      </c>
      <c r="U18" s="752">
        <v>75</v>
      </c>
      <c r="V18" s="781"/>
      <c r="W18" s="776" t="s">
        <v>114</v>
      </c>
      <c r="X18" s="740">
        <v>80</v>
      </c>
      <c r="AB18" s="828">
        <f t="shared" si="5"/>
        <v>63</v>
      </c>
      <c r="AC18" s="829">
        <f t="shared" si="4"/>
        <v>0</v>
      </c>
    </row>
    <row r="19" spans="2:29" ht="21" thickBot="1" x14ac:dyDescent="0.3">
      <c r="B19" s="16">
        <f t="shared" si="0"/>
        <v>10</v>
      </c>
      <c r="C19" s="106" t="s">
        <v>134</v>
      </c>
      <c r="D19" s="107" t="s">
        <v>135</v>
      </c>
      <c r="E19" s="599" t="str">
        <f t="shared" si="1"/>
        <v>IngeNørstebø</v>
      </c>
      <c r="F19" s="192">
        <f>YEAR(I$5)-_xlfn.XLOOKUP(E19,Deltakerliste!E$5:E$98,Deltakerliste!I$5:I$98)</f>
        <v>69</v>
      </c>
      <c r="G19" s="192">
        <f>_xlfn.XLOOKUP(E19,Deltakerliste!E$5:E$98,Deltakerliste!H$5:H$98)</f>
        <v>2</v>
      </c>
      <c r="H19" s="592">
        <f>VLOOKUP(F19,Deltakerliste!P$6:T$84,G19,FALSE)</f>
        <v>1.3989999999999998</v>
      </c>
      <c r="I19" s="13"/>
      <c r="J19" s="13">
        <v>2.2476851851851852E-2</v>
      </c>
      <c r="K19" s="13"/>
      <c r="L19" s="600">
        <f t="shared" si="2"/>
        <v>8.3247599451303153E-3</v>
      </c>
      <c r="M19" s="594">
        <f>IF(L19="Løype",Poengsammendrag!$F$2,IF(L19="Arr",Poengsammendrag!$F$3,IF(L19="Brutt",50,IF(L19="Disk",50,ROUND(MAXA(100*(MIN(L$10:L$89)/L19),50),0)))))</f>
        <v>89</v>
      </c>
      <c r="N19" s="724">
        <f t="shared" si="3"/>
        <v>5.9505074661403267E-3</v>
      </c>
      <c r="O19" s="596">
        <f>IF(N19="Løype",Poengsammendrag!$F$2,IF(N19="Arr",Poengsammendrag!$F$3,IF(N19="Brutt",50,IF(N19="Disk",50,ROUND(MAXA(100*(MIN(N$10:N$89)/N19),50),0)))))</f>
        <v>79</v>
      </c>
      <c r="Q19" s="672"/>
      <c r="R19" s="672"/>
      <c r="S19" s="803" t="s">
        <v>338</v>
      </c>
      <c r="T19" s="736">
        <v>1.0062210648148148E-2</v>
      </c>
      <c r="U19" s="752">
        <v>74</v>
      </c>
      <c r="V19" s="781"/>
      <c r="W19" s="776" t="s">
        <v>134</v>
      </c>
      <c r="X19" s="740">
        <v>79</v>
      </c>
      <c r="AB19" s="828">
        <f t="shared" si="5"/>
        <v>64</v>
      </c>
      <c r="AC19" s="829">
        <f t="shared" si="4"/>
        <v>0</v>
      </c>
    </row>
    <row r="20" spans="2:29" ht="21" thickBot="1" x14ac:dyDescent="0.3">
      <c r="B20" s="16">
        <f t="shared" si="0"/>
        <v>11</v>
      </c>
      <c r="C20" s="106" t="s">
        <v>80</v>
      </c>
      <c r="D20" s="107" t="s">
        <v>81</v>
      </c>
      <c r="E20" s="599" t="str">
        <f t="shared" si="1"/>
        <v>HalvorFlatberg</v>
      </c>
      <c r="F20" s="192">
        <f>YEAR(I$5)-_xlfn.XLOOKUP(E20,Deltakerliste!E$5:E$98,Deltakerliste!I$5:I$98)</f>
        <v>79</v>
      </c>
      <c r="G20" s="192">
        <f>_xlfn.XLOOKUP(E20,Deltakerliste!E$5:E$98,Deltakerliste!H$5:H$98)</f>
        <v>2</v>
      </c>
      <c r="H20" s="592">
        <f>VLOOKUP(F20,Deltakerliste!P$6:T$84,G20,FALSE)</f>
        <v>1.8050000000000002</v>
      </c>
      <c r="I20" s="86">
        <v>1.8101851851851852E-2</v>
      </c>
      <c r="J20" s="86"/>
      <c r="K20" s="13"/>
      <c r="L20" s="600">
        <f t="shared" si="2"/>
        <v>1.1313657407407406E-2</v>
      </c>
      <c r="M20" s="594">
        <f>IF(L20="Løype",Poengsammendrag!$F$2,IF(L20="Arr",Poengsammendrag!$F$3,IF(L20="Brutt",50,IF(L20="Disk",50,ROUND(MAXA(100*(MIN(L$10:L$89)/L20),50),0)))))</f>
        <v>66</v>
      </c>
      <c r="N20" s="724">
        <f t="shared" si="3"/>
        <v>6.2679542423309722E-3</v>
      </c>
      <c r="O20" s="596">
        <f>IF(N20="Løype",Poengsammendrag!$F$2,IF(N20="Arr",Poengsammendrag!$F$3,IF(N20="Brutt",50,IF(N20="Disk",50,ROUND(MAXA(100*(MIN(N$10:N$89)/N20),50),0)))))</f>
        <v>75</v>
      </c>
      <c r="Q20" s="672"/>
      <c r="R20" s="672"/>
      <c r="S20" s="803" t="s">
        <v>138</v>
      </c>
      <c r="T20" s="736">
        <v>1.0090877914951989E-2</v>
      </c>
      <c r="U20" s="752">
        <v>74</v>
      </c>
      <c r="V20" s="781"/>
      <c r="W20" s="776" t="s">
        <v>80</v>
      </c>
      <c r="X20" s="740">
        <v>75</v>
      </c>
      <c r="AB20" s="828">
        <f t="shared" si="5"/>
        <v>65</v>
      </c>
      <c r="AC20" s="829">
        <f t="shared" si="4"/>
        <v>0</v>
      </c>
    </row>
    <row r="21" spans="2:29" ht="21" customHeight="1" thickBot="1" x14ac:dyDescent="0.3">
      <c r="B21" s="16">
        <f t="shared" si="0"/>
        <v>12</v>
      </c>
      <c r="C21" s="106" t="s">
        <v>120</v>
      </c>
      <c r="D21" s="107" t="s">
        <v>121</v>
      </c>
      <c r="E21" s="599" t="str">
        <f t="shared" si="1"/>
        <v>KlausLivik</v>
      </c>
      <c r="F21" s="192">
        <f>YEAR(I$5)-_xlfn.XLOOKUP(E21,Deltakerliste!E$5:E$98,Deltakerliste!I$5:I$98)</f>
        <v>71</v>
      </c>
      <c r="G21" s="192">
        <f>_xlfn.XLOOKUP(E21,Deltakerliste!E$5:E$98,Deltakerliste!H$5:H$98)</f>
        <v>2</v>
      </c>
      <c r="H21" s="592">
        <f>VLOOKUP(F21,Deltakerliste!P$6:T$84,G21,FALSE)</f>
        <v>1.4609999999999999</v>
      </c>
      <c r="I21" s="13"/>
      <c r="J21" s="13">
        <v>2.5011574074074075E-2</v>
      </c>
      <c r="K21" s="17"/>
      <c r="L21" s="600">
        <f t="shared" si="2"/>
        <v>9.2635459533607686E-3</v>
      </c>
      <c r="M21" s="594">
        <f>IF(L21="Løype",Poengsammendrag!$F$2,IF(L21="Arr",Poengsammendrag!$F$3,IF(L21="Brutt",50,IF(L21="Disk",50,ROUND(MAXA(100*(MIN(L$10:L$89)/L21),50),0)))))</f>
        <v>80</v>
      </c>
      <c r="N21" s="724">
        <f t="shared" si="3"/>
        <v>6.3405516450107937E-3</v>
      </c>
      <c r="O21" s="596">
        <f>IF(N21="Løype",Poengsammendrag!$F$2,IF(N21="Arr",Poengsammendrag!$F$3,IF(N21="Brutt",50,IF(N21="Disk",50,ROUND(MAXA(100*(MIN(N$10:N$89)/N21),50),0)))))</f>
        <v>74</v>
      </c>
      <c r="Q21" s="672"/>
      <c r="R21" s="672"/>
      <c r="S21" s="803" t="s">
        <v>136</v>
      </c>
      <c r="T21" s="736">
        <v>1.1046006944444445E-2</v>
      </c>
      <c r="U21" s="752">
        <v>67</v>
      </c>
      <c r="V21" s="781"/>
      <c r="W21" s="776" t="s">
        <v>120</v>
      </c>
      <c r="X21" s="740">
        <v>74</v>
      </c>
      <c r="AB21" s="828">
        <f t="shared" si="5"/>
        <v>66</v>
      </c>
      <c r="AC21" s="829">
        <f t="shared" si="4"/>
        <v>1</v>
      </c>
    </row>
    <row r="22" spans="2:29" ht="21" customHeight="1" thickBot="1" x14ac:dyDescent="0.3">
      <c r="B22" s="16">
        <f t="shared" si="0"/>
        <v>13</v>
      </c>
      <c r="C22" s="106" t="s">
        <v>122</v>
      </c>
      <c r="D22" s="107" t="s">
        <v>123</v>
      </c>
      <c r="E22" s="599" t="str">
        <f t="shared" si="1"/>
        <v>MartinMelhuus</v>
      </c>
      <c r="F22" s="192">
        <f>YEAR(I$5)-_xlfn.XLOOKUP(E22,Deltakerliste!E$5:E$98,Deltakerliste!I$5:I$98)</f>
        <v>81</v>
      </c>
      <c r="G22" s="192">
        <f>_xlfn.XLOOKUP(E22,Deltakerliste!E$5:E$98,Deltakerliste!H$5:H$98)</f>
        <v>2</v>
      </c>
      <c r="H22" s="592">
        <f>VLOOKUP(F22,Deltakerliste!P$6:T$84,G22,FALSE)</f>
        <v>1.9290000000000003</v>
      </c>
      <c r="I22" s="13">
        <v>1.9791666666666666E-2</v>
      </c>
      <c r="J22" s="13"/>
      <c r="K22" s="13"/>
      <c r="L22" s="600">
        <f t="shared" si="2"/>
        <v>1.2369791666666666E-2</v>
      </c>
      <c r="M22" s="594">
        <f>IF(L22="Løype",Poengsammendrag!$F$2,IF(L22="Arr",Poengsammendrag!$F$3,IF(L22="Brutt",50,IF(L22="Disk",50,ROUND(MAXA(100*(MIN(L$10:L$89)/L22),50),0)))))</f>
        <v>60</v>
      </c>
      <c r="N22" s="724">
        <f t="shared" si="3"/>
        <v>6.4125410402626568E-3</v>
      </c>
      <c r="O22" s="596">
        <f>IF(N22="Løype",Poengsammendrag!$F$2,IF(N22="Arr",Poengsammendrag!$F$3,IF(N22="Brutt",50,IF(N22="Disk",50,ROUND(MAXA(100*(MIN(N$10:N$89)/N22),50),0)))))</f>
        <v>73</v>
      </c>
      <c r="Q22" s="672"/>
      <c r="R22" s="672"/>
      <c r="S22" s="803" t="s">
        <v>314</v>
      </c>
      <c r="T22" s="736">
        <v>1.130829903978052E-2</v>
      </c>
      <c r="U22" s="752">
        <v>66</v>
      </c>
      <c r="V22" s="781"/>
      <c r="W22" s="776" t="s">
        <v>122</v>
      </c>
      <c r="X22" s="740">
        <v>73</v>
      </c>
      <c r="AB22" s="828">
        <f t="shared" si="5"/>
        <v>67</v>
      </c>
      <c r="AC22" s="829">
        <f t="shared" si="4"/>
        <v>1</v>
      </c>
    </row>
    <row r="23" spans="2:29" ht="21" customHeight="1" thickBot="1" x14ac:dyDescent="0.3">
      <c r="B23" s="16">
        <f t="shared" si="0"/>
        <v>14</v>
      </c>
      <c r="C23" s="106" t="s">
        <v>124</v>
      </c>
      <c r="D23" s="107" t="s">
        <v>125</v>
      </c>
      <c r="E23" s="599" t="str">
        <f t="shared" si="1"/>
        <v>Heidi Midttun</v>
      </c>
      <c r="F23" s="192">
        <f>YEAR(I$5)-_xlfn.XLOOKUP(E23,Deltakerliste!E$5:E$98,Deltakerliste!I$5:I$98)</f>
        <v>70</v>
      </c>
      <c r="G23" s="192">
        <f>_xlfn.XLOOKUP(E23,Deltakerliste!E$5:E$98,Deltakerliste!H$5:H$98)</f>
        <v>4</v>
      </c>
      <c r="H23" s="592">
        <f>VLOOKUP(F23,Deltakerliste!P$6:T$84,G23,FALSE)</f>
        <v>1.9490000000000012</v>
      </c>
      <c r="I23" s="13"/>
      <c r="J23" s="13">
        <v>3.3784722222222223E-2</v>
      </c>
      <c r="K23" s="13"/>
      <c r="L23" s="600">
        <f t="shared" si="2"/>
        <v>1.2512860082304527E-2</v>
      </c>
      <c r="M23" s="594">
        <f>IF(L23="Løype",Poengsammendrag!$F$2,IF(L23="Arr",Poengsammendrag!$F$3,IF(L23="Brutt",50,IF(L23="Disk",50,ROUND(MAXA(100*(MIN(L$10:L$89)/L23),50),0)))))</f>
        <v>59</v>
      </c>
      <c r="N23" s="724">
        <f t="shared" si="3"/>
        <v>6.420143705646239E-3</v>
      </c>
      <c r="O23" s="596">
        <f>IF(N23="Løype",Poengsammendrag!$F$2,IF(N23="Arr",Poengsammendrag!$F$3,IF(N23="Brutt",50,IF(N23="Disk",50,ROUND(MAXA(100*(MIN(N$10:N$89)/N23),50),0)))))</f>
        <v>73</v>
      </c>
      <c r="Q23" s="672"/>
      <c r="R23" s="672"/>
      <c r="S23" s="803" t="s">
        <v>80</v>
      </c>
      <c r="T23" s="736">
        <v>1.1313657407407406E-2</v>
      </c>
      <c r="U23" s="752">
        <v>66</v>
      </c>
      <c r="V23" s="781"/>
      <c r="W23" s="776" t="s">
        <v>124</v>
      </c>
      <c r="X23" s="740">
        <v>73</v>
      </c>
      <c r="AB23" s="828">
        <f t="shared" si="5"/>
        <v>68</v>
      </c>
      <c r="AC23" s="829">
        <f t="shared" si="4"/>
        <v>1</v>
      </c>
    </row>
    <row r="24" spans="2:29" ht="21" thickBot="1" x14ac:dyDescent="0.3">
      <c r="B24" s="16">
        <f t="shared" si="0"/>
        <v>15</v>
      </c>
      <c r="C24" s="106" t="s">
        <v>170</v>
      </c>
      <c r="D24" s="107" t="s">
        <v>171</v>
      </c>
      <c r="E24" s="599" t="str">
        <f t="shared" si="1"/>
        <v>ØisteinÅsmul</v>
      </c>
      <c r="F24" s="192">
        <f>YEAR(I$5)-_xlfn.XLOOKUP(E24,Deltakerliste!E$5:E$98,Deltakerliste!I$5:I$98)</f>
        <v>80</v>
      </c>
      <c r="G24" s="192">
        <f>_xlfn.XLOOKUP(E24,Deltakerliste!E$5:E$98,Deltakerliste!H$5:H$98)</f>
        <v>2</v>
      </c>
      <c r="H24" s="592">
        <f>VLOOKUP(F24,Deltakerliste!P$6:T$84,G24,FALSE)</f>
        <v>1.8550000000000002</v>
      </c>
      <c r="I24" s="132">
        <v>1.9131944444444444E-2</v>
      </c>
      <c r="J24" s="132"/>
      <c r="K24" s="18"/>
      <c r="L24" s="600">
        <f t="shared" si="2"/>
        <v>1.1957465277777777E-2</v>
      </c>
      <c r="M24" s="594">
        <f>IF(L24="Løype",Poengsammendrag!$F$2,IF(L24="Arr",Poengsammendrag!$F$3,IF(L24="Brutt",50,IF(L24="Disk",50,ROUND(MAXA(100*(MIN(L$10:L$89)/L24),50),0)))))</f>
        <v>62</v>
      </c>
      <c r="N24" s="724">
        <f t="shared" si="3"/>
        <v>6.4460729260257549E-3</v>
      </c>
      <c r="O24" s="596">
        <f>IF(N24="Løype",Poengsammendrag!$F$2,IF(N24="Arr",Poengsammendrag!$F$3,IF(N24="Brutt",50,IF(N24="Disk",50,ROUND(MAXA(100*(MIN(N$10:N$89)/N24),50),0)))))</f>
        <v>73</v>
      </c>
      <c r="Q24" s="672"/>
      <c r="R24" s="672"/>
      <c r="S24" s="803" t="s">
        <v>357</v>
      </c>
      <c r="T24" s="736">
        <v>1.1429398148148147E-2</v>
      </c>
      <c r="U24" s="752">
        <v>65</v>
      </c>
      <c r="V24" s="781"/>
      <c r="W24" s="776" t="s">
        <v>347</v>
      </c>
      <c r="X24" s="740">
        <v>73</v>
      </c>
      <c r="AB24" s="828">
        <f t="shared" si="5"/>
        <v>69</v>
      </c>
      <c r="AC24" s="829">
        <f t="shared" si="4"/>
        <v>2</v>
      </c>
    </row>
    <row r="25" spans="2:29" ht="21" thickBot="1" x14ac:dyDescent="0.3">
      <c r="B25" s="16">
        <f t="shared" si="0"/>
        <v>16</v>
      </c>
      <c r="C25" s="106" t="s">
        <v>64</v>
      </c>
      <c r="D25" s="107" t="s">
        <v>366</v>
      </c>
      <c r="E25" s="599" t="str">
        <f t="shared" si="1"/>
        <v>BjørnHafskjold</v>
      </c>
      <c r="F25" s="192">
        <f>YEAR(I$5)-_xlfn.XLOOKUP(E25,Deltakerliste!E$5:E$98,Deltakerliste!I$5:I$98)</f>
        <v>78</v>
      </c>
      <c r="G25" s="192">
        <f>_xlfn.XLOOKUP(E25,Deltakerliste!E$5:E$98,Deltakerliste!H$5:H$98)</f>
        <v>2</v>
      </c>
      <c r="H25" s="592">
        <f>VLOOKUP(F25,Deltakerliste!P$6:T$84,G25,FALSE)</f>
        <v>1.7550000000000001</v>
      </c>
      <c r="I25" s="14">
        <v>1.8506944444444444E-2</v>
      </c>
      <c r="J25" s="14"/>
      <c r="K25" s="18"/>
      <c r="L25" s="600">
        <f t="shared" si="2"/>
        <v>1.1566840277777777E-2</v>
      </c>
      <c r="M25" s="594">
        <f>IF(L25="Løype",Poengsammendrag!$F$2,IF(L25="Arr",Poengsammendrag!$F$3,IF(L25="Brutt",50,IF(L25="Disk",50,ROUND(MAXA(100*(MIN(L$10:L$89)/L25),50),0)))))</f>
        <v>64</v>
      </c>
      <c r="N25" s="724">
        <f t="shared" si="3"/>
        <v>6.5907921810699575E-3</v>
      </c>
      <c r="O25" s="596">
        <f>IF(N25="Løype",Poengsammendrag!$F$2,IF(N25="Arr",Poengsammendrag!$F$3,IF(N25="Brutt",50,IF(N25="Disk",50,ROUND(MAXA(100*(MIN(N$10:N$89)/N25),50),0)))))</f>
        <v>71</v>
      </c>
      <c r="Q25" s="672"/>
      <c r="R25" s="672"/>
      <c r="S25" s="803" t="s">
        <v>367</v>
      </c>
      <c r="T25" s="736">
        <v>1.1566840277777777E-2</v>
      </c>
      <c r="U25" s="752">
        <v>64</v>
      </c>
      <c r="V25" s="781"/>
      <c r="W25" s="776" t="s">
        <v>367</v>
      </c>
      <c r="X25" s="740">
        <v>71</v>
      </c>
      <c r="AB25" s="828">
        <f t="shared" si="5"/>
        <v>70</v>
      </c>
      <c r="AC25" s="829">
        <f t="shared" si="4"/>
        <v>2</v>
      </c>
    </row>
    <row r="26" spans="2:29" ht="21" customHeight="1" thickBot="1" x14ac:dyDescent="0.3">
      <c r="B26" s="16">
        <f t="shared" si="0"/>
        <v>17</v>
      </c>
      <c r="C26" s="106" t="s">
        <v>101</v>
      </c>
      <c r="D26" s="107" t="s">
        <v>102</v>
      </c>
      <c r="E26" s="599" t="str">
        <f t="shared" si="1"/>
        <v>EvenHofstad</v>
      </c>
      <c r="F26" s="192">
        <f>YEAR(I$5)-_xlfn.XLOOKUP(E26,Deltakerliste!E$5:E$98,Deltakerliste!I$5:I$98)</f>
        <v>71</v>
      </c>
      <c r="G26" s="192">
        <f>_xlfn.XLOOKUP(E26,Deltakerliste!E$5:E$98,Deltakerliste!H$5:H$98)</f>
        <v>2</v>
      </c>
      <c r="H26" s="592">
        <f>VLOOKUP(F26,Deltakerliste!P$6:T$84,G26,FALSE)</f>
        <v>1.4609999999999999</v>
      </c>
      <c r="I26" s="86">
        <v>1.5486111111111112E-2</v>
      </c>
      <c r="J26" s="86"/>
      <c r="K26" s="13"/>
      <c r="L26" s="600">
        <f t="shared" si="2"/>
        <v>9.6788194444444448E-3</v>
      </c>
      <c r="M26" s="594">
        <f>IF(L26="Løype",Poengsammendrag!$F$2,IF(L26="Arr",Poengsammendrag!$F$3,IF(L26="Brutt",50,IF(L26="Disk",50,ROUND(MAXA(100*(MIN(L$10:L$89)/L26),50),0)))))</f>
        <v>77</v>
      </c>
      <c r="N26" s="724">
        <f t="shared" si="3"/>
        <v>6.6247908586204284E-3</v>
      </c>
      <c r="O26" s="596">
        <f>IF(N26="Løype",Poengsammendrag!$F$2,IF(N26="Arr",Poengsammendrag!$F$3,IF(N26="Brutt",50,IF(N26="Disk",50,ROUND(MAXA(100*(MIN(N$10:N$89)/N26),50),0)))))</f>
        <v>71</v>
      </c>
      <c r="Q26" s="672"/>
      <c r="R26" s="672"/>
      <c r="S26" s="803" t="s">
        <v>90</v>
      </c>
      <c r="T26" s="736">
        <v>1.1668113425925926E-2</v>
      </c>
      <c r="U26" s="752">
        <v>64</v>
      </c>
      <c r="V26" s="781"/>
      <c r="W26" s="776" t="s">
        <v>101</v>
      </c>
      <c r="X26" s="740">
        <v>71</v>
      </c>
      <c r="AB26" s="828">
        <f t="shared" si="5"/>
        <v>71</v>
      </c>
      <c r="AC26" s="829">
        <f t="shared" si="4"/>
        <v>2</v>
      </c>
    </row>
    <row r="27" spans="2:29" ht="21" thickBot="1" x14ac:dyDescent="0.3">
      <c r="B27" s="16">
        <f t="shared" si="0"/>
        <v>18</v>
      </c>
      <c r="C27" s="106" t="s">
        <v>116</v>
      </c>
      <c r="D27" s="107" t="s">
        <v>165</v>
      </c>
      <c r="E27" s="599" t="str">
        <f t="shared" si="1"/>
        <v>AndersWaage</v>
      </c>
      <c r="F27" s="192">
        <f>YEAR(I$5)-_xlfn.XLOOKUP(E27,Deltakerliste!E$5:E$98,Deltakerliste!I$5:I$98)</f>
        <v>77</v>
      </c>
      <c r="G27" s="192">
        <f>_xlfn.XLOOKUP(E27,Deltakerliste!E$5:E$98,Deltakerliste!H$5:H$98)</f>
        <v>2</v>
      </c>
      <c r="H27" s="592">
        <f>VLOOKUP(F27,Deltakerliste!P$6:T$84,G27,FALSE)</f>
        <v>1.7050000000000001</v>
      </c>
      <c r="I27" s="18"/>
      <c r="J27" s="132">
        <v>3.0532407407407407E-2</v>
      </c>
      <c r="K27" s="18"/>
      <c r="L27" s="600">
        <f t="shared" si="2"/>
        <v>1.130829903978052E-2</v>
      </c>
      <c r="M27" s="594">
        <f>IF(L27="Løype",Poengsammendrag!$F$2,IF(L27="Arr",Poengsammendrag!$F$3,IF(L27="Brutt",50,IF(L27="Disk",50,ROUND(MAXA(100*(MIN(L$10:L$89)/L27),50),0)))))</f>
        <v>66</v>
      </c>
      <c r="N27" s="724">
        <f t="shared" si="3"/>
        <v>6.6324334544167274E-3</v>
      </c>
      <c r="O27" s="596">
        <f>IF(N27="Løype",Poengsammendrag!$F$2,IF(N27="Arr",Poengsammendrag!$F$3,IF(N27="Brutt",50,IF(N27="Disk",50,ROUND(MAXA(100*(MIN(N$10:N$89)/N27),50),0)))))</f>
        <v>71</v>
      </c>
      <c r="Q27" s="672"/>
      <c r="R27" s="672"/>
      <c r="S27" s="803" t="s">
        <v>114</v>
      </c>
      <c r="T27" s="736">
        <v>1.1715534979423866E-2</v>
      </c>
      <c r="U27" s="752">
        <v>63</v>
      </c>
      <c r="V27" s="781"/>
      <c r="W27" s="776" t="s">
        <v>314</v>
      </c>
      <c r="X27" s="740">
        <v>71</v>
      </c>
      <c r="AB27" s="828">
        <f t="shared" si="5"/>
        <v>72</v>
      </c>
      <c r="AC27" s="829">
        <f t="shared" si="4"/>
        <v>4</v>
      </c>
    </row>
    <row r="28" spans="2:29" ht="21" customHeight="1" thickBot="1" x14ac:dyDescent="0.3">
      <c r="B28" s="16">
        <f t="shared" si="0"/>
        <v>19</v>
      </c>
      <c r="C28" s="106" t="s">
        <v>163</v>
      </c>
      <c r="D28" s="107" t="s">
        <v>164</v>
      </c>
      <c r="E28" s="599" t="str">
        <f t="shared" si="1"/>
        <v>ArnulfVilmo</v>
      </c>
      <c r="F28" s="192">
        <f>YEAR(I$5)-_xlfn.XLOOKUP(E28,Deltakerliste!E$5:E$98,Deltakerliste!I$5:I$98)</f>
        <v>72</v>
      </c>
      <c r="G28" s="192">
        <f>_xlfn.XLOOKUP(E28,Deltakerliste!E$5:E$98,Deltakerliste!H$5:H$98)</f>
        <v>2</v>
      </c>
      <c r="H28" s="592">
        <f>VLOOKUP(F28,Deltakerliste!P$6:T$84,G28,FALSE)</f>
        <v>1.4969999999999999</v>
      </c>
      <c r="I28" s="18"/>
      <c r="J28" s="132">
        <v>2.6886574074074073E-2</v>
      </c>
      <c r="K28" s="18"/>
      <c r="L28" s="600">
        <f t="shared" si="2"/>
        <v>9.9579903978052123E-3</v>
      </c>
      <c r="M28" s="594">
        <f>IF(L28="Løype",Poengsammendrag!$F$2,IF(L28="Arr",Poengsammendrag!$F$3,IF(L28="Brutt",50,IF(L28="Disk",50,ROUND(MAXA(100*(MIN(L$10:L$89)/L28),50),0)))))</f>
        <v>75</v>
      </c>
      <c r="N28" s="724">
        <f t="shared" si="3"/>
        <v>6.6519641935906563E-3</v>
      </c>
      <c r="O28" s="596">
        <f>IF(N28="Løype",Poengsammendrag!$F$2,IF(N28="Arr",Poengsammendrag!$F$3,IF(N28="Brutt",50,IF(N28="Disk",50,ROUND(MAXA(100*(MIN(N$10:N$89)/N28),50),0)))))</f>
        <v>70</v>
      </c>
      <c r="Q28" s="672"/>
      <c r="R28" s="672"/>
      <c r="S28" s="803" t="s">
        <v>263</v>
      </c>
      <c r="T28" s="736">
        <v>1.1718749999999998E-2</v>
      </c>
      <c r="U28" s="752">
        <v>63</v>
      </c>
      <c r="V28" s="781"/>
      <c r="W28" s="776" t="s">
        <v>163</v>
      </c>
      <c r="X28" s="740">
        <v>70</v>
      </c>
      <c r="AB28" s="828">
        <f t="shared" si="5"/>
        <v>73</v>
      </c>
      <c r="AC28" s="829">
        <f t="shared" si="4"/>
        <v>2</v>
      </c>
    </row>
    <row r="29" spans="2:29" ht="21" thickBot="1" x14ac:dyDescent="0.3">
      <c r="B29" s="16">
        <f t="shared" si="0"/>
        <v>20</v>
      </c>
      <c r="C29" s="106" t="s">
        <v>108</v>
      </c>
      <c r="D29" s="107" t="s">
        <v>109</v>
      </c>
      <c r="E29" s="599" t="str">
        <f t="shared" si="1"/>
        <v>Finn FayeKnudsen</v>
      </c>
      <c r="F29" s="192">
        <f>YEAR(I$5)-_xlfn.XLOOKUP(E29,Deltakerliste!E$5:E$98,Deltakerliste!I$5:I$98)</f>
        <v>83</v>
      </c>
      <c r="G29" s="192">
        <f>_xlfn.XLOOKUP(E29,Deltakerliste!E$5:E$98,Deltakerliste!H$5:H$98)</f>
        <v>2</v>
      </c>
      <c r="H29" s="592">
        <f>VLOOKUP(F29,Deltakerliste!P$6:T$84,G29,FALSE)</f>
        <v>2.077</v>
      </c>
      <c r="I29" s="86">
        <v>2.2280092592592591E-2</v>
      </c>
      <c r="J29" s="86"/>
      <c r="K29" s="13"/>
      <c r="L29" s="600">
        <f t="shared" si="2"/>
        <v>1.3925057870370369E-2</v>
      </c>
      <c r="M29" s="594">
        <f>IF(L29="Løype",Poengsammendrag!$F$2,IF(L29="Arr",Poengsammendrag!$F$3,IF(L29="Brutt",50,IF(L29="Disk",50,ROUND(MAXA(100*(MIN(L$10:L$89)/L29),50),0)))))</f>
        <v>53</v>
      </c>
      <c r="N29" s="724">
        <f t="shared" si="3"/>
        <v>6.7044091816901149E-3</v>
      </c>
      <c r="O29" s="596">
        <f>IF(N29="Løype",Poengsammendrag!$F$2,IF(N29="Arr",Poengsammendrag!$F$3,IF(N29="Brutt",50,IF(N29="Disk",50,ROUND(MAXA(100*(MIN(N$10:N$89)/N29),50),0)))))</f>
        <v>70</v>
      </c>
      <c r="Q29" s="672"/>
      <c r="R29" s="672"/>
      <c r="S29" s="803" t="s">
        <v>350</v>
      </c>
      <c r="T29" s="736">
        <v>1.1895576131687241E-2</v>
      </c>
      <c r="U29" s="752">
        <v>62</v>
      </c>
      <c r="V29" s="781"/>
      <c r="W29" s="776" t="s">
        <v>108</v>
      </c>
      <c r="X29" s="740">
        <v>70</v>
      </c>
      <c r="AB29" s="828">
        <f t="shared" si="5"/>
        <v>74</v>
      </c>
      <c r="AC29" s="829">
        <f t="shared" si="4"/>
        <v>2</v>
      </c>
    </row>
    <row r="30" spans="2:29" ht="21" thickBot="1" x14ac:dyDescent="0.3">
      <c r="B30" s="16">
        <f t="shared" si="0"/>
        <v>21</v>
      </c>
      <c r="C30" s="106" t="s">
        <v>142</v>
      </c>
      <c r="D30" s="107" t="s">
        <v>143</v>
      </c>
      <c r="E30" s="599" t="str">
        <f t="shared" si="1"/>
        <v>EgilRepvik</v>
      </c>
      <c r="F30" s="192">
        <f>YEAR(I$5)-_xlfn.XLOOKUP(E30,Deltakerliste!E$5:E$98,Deltakerliste!I$5:I$98)</f>
        <v>79</v>
      </c>
      <c r="G30" s="192">
        <f>_xlfn.XLOOKUP(E30,Deltakerliste!E$5:E$98,Deltakerliste!H$5:H$98)</f>
        <v>2</v>
      </c>
      <c r="H30" s="592">
        <f>VLOOKUP(F30,Deltakerliste!P$6:T$84,G30,FALSE)</f>
        <v>1.8050000000000002</v>
      </c>
      <c r="I30" s="132">
        <v>1.954861111111111E-2</v>
      </c>
      <c r="J30" s="18"/>
      <c r="K30" s="18"/>
      <c r="L30" s="600">
        <f t="shared" si="2"/>
        <v>1.2217881944444443E-2</v>
      </c>
      <c r="M30" s="594">
        <f>IF(L30="Løype",Poengsammendrag!$F$2,IF(L30="Arr",Poengsammendrag!$F$3,IF(L30="Brutt",50,IF(L30="Disk",50,ROUND(MAXA(100*(MIN(L$10:L$89)/L30),50),0)))))</f>
        <v>61</v>
      </c>
      <c r="N30" s="724">
        <f t="shared" si="3"/>
        <v>6.7689096645121563E-3</v>
      </c>
      <c r="O30" s="596">
        <f>IF(N30="Løype",Poengsammendrag!$F$2,IF(N30="Arr",Poengsammendrag!$F$3,IF(N30="Brutt",50,IF(N30="Disk",50,ROUND(MAXA(100*(MIN(N$10:N$89)/N30),50),0)))))</f>
        <v>69</v>
      </c>
      <c r="Q30" s="672"/>
      <c r="R30" s="672"/>
      <c r="S30" s="803" t="s">
        <v>347</v>
      </c>
      <c r="T30" s="736">
        <v>1.1957465277777777E-2</v>
      </c>
      <c r="U30" s="752">
        <v>62</v>
      </c>
      <c r="V30" s="781"/>
      <c r="W30" s="776" t="s">
        <v>356</v>
      </c>
      <c r="X30" s="740">
        <v>69</v>
      </c>
      <c r="AB30" s="828">
        <f t="shared" si="5"/>
        <v>75</v>
      </c>
      <c r="AC30" s="829">
        <f t="shared" si="4"/>
        <v>1</v>
      </c>
    </row>
    <row r="31" spans="2:29" ht="21" customHeight="1" thickBot="1" x14ac:dyDescent="0.3">
      <c r="B31" s="16">
        <f t="shared" si="0"/>
        <v>22</v>
      </c>
      <c r="C31" s="106" t="s">
        <v>153</v>
      </c>
      <c r="D31" s="107" t="s">
        <v>154</v>
      </c>
      <c r="E31" s="599" t="str">
        <f t="shared" si="1"/>
        <v>ReidunSmaavik</v>
      </c>
      <c r="F31" s="192">
        <f>YEAR(I$5)-_xlfn.XLOOKUP(E31,Deltakerliste!E$5:E$98,Deltakerliste!I$5:I$98)</f>
        <v>70</v>
      </c>
      <c r="G31" s="192">
        <f>_xlfn.XLOOKUP(E31,Deltakerliste!E$5:E$98,Deltakerliste!H$5:H$98)</f>
        <v>4</v>
      </c>
      <c r="H31" s="592">
        <f>VLOOKUP(F31,Deltakerliste!P$6:T$84,G31,FALSE)</f>
        <v>1.9490000000000012</v>
      </c>
      <c r="I31" s="132">
        <v>2.2268518518518517E-2</v>
      </c>
      <c r="J31" s="18"/>
      <c r="K31" s="18"/>
      <c r="L31" s="600">
        <f t="shared" si="2"/>
        <v>1.3917824074074072E-2</v>
      </c>
      <c r="M31" s="594">
        <f>IF(L31="Løype",Poengsammendrag!$F$2,IF(L31="Arr",Poengsammendrag!$F$3,IF(L31="Brutt",50,IF(L31="Disk",50,ROUND(MAXA(100*(MIN(L$10:L$89)/L31),50),0)))))</f>
        <v>53</v>
      </c>
      <c r="N31" s="724">
        <f t="shared" si="3"/>
        <v>7.1410077342606787E-3</v>
      </c>
      <c r="O31" s="596">
        <f>IF(N31="Løype",Poengsammendrag!$F$2,IF(N31="Arr",Poengsammendrag!$F$3,IF(N31="Brutt",50,IF(N31="Disk",50,ROUND(MAXA(100*(MIN(N$10:N$89)/N31),50),0)))))</f>
        <v>66</v>
      </c>
      <c r="Q31" s="672"/>
      <c r="R31" s="672"/>
      <c r="S31" s="803" t="s">
        <v>356</v>
      </c>
      <c r="T31" s="736">
        <v>1.2217881944444443E-2</v>
      </c>
      <c r="U31" s="752">
        <v>61</v>
      </c>
      <c r="V31" s="781"/>
      <c r="W31" s="776" t="s">
        <v>153</v>
      </c>
      <c r="X31" s="740">
        <v>66</v>
      </c>
      <c r="AB31" s="828">
        <f t="shared" si="5"/>
        <v>76</v>
      </c>
      <c r="AC31" s="829">
        <f t="shared" si="4"/>
        <v>2</v>
      </c>
    </row>
    <row r="32" spans="2:29" ht="21" customHeight="1" thickBot="1" x14ac:dyDescent="0.3">
      <c r="B32" s="16">
        <f t="shared" si="0"/>
        <v>23</v>
      </c>
      <c r="C32" s="106" t="s">
        <v>63</v>
      </c>
      <c r="D32" s="107" t="s">
        <v>336</v>
      </c>
      <c r="E32" s="599" t="str">
        <f t="shared" si="1"/>
        <v>ToreFornes</v>
      </c>
      <c r="F32" s="192">
        <f>YEAR(I$5)-_xlfn.XLOOKUP(E32,Deltakerliste!E$5:E$98,Deltakerliste!I$5:I$98)</f>
        <v>66</v>
      </c>
      <c r="G32" s="192">
        <f>_xlfn.XLOOKUP(E32,Deltakerliste!E$5:E$98,Deltakerliste!H$5:H$98)</f>
        <v>2</v>
      </c>
      <c r="H32" s="592">
        <f>VLOOKUP(F32,Deltakerliste!P$6:T$84,G32,FALSE)</f>
        <v>1.3209999999999997</v>
      </c>
      <c r="I32" s="86"/>
      <c r="J32" s="86">
        <v>2.5671296296296296E-2</v>
      </c>
      <c r="K32" s="13"/>
      <c r="L32" s="600">
        <f t="shared" si="2"/>
        <v>9.5078875171467764E-3</v>
      </c>
      <c r="M32" s="594">
        <f>IF(L32="Løype",Poengsammendrag!$F$2,IF(L32="Arr",Poengsammendrag!$F$3,IF(L32="Brutt",50,IF(L32="Disk",50,ROUND(MAXA(100*(MIN(L$10:L$89)/L32),50),0)))))</f>
        <v>78</v>
      </c>
      <c r="N32" s="724">
        <f t="shared" si="3"/>
        <v>7.1974924429574405E-3</v>
      </c>
      <c r="O32" s="596">
        <f>IF(N32="Løype",Poengsammendrag!$F$2,IF(N32="Arr",Poengsammendrag!$F$3,IF(N32="Brutt",50,IF(N32="Disk",50,ROUND(MAXA(100*(MIN(N$10:N$89)/N32),50),0)))))</f>
        <v>65</v>
      </c>
      <c r="S32" s="803" t="s">
        <v>122</v>
      </c>
      <c r="T32" s="736">
        <v>1.2369791666666666E-2</v>
      </c>
      <c r="U32" s="752">
        <v>60</v>
      </c>
      <c r="V32" s="781"/>
      <c r="W32" s="776" t="s">
        <v>346</v>
      </c>
      <c r="X32" s="740">
        <v>65</v>
      </c>
      <c r="AB32" s="828">
        <f t="shared" si="5"/>
        <v>77</v>
      </c>
      <c r="AC32" s="829">
        <f t="shared" si="4"/>
        <v>2</v>
      </c>
    </row>
    <row r="33" spans="2:29" ht="21" customHeight="1" thickBot="1" x14ac:dyDescent="0.3">
      <c r="B33" s="16">
        <f t="shared" si="0"/>
        <v>24</v>
      </c>
      <c r="C33" s="106" t="s">
        <v>136</v>
      </c>
      <c r="D33" s="107" t="s">
        <v>137</v>
      </c>
      <c r="E33" s="599" t="str">
        <f t="shared" si="1"/>
        <v>HaraldOftedal</v>
      </c>
      <c r="F33" s="192">
        <f>YEAR(I$5)-_xlfn.XLOOKUP(E33,Deltakerliste!E$5:E$98,Deltakerliste!I$5:I$98)</f>
        <v>73</v>
      </c>
      <c r="G33" s="192">
        <f>_xlfn.XLOOKUP(E33,Deltakerliste!E$5:E$98,Deltakerliste!H$5:H$98)</f>
        <v>2</v>
      </c>
      <c r="H33" s="592">
        <f>VLOOKUP(F33,Deltakerliste!P$6:T$84,G33,FALSE)</f>
        <v>1.5329999999999999</v>
      </c>
      <c r="I33" s="132">
        <v>1.7673611111111112E-2</v>
      </c>
      <c r="J33" s="132"/>
      <c r="K33" s="134"/>
      <c r="L33" s="600">
        <f t="shared" si="2"/>
        <v>1.1046006944444445E-2</v>
      </c>
      <c r="M33" s="594">
        <f>IF(L33="Løype",Poengsammendrag!$F$2,IF(L33="Arr",Poengsammendrag!$F$3,IF(L33="Brutt",50,IF(L33="Disk",50,ROUND(MAXA(100*(MIN(L$10:L$89)/L33),50),0)))))</f>
        <v>67</v>
      </c>
      <c r="N33" s="724">
        <f t="shared" si="3"/>
        <v>7.2054839820250788E-3</v>
      </c>
      <c r="O33" s="596">
        <f>IF(N33="Løype",Poengsammendrag!$F$2,IF(N33="Arr",Poengsammendrag!$F$3,IF(N33="Brutt",50,IF(N33="Disk",50,ROUND(MAXA(100*(MIN(N$10:N$89)/N33),50),0)))))</f>
        <v>65</v>
      </c>
      <c r="S33" s="803" t="s">
        <v>68</v>
      </c>
      <c r="T33" s="736">
        <v>1.2420428240740739E-2</v>
      </c>
      <c r="U33" s="752">
        <v>60</v>
      </c>
      <c r="V33" s="781"/>
      <c r="W33" s="776" t="s">
        <v>136</v>
      </c>
      <c r="X33" s="740">
        <v>65</v>
      </c>
      <c r="AB33" s="828">
        <f t="shared" si="5"/>
        <v>78</v>
      </c>
      <c r="AC33" s="829">
        <f t="shared" si="4"/>
        <v>1</v>
      </c>
    </row>
    <row r="34" spans="2:29" ht="21" customHeight="1" thickBot="1" x14ac:dyDescent="0.3">
      <c r="B34" s="16">
        <f t="shared" si="0"/>
        <v>25</v>
      </c>
      <c r="C34" s="106" t="s">
        <v>90</v>
      </c>
      <c r="D34" s="107" t="s">
        <v>91</v>
      </c>
      <c r="E34" s="599" t="str">
        <f t="shared" si="1"/>
        <v>TorGjermstad</v>
      </c>
      <c r="F34" s="192">
        <f>YEAR(I$5)-_xlfn.XLOOKUP(E34,Deltakerliste!E$5:E$98,Deltakerliste!I$5:I$98)</f>
        <v>75</v>
      </c>
      <c r="G34" s="192">
        <f>_xlfn.XLOOKUP(E34,Deltakerliste!E$5:E$98,Deltakerliste!H$5:H$98)</f>
        <v>2</v>
      </c>
      <c r="H34" s="592">
        <f>VLOOKUP(F34,Deltakerliste!P$6:T$84,G34,FALSE)</f>
        <v>1.605</v>
      </c>
      <c r="I34" s="86">
        <v>1.8668981481481481E-2</v>
      </c>
      <c r="J34" s="86"/>
      <c r="K34" s="13"/>
      <c r="L34" s="600">
        <f t="shared" si="2"/>
        <v>1.1668113425925926E-2</v>
      </c>
      <c r="M34" s="594">
        <f>IF(L34="Løype",Poengsammendrag!$F$2,IF(L34="Arr",Poengsammendrag!$F$3,IF(L34="Brutt",50,IF(L34="Disk",50,ROUND(MAXA(100*(MIN(L$10:L$89)/L34),50),0)))))</f>
        <v>64</v>
      </c>
      <c r="N34" s="724">
        <f t="shared" si="3"/>
        <v>7.2698526018230066E-3</v>
      </c>
      <c r="O34" s="596">
        <f>IF(N34="Løype",Poengsammendrag!$F$2,IF(N34="Arr",Poengsammendrag!$F$3,IF(N34="Brutt",50,IF(N34="Disk",50,ROUND(MAXA(100*(MIN(N$10:N$89)/N34),50),0)))))</f>
        <v>64</v>
      </c>
      <c r="S34" s="803" t="s">
        <v>124</v>
      </c>
      <c r="T34" s="736">
        <v>1.2512860082304527E-2</v>
      </c>
      <c r="U34" s="752">
        <v>59</v>
      </c>
      <c r="V34" s="781"/>
      <c r="W34" s="776" t="s">
        <v>90</v>
      </c>
      <c r="X34" s="740">
        <v>64</v>
      </c>
      <c r="AB34" s="828">
        <f t="shared" si="5"/>
        <v>79</v>
      </c>
      <c r="AC34" s="829">
        <f t="shared" si="4"/>
        <v>2</v>
      </c>
    </row>
    <row r="35" spans="2:29" ht="21" customHeight="1" thickBot="1" x14ac:dyDescent="0.3">
      <c r="B35" s="16">
        <f t="shared" si="0"/>
        <v>26</v>
      </c>
      <c r="C35" s="106" t="s">
        <v>72</v>
      </c>
      <c r="D35" s="107" t="s">
        <v>73</v>
      </c>
      <c r="E35" s="599" t="str">
        <f t="shared" si="1"/>
        <v>KåreEggereide</v>
      </c>
      <c r="F35" s="192">
        <f>YEAR(I$5)-_xlfn.XLOOKUP(E35,Deltakerliste!E$5:E$98,Deltakerliste!I$5:I$98)</f>
        <v>74</v>
      </c>
      <c r="G35" s="192">
        <f>_xlfn.XLOOKUP(E35,Deltakerliste!E$5:E$98,Deltakerliste!H$5:H$98)</f>
        <v>2</v>
      </c>
      <c r="H35" s="592">
        <f>VLOOKUP(F35,Deltakerliste!P$6:T$84,G35,FALSE)</f>
        <v>1.569</v>
      </c>
      <c r="I35" s="593"/>
      <c r="J35" s="13">
        <v>3.2118055555555552E-2</v>
      </c>
      <c r="K35" s="13"/>
      <c r="L35" s="600">
        <f t="shared" si="2"/>
        <v>1.1895576131687241E-2</v>
      </c>
      <c r="M35" s="594">
        <f>IF(L35="Løype",Poengsammendrag!$F$2,IF(L35="Arr",Poengsammendrag!$F$3,IF(L35="Brutt",50,IF(L35="Disk",50,ROUND(MAXA(100*(MIN(L$10:L$89)/L35),50),0)))))</f>
        <v>62</v>
      </c>
      <c r="N35" s="724">
        <f t="shared" si="3"/>
        <v>7.5816291470281972E-3</v>
      </c>
      <c r="O35" s="596">
        <f>IF(N35="Løype",Poengsammendrag!$F$2,IF(N35="Arr",Poengsammendrag!$F$3,IF(N35="Brutt",50,IF(N35="Disk",50,ROUND(MAXA(100*(MIN(N$10:N$89)/N35),50),0)))))</f>
        <v>62</v>
      </c>
      <c r="S35" s="803" t="s">
        <v>96</v>
      </c>
      <c r="T35" s="736">
        <v>1.2876157407407406E-2</v>
      </c>
      <c r="U35" s="752">
        <v>58</v>
      </c>
      <c r="V35" s="781"/>
      <c r="W35" s="776" t="s">
        <v>350</v>
      </c>
      <c r="X35" s="740">
        <v>62</v>
      </c>
      <c r="AB35" s="828">
        <f t="shared" si="5"/>
        <v>80</v>
      </c>
      <c r="AC35" s="829">
        <f t="shared" si="4"/>
        <v>1</v>
      </c>
    </row>
    <row r="36" spans="2:29" ht="21" thickBot="1" x14ac:dyDescent="0.3">
      <c r="B36" s="16">
        <f t="shared" si="0"/>
        <v>27</v>
      </c>
      <c r="C36" s="106" t="s">
        <v>72</v>
      </c>
      <c r="D36" s="107" t="s">
        <v>139</v>
      </c>
      <c r="E36" s="599" t="str">
        <f t="shared" si="1"/>
        <v>KåreOnsøyen</v>
      </c>
      <c r="F36" s="192">
        <f>YEAR(I$5)-_xlfn.XLOOKUP(E36,Deltakerliste!E$5:E$98,Deltakerliste!I$5:I$98)</f>
        <v>77</v>
      </c>
      <c r="G36" s="192">
        <f>_xlfn.XLOOKUP(E36,Deltakerliste!E$5:E$98,Deltakerliste!H$5:H$98)</f>
        <v>2</v>
      </c>
      <c r="H36" s="592">
        <f>VLOOKUP(F36,Deltakerliste!P$6:T$84,G36,FALSE)</f>
        <v>1.7050000000000001</v>
      </c>
      <c r="I36" s="13">
        <v>2.1111111111111112E-2</v>
      </c>
      <c r="J36" s="13"/>
      <c r="K36" s="13"/>
      <c r="L36" s="600">
        <f t="shared" si="2"/>
        <v>1.3194444444444444E-2</v>
      </c>
      <c r="M36" s="594">
        <f>IF(L36="Løype",Poengsammendrag!$F$2,IF(L36="Arr",Poengsammendrag!$F$3,IF(L36="Brutt",50,IF(L36="Disk",50,ROUND(MAXA(100*(MIN(L$10:L$89)/L36),50),0)))))</f>
        <v>56</v>
      </c>
      <c r="N36" s="724">
        <f t="shared" si="3"/>
        <v>7.738677093515803E-3</v>
      </c>
      <c r="O36" s="596">
        <f>IF(N36="Løype",Poengsammendrag!$F$2,IF(N36="Arr",Poengsammendrag!$F$3,IF(N36="Brutt",50,IF(N36="Disk",50,ROUND(MAXA(100*(MIN(N$10:N$89)/N36),50),0)))))</f>
        <v>60</v>
      </c>
      <c r="S36" s="803" t="s">
        <v>349</v>
      </c>
      <c r="T36" s="736">
        <v>1.3194444444444444E-2</v>
      </c>
      <c r="U36" s="752">
        <v>56</v>
      </c>
      <c r="V36" s="781"/>
      <c r="W36" s="776" t="s">
        <v>349</v>
      </c>
      <c r="X36" s="740">
        <v>60</v>
      </c>
      <c r="AB36" s="828">
        <f t="shared" si="5"/>
        <v>81</v>
      </c>
      <c r="AC36" s="829">
        <f t="shared" si="4"/>
        <v>2</v>
      </c>
    </row>
    <row r="37" spans="2:29" ht="21" customHeight="1" thickBot="1" x14ac:dyDescent="0.3">
      <c r="B37" s="16">
        <f t="shared" si="0"/>
        <v>28</v>
      </c>
      <c r="C37" s="106" t="s">
        <v>263</v>
      </c>
      <c r="D37" s="107" t="s">
        <v>264</v>
      </c>
      <c r="E37" s="599" t="str">
        <f t="shared" si="1"/>
        <v>RuneHolt</v>
      </c>
      <c r="F37" s="192">
        <f>YEAR(I$5)-_xlfn.XLOOKUP(E37,Deltakerliste!E$5:E$98,Deltakerliste!I$5:I$98)</f>
        <v>72</v>
      </c>
      <c r="G37" s="192">
        <f>_xlfn.XLOOKUP(E37,Deltakerliste!E$5:E$98,Deltakerliste!H$5:H$98)</f>
        <v>2</v>
      </c>
      <c r="H37" s="592">
        <f>VLOOKUP(F37,Deltakerliste!P$6:T$84,G37,FALSE)</f>
        <v>1.4969999999999999</v>
      </c>
      <c r="I37" s="86">
        <v>1.8749999999999999E-2</v>
      </c>
      <c r="J37" s="86"/>
      <c r="K37" s="17"/>
      <c r="L37" s="600">
        <f t="shared" si="2"/>
        <v>1.1718749999999998E-2</v>
      </c>
      <c r="M37" s="594">
        <f>IF(L37="Løype",Poengsammendrag!$F$2,IF(L37="Arr",Poengsammendrag!$F$3,IF(L37="Brutt",50,IF(L37="Disk",50,ROUND(MAXA(100*(MIN(L$10:L$89)/L37),50),0)))))</f>
        <v>63</v>
      </c>
      <c r="N37" s="724">
        <f t="shared" si="3"/>
        <v>7.8281563126252496E-3</v>
      </c>
      <c r="O37" s="596">
        <f>IF(N37="Løype",Poengsammendrag!$F$2,IF(N37="Arr",Poengsammendrag!$F$3,IF(N37="Brutt",50,IF(N37="Disk",50,ROUND(MAXA(100*(MIN(N$10:N$89)/N37),50),0)))))</f>
        <v>60</v>
      </c>
      <c r="S37" s="803" t="s">
        <v>153</v>
      </c>
      <c r="T37" s="736">
        <v>1.3917824074074072E-2</v>
      </c>
      <c r="U37" s="752">
        <v>53</v>
      </c>
      <c r="V37" s="781"/>
      <c r="W37" s="776" t="s">
        <v>263</v>
      </c>
      <c r="X37" s="740">
        <v>60</v>
      </c>
      <c r="AB37" s="828">
        <f t="shared" si="5"/>
        <v>82</v>
      </c>
      <c r="AC37" s="829">
        <f t="shared" si="4"/>
        <v>1</v>
      </c>
    </row>
    <row r="38" spans="2:29" ht="21" customHeight="1" thickBot="1" x14ac:dyDescent="0.3">
      <c r="B38" s="16">
        <f t="shared" si="0"/>
        <v>29</v>
      </c>
      <c r="C38" s="106" t="s">
        <v>68</v>
      </c>
      <c r="D38" s="107" t="s">
        <v>69</v>
      </c>
      <c r="E38" s="599" t="str">
        <f t="shared" si="1"/>
        <v>JanBøhle</v>
      </c>
      <c r="F38" s="192">
        <f>YEAR(I$5)-_xlfn.XLOOKUP(E38,Deltakerliste!E$5:E$98,Deltakerliste!I$5:I$98)</f>
        <v>73</v>
      </c>
      <c r="G38" s="192">
        <f>_xlfn.XLOOKUP(E38,Deltakerliste!E$5:E$98,Deltakerliste!H$5:H$98)</f>
        <v>2</v>
      </c>
      <c r="H38" s="592">
        <f>VLOOKUP(F38,Deltakerliste!P$6:T$84,G38,FALSE)</f>
        <v>1.5329999999999999</v>
      </c>
      <c r="I38" s="86">
        <v>1.9872685185185184E-2</v>
      </c>
      <c r="J38" s="86"/>
      <c r="K38" s="13"/>
      <c r="L38" s="600">
        <f t="shared" si="2"/>
        <v>1.2420428240740739E-2</v>
      </c>
      <c r="M38" s="594">
        <f>IF(L38="Løype",Poengsammendrag!$F$2,IF(L38="Arr",Poengsammendrag!$F$3,IF(L38="Brutt",50,IF(L38="Disk",50,ROUND(MAXA(100*(MIN(L$10:L$89)/L38),50),0)))))</f>
        <v>60</v>
      </c>
      <c r="N38" s="724">
        <f t="shared" si="3"/>
        <v>8.1020406006136591E-3</v>
      </c>
      <c r="O38" s="596">
        <f>IF(N38="Løype",Poengsammendrag!$F$2,IF(N38="Arr",Poengsammendrag!$F$3,IF(N38="Brutt",50,IF(N38="Disk",50,ROUND(MAXA(100*(MIN(N$10:N$89)/N38),50),0)))))</f>
        <v>58</v>
      </c>
      <c r="S38" s="803" t="s">
        <v>108</v>
      </c>
      <c r="T38" s="736">
        <v>1.3925057870370369E-2</v>
      </c>
      <c r="U38" s="752">
        <v>53</v>
      </c>
      <c r="V38" s="781"/>
      <c r="W38" s="776" t="s">
        <v>68</v>
      </c>
      <c r="X38" s="740">
        <v>58</v>
      </c>
      <c r="AB38" s="828">
        <f t="shared" si="5"/>
        <v>83</v>
      </c>
      <c r="AC38" s="829">
        <f t="shared" si="4"/>
        <v>1</v>
      </c>
    </row>
    <row r="39" spans="2:29" ht="21" customHeight="1" thickBot="1" x14ac:dyDescent="0.3">
      <c r="B39" s="16">
        <f t="shared" si="0"/>
        <v>30</v>
      </c>
      <c r="C39" s="106" t="s">
        <v>99</v>
      </c>
      <c r="D39" s="107" t="s">
        <v>100</v>
      </c>
      <c r="E39" s="599" t="str">
        <f t="shared" si="1"/>
        <v>RobertHirsch</v>
      </c>
      <c r="F39" s="192">
        <f>YEAR(I$5)-_xlfn.XLOOKUP(E39,Deltakerliste!E$5:E$98,Deltakerliste!I$5:I$98)</f>
        <v>68</v>
      </c>
      <c r="G39" s="192">
        <f>_xlfn.XLOOKUP(E39,Deltakerliste!E$5:E$98,Deltakerliste!H$5:H$98)</f>
        <v>2</v>
      </c>
      <c r="H39" s="592">
        <f>VLOOKUP(F39,Deltakerliste!P$6:T$84,G39,FALSE)</f>
        <v>1.3729999999999998</v>
      </c>
      <c r="I39" s="86"/>
      <c r="J39" s="86" t="s">
        <v>7</v>
      </c>
      <c r="K39" s="13"/>
      <c r="L39" s="600" t="str">
        <f t="shared" si="2"/>
        <v>Arr</v>
      </c>
      <c r="M39" s="594">
        <f>IF(L39="Løype",Poengsammendrag!$F$2,IF(L39="Arr",Poengsammendrag!$F$3,IF(L39="Brutt",50,IF(L39="Disk",50,ROUND(MAXA(100*(MIN(L$10:L$89)/L39),50),0)))))</f>
        <v>94</v>
      </c>
      <c r="N39" s="724" t="str">
        <f t="shared" si="3"/>
        <v>Arr</v>
      </c>
      <c r="O39" s="596">
        <f>IF(N39="Løype",Poengsammendrag!$F$2,IF(N39="Arr",Poengsammendrag!$F$3,IF(N39="Brutt",50,IF(N39="Disk",50,ROUND(MAXA(100*(MIN(N$10:N$89)/N39),50),0)))))</f>
        <v>94</v>
      </c>
      <c r="S39" s="803" t="s">
        <v>99</v>
      </c>
      <c r="T39" s="736" t="s">
        <v>7</v>
      </c>
      <c r="U39" s="752">
        <v>94</v>
      </c>
      <c r="V39" s="781"/>
      <c r="W39" s="776" t="s">
        <v>99</v>
      </c>
      <c r="X39" s="740">
        <v>94</v>
      </c>
      <c r="AB39" s="828">
        <f t="shared" si="5"/>
        <v>84</v>
      </c>
      <c r="AC39" s="829">
        <f t="shared" si="4"/>
        <v>1</v>
      </c>
    </row>
    <row r="40" spans="2:29" ht="21" thickBot="1" x14ac:dyDescent="0.3">
      <c r="B40" s="16">
        <f t="shared" si="0"/>
        <v>31</v>
      </c>
      <c r="C40" s="106" t="s">
        <v>78</v>
      </c>
      <c r="D40" s="107" t="s">
        <v>146</v>
      </c>
      <c r="E40" s="599" t="str">
        <f t="shared" si="1"/>
        <v>LeifRøhjell</v>
      </c>
      <c r="F40" s="192">
        <f>YEAR(I$5)-_xlfn.XLOOKUP(E40,Deltakerliste!E$5:E$98,Deltakerliste!I$5:I$98)</f>
        <v>81</v>
      </c>
      <c r="G40" s="192">
        <f>_xlfn.XLOOKUP(E40,Deltakerliste!E$5:E$98,Deltakerliste!H$5:H$98)</f>
        <v>2</v>
      </c>
      <c r="H40" s="592">
        <f>VLOOKUP(F40,Deltakerliste!P$6:T$84,G40,FALSE)</f>
        <v>1.9290000000000003</v>
      </c>
      <c r="I40" s="132"/>
      <c r="J40" s="18" t="s">
        <v>7</v>
      </c>
      <c r="K40" s="18"/>
      <c r="L40" s="600" t="str">
        <f t="shared" si="2"/>
        <v>Arr</v>
      </c>
      <c r="M40" s="594">
        <f>IF(L40="Løype",Poengsammendrag!$F$2,IF(L40="Arr",Poengsammendrag!$F$3,IF(L40="Brutt",50,IF(L40="Disk",50,ROUND(MAXA(100*(MIN(L$10:L$89)/L40),50),0)))))</f>
        <v>94</v>
      </c>
      <c r="N40" s="724" t="str">
        <f t="shared" si="3"/>
        <v>Arr</v>
      </c>
      <c r="O40" s="596">
        <f>IF(N40="Løype",Poengsammendrag!$F$2,IF(N40="Arr",Poengsammendrag!$F$3,IF(N40="Brutt",50,IF(N40="Disk",50,ROUND(MAXA(100*(MIN(N$10:N$89)/N40),50),0)))))</f>
        <v>94</v>
      </c>
      <c r="S40" s="803" t="s">
        <v>337</v>
      </c>
      <c r="T40" s="736" t="s">
        <v>7</v>
      </c>
      <c r="U40" s="752">
        <v>94</v>
      </c>
      <c r="V40" s="781"/>
      <c r="W40" s="776" t="s">
        <v>337</v>
      </c>
      <c r="X40" s="740">
        <v>94</v>
      </c>
      <c r="AB40" s="828">
        <f t="shared" si="5"/>
        <v>85</v>
      </c>
      <c r="AC40" s="829">
        <f t="shared" si="4"/>
        <v>1</v>
      </c>
    </row>
    <row r="41" spans="2:29" ht="21" thickBot="1" x14ac:dyDescent="0.3">
      <c r="B41" s="16">
        <f t="shared" si="0"/>
        <v>32</v>
      </c>
      <c r="C41" s="106" t="s">
        <v>269</v>
      </c>
      <c r="D41" s="107" t="s">
        <v>270</v>
      </c>
      <c r="E41" s="599" t="str">
        <f t="shared" si="1"/>
        <v>Per OlavJohansen</v>
      </c>
      <c r="F41" s="192">
        <f>YEAR(I$5)-_xlfn.XLOOKUP(E41,Deltakerliste!E$5:E$98,Deltakerliste!I$5:I$98)</f>
        <v>67</v>
      </c>
      <c r="G41" s="192">
        <f>_xlfn.XLOOKUP(E41,Deltakerliste!E$5:E$98,Deltakerliste!H$5:H$98)</f>
        <v>2</v>
      </c>
      <c r="H41" s="592">
        <f>VLOOKUP(F41,Deltakerliste!P$6:T$84,G41,FALSE)</f>
        <v>1.3469999999999998</v>
      </c>
      <c r="I41" s="132"/>
      <c r="J41" s="132" t="s">
        <v>306</v>
      </c>
      <c r="K41" s="134"/>
      <c r="L41" s="600" t="str">
        <f t="shared" si="2"/>
        <v>Brutt</v>
      </c>
      <c r="M41" s="594">
        <f>IF(L41="Løype",Poengsammendrag!$F$2,IF(L41="Arr",Poengsammendrag!$F$3,IF(L41="Brutt",50,IF(L41="Disk",50,ROUND(MAXA(100*(MIN(L$10:L$89)/L41),50),0)))))</f>
        <v>50</v>
      </c>
      <c r="N41" s="724" t="str">
        <f t="shared" si="3"/>
        <v>Brutt</v>
      </c>
      <c r="O41" s="596">
        <f>IF(N41="Løype",Poengsammendrag!$F$2,IF(N41="Arr",Poengsammendrag!$F$3,IF(N41="Brutt",50,IF(N41="Disk",50,ROUND(MAXA(100*(MIN(N$10:N$89)/N41),50),0)))))</f>
        <v>50</v>
      </c>
      <c r="S41" s="803" t="s">
        <v>269</v>
      </c>
      <c r="T41" s="736" t="s">
        <v>306</v>
      </c>
      <c r="U41" s="752">
        <v>50</v>
      </c>
      <c r="V41" s="781"/>
      <c r="W41" s="776" t="s">
        <v>269</v>
      </c>
      <c r="X41" s="740">
        <v>50</v>
      </c>
      <c r="AB41" s="828">
        <f t="shared" si="5"/>
        <v>86</v>
      </c>
      <c r="AC41" s="829">
        <f t="shared" si="4"/>
        <v>2</v>
      </c>
    </row>
    <row r="42" spans="2:29" ht="21" customHeight="1" thickBot="1" x14ac:dyDescent="0.3">
      <c r="B42" s="16">
        <f t="shared" si="0"/>
        <v>33</v>
      </c>
      <c r="C42" s="106" t="s">
        <v>116</v>
      </c>
      <c r="D42" s="107" t="s">
        <v>117</v>
      </c>
      <c r="E42" s="599" t="str">
        <f t="shared" ref="E42:E73" si="6">_xlfn.CONCAT(C42:D42)</f>
        <v>AndersLauglo</v>
      </c>
      <c r="F42" s="192">
        <f>YEAR(I$5)-_xlfn.XLOOKUP(E42,Deltakerliste!E$5:E$98,Deltakerliste!I$5:I$98)</f>
        <v>86</v>
      </c>
      <c r="G42" s="192">
        <f>_xlfn.XLOOKUP(E42,Deltakerliste!E$5:E$98,Deltakerliste!H$5:H$98)</f>
        <v>2</v>
      </c>
      <c r="H42" s="592">
        <f>VLOOKUP(F42,Deltakerliste!P$6:T$84,G42,FALSE)</f>
        <v>2.3089999999999997</v>
      </c>
      <c r="I42" s="13" t="s">
        <v>306</v>
      </c>
      <c r="J42" s="13"/>
      <c r="K42" s="86"/>
      <c r="L42" s="600" t="str">
        <f t="shared" si="2"/>
        <v>Brutt</v>
      </c>
      <c r="M42" s="594">
        <f>IF(L42="Løype",Poengsammendrag!$F$2,IF(L42="Arr",Poengsammendrag!$F$3,IF(L42="Brutt",50,IF(L42="Disk",50,ROUND(MAXA(100*(MIN(L$10:L$89)/L42),50),0)))))</f>
        <v>50</v>
      </c>
      <c r="N42" s="724" t="str">
        <f t="shared" si="3"/>
        <v>Brutt</v>
      </c>
      <c r="O42" s="596">
        <f>IF(N42="Løype",Poengsammendrag!$F$2,IF(N42="Arr",Poengsammendrag!$F$3,IF(N42="Brutt",50,IF(N42="Disk",50,ROUND(MAXA(100*(MIN(N$10:N$89)/N42),50),0)))))</f>
        <v>50</v>
      </c>
      <c r="S42" s="803" t="s">
        <v>315</v>
      </c>
      <c r="T42" s="796" t="s">
        <v>306</v>
      </c>
      <c r="U42" s="765">
        <v>50</v>
      </c>
      <c r="V42" s="782"/>
      <c r="W42" s="777" t="s">
        <v>315</v>
      </c>
      <c r="X42" s="762">
        <v>50</v>
      </c>
      <c r="AB42" s="828">
        <f t="shared" si="5"/>
        <v>87</v>
      </c>
      <c r="AC42" s="829">
        <f t="shared" si="4"/>
        <v>0</v>
      </c>
    </row>
    <row r="43" spans="2:29" ht="21" thickBot="1" x14ac:dyDescent="0.3">
      <c r="B43" s="16">
        <f t="shared" si="0"/>
        <v>34</v>
      </c>
      <c r="C43" s="106" t="s">
        <v>118</v>
      </c>
      <c r="D43" s="107" t="s">
        <v>119</v>
      </c>
      <c r="E43" s="599" t="str">
        <f t="shared" si="6"/>
        <v>KnutLillealtern</v>
      </c>
      <c r="F43" s="192">
        <f>YEAR(I$5)-_xlfn.XLOOKUP(E43,Deltakerliste!E$5:E$98,Deltakerliste!I$5:I$98)</f>
        <v>76</v>
      </c>
      <c r="G43" s="192">
        <f>_xlfn.XLOOKUP(E43,Deltakerliste!E$5:E$98,Deltakerliste!H$5:H$98)</f>
        <v>2</v>
      </c>
      <c r="H43" s="592">
        <f>VLOOKUP(F43,Deltakerliste!P$6:T$84,G43,FALSE)</f>
        <v>1.655</v>
      </c>
      <c r="I43" s="13"/>
      <c r="J43" s="13" t="s">
        <v>62</v>
      </c>
      <c r="K43" s="17"/>
      <c r="L43" s="600" t="str">
        <f t="shared" si="2"/>
        <v>Løype</v>
      </c>
      <c r="M43" s="594">
        <f>IF(L43="Løype",Poengsammendrag!$F$2,IF(L43="Arr",Poengsammendrag!$F$3,IF(L43="Brutt",50,IF(L43="Disk",50,ROUND(MAXA(100*(MIN(L$10:L$89)/L43),50),0)))))</f>
        <v>100</v>
      </c>
      <c r="N43" s="724" t="str">
        <f t="shared" si="3"/>
        <v>Løype</v>
      </c>
      <c r="O43" s="596">
        <f>IF(N43="Løype",Poengsammendrag!$F$2,IF(N43="Arr",Poengsammendrag!$F$3,IF(N43="Brutt",50,IF(N43="Disk",50,ROUND(MAXA(100*(MIN(N$10:N$89)/N43),50),0)))))</f>
        <v>100</v>
      </c>
      <c r="S43" s="803" t="s">
        <v>118</v>
      </c>
      <c r="T43" s="797" t="s">
        <v>62</v>
      </c>
      <c r="U43" s="770">
        <v>100</v>
      </c>
      <c r="V43" s="778"/>
      <c r="W43" s="783" t="s">
        <v>118</v>
      </c>
      <c r="X43" s="740">
        <v>100</v>
      </c>
      <c r="AB43" s="828">
        <f t="shared" si="5"/>
        <v>88</v>
      </c>
      <c r="AC43" s="829">
        <f t="shared" si="4"/>
        <v>0</v>
      </c>
    </row>
    <row r="44" spans="2:29" ht="21" customHeight="1" thickBot="1" x14ac:dyDescent="0.3">
      <c r="B44" s="16">
        <f t="shared" si="0"/>
        <v>35</v>
      </c>
      <c r="C44" s="106" t="s">
        <v>60</v>
      </c>
      <c r="D44" s="107" t="s">
        <v>61</v>
      </c>
      <c r="E44" s="599" t="str">
        <f t="shared" si="6"/>
        <v>JosteinAlvestad</v>
      </c>
      <c r="F44" s="192">
        <f>YEAR(I$5)-_xlfn.XLOOKUP(E44,Deltakerliste!E$5:E$98,Deltakerliste!I$5:I$98)</f>
        <v>70</v>
      </c>
      <c r="G44" s="192">
        <f>_xlfn.XLOOKUP(E44,Deltakerliste!E$5:E$98,Deltakerliste!H$5:H$98)</f>
        <v>2</v>
      </c>
      <c r="H44" s="592">
        <f>VLOOKUP(F44,Deltakerliste!P$6:T$84,G44,FALSE)</f>
        <v>1.4249999999999998</v>
      </c>
      <c r="I44" s="13"/>
      <c r="J44" s="13"/>
      <c r="K44" s="17"/>
      <c r="L44" s="600"/>
      <c r="M44" s="594"/>
      <c r="N44" s="724"/>
      <c r="O44" s="596"/>
      <c r="S44" s="803"/>
      <c r="T44" s="797"/>
      <c r="U44" s="770"/>
      <c r="V44" s="772"/>
      <c r="W44" s="783"/>
      <c r="X44" s="740"/>
      <c r="AB44" s="828">
        <f t="shared" si="5"/>
        <v>89</v>
      </c>
      <c r="AC44" s="829">
        <f t="shared" si="4"/>
        <v>0</v>
      </c>
    </row>
    <row r="45" spans="2:29" ht="21" thickBot="1" x14ac:dyDescent="0.3">
      <c r="B45" s="16">
        <f t="shared" si="0"/>
        <v>36</v>
      </c>
      <c r="C45" s="106" t="s">
        <v>66</v>
      </c>
      <c r="D45" s="107" t="s">
        <v>67</v>
      </c>
      <c r="E45" s="599" t="str">
        <f t="shared" si="6"/>
        <v>FrankBjarkø</v>
      </c>
      <c r="F45" s="192">
        <f>YEAR(I$5)-_xlfn.XLOOKUP(E45,Deltakerliste!E$5:E$98,Deltakerliste!I$5:I$98)</f>
        <v>73</v>
      </c>
      <c r="G45" s="192">
        <f>_xlfn.XLOOKUP(E45,Deltakerliste!E$5:E$98,Deltakerliste!H$5:H$98)</f>
        <v>2</v>
      </c>
      <c r="H45" s="592">
        <f>VLOOKUP(F45,Deltakerliste!P$6:T$84,G45,FALSE)</f>
        <v>1.5329999999999999</v>
      </c>
      <c r="I45" s="13"/>
      <c r="J45" s="13"/>
      <c r="K45" s="13"/>
      <c r="L45" s="600"/>
      <c r="M45" s="594"/>
      <c r="N45" s="724"/>
      <c r="O45" s="596"/>
      <c r="S45" s="803"/>
      <c r="T45" s="797"/>
      <c r="U45" s="770"/>
      <c r="V45" s="772"/>
      <c r="W45" s="783"/>
      <c r="X45" s="740"/>
      <c r="AB45" s="828">
        <f t="shared" si="5"/>
        <v>90</v>
      </c>
      <c r="AC45" s="829">
        <f t="shared" si="4"/>
        <v>0</v>
      </c>
    </row>
    <row r="46" spans="2:29" ht="21" thickBot="1" x14ac:dyDescent="0.3">
      <c r="B46" s="16">
        <f t="shared" si="0"/>
        <v>37</v>
      </c>
      <c r="C46" s="106" t="s">
        <v>364</v>
      </c>
      <c r="D46" s="107" t="s">
        <v>365</v>
      </c>
      <c r="E46" s="599" t="str">
        <f t="shared" si="6"/>
        <v>GerdBjørset</v>
      </c>
      <c r="F46" s="192">
        <f>YEAR(I$5)-_xlfn.XLOOKUP(E46,Deltakerliste!E$5:E$98,Deltakerliste!I$5:I$98)</f>
        <v>71</v>
      </c>
      <c r="G46" s="192">
        <f>_xlfn.XLOOKUP(E46,Deltakerliste!E$5:E$98,Deltakerliste!H$5:H$98)</f>
        <v>4</v>
      </c>
      <c r="H46" s="592">
        <f>VLOOKUP(F46,Deltakerliste!P$6:T$84,G46,FALSE)</f>
        <v>1.9926000000000013</v>
      </c>
      <c r="I46" s="13"/>
      <c r="J46" s="13"/>
      <c r="K46" s="13"/>
      <c r="L46" s="600"/>
      <c r="M46" s="594"/>
      <c r="N46" s="724"/>
      <c r="O46" s="596"/>
      <c r="S46" s="803"/>
      <c r="T46" s="797"/>
      <c r="U46" s="770"/>
      <c r="V46" s="772"/>
      <c r="W46" s="783"/>
      <c r="X46" s="740"/>
      <c r="AB46" s="828">
        <f t="shared" si="5"/>
        <v>91</v>
      </c>
      <c r="AC46" s="829">
        <f t="shared" si="4"/>
        <v>0</v>
      </c>
    </row>
    <row r="47" spans="2:29" ht="21" customHeight="1" thickBot="1" x14ac:dyDescent="0.3">
      <c r="B47" s="16">
        <f t="shared" si="0"/>
        <v>38</v>
      </c>
      <c r="C47" s="106" t="s">
        <v>64</v>
      </c>
      <c r="D47" s="107" t="s">
        <v>267</v>
      </c>
      <c r="E47" s="599" t="str">
        <f t="shared" si="6"/>
        <v>BjørnBrenne</v>
      </c>
      <c r="F47" s="192">
        <f>YEAR(I$5)-_xlfn.XLOOKUP(E47,Deltakerliste!E$5:E$98,Deltakerliste!I$5:I$98)</f>
        <v>80</v>
      </c>
      <c r="G47" s="192">
        <f>_xlfn.XLOOKUP(E47,Deltakerliste!E$5:E$98,Deltakerliste!H$5:H$98)</f>
        <v>2</v>
      </c>
      <c r="H47" s="592">
        <f>VLOOKUP(F47,Deltakerliste!P$6:T$84,G47,FALSE)</f>
        <v>1.8550000000000002</v>
      </c>
      <c r="I47" s="86"/>
      <c r="J47" s="86"/>
      <c r="K47" s="13"/>
      <c r="L47" s="600"/>
      <c r="M47" s="594"/>
      <c r="N47" s="724"/>
      <c r="O47" s="596"/>
      <c r="S47" s="803"/>
      <c r="T47" s="797"/>
      <c r="U47" s="770"/>
      <c r="V47" s="772"/>
      <c r="W47" s="783"/>
      <c r="X47" s="740"/>
      <c r="AB47" s="828">
        <f t="shared" si="5"/>
        <v>92</v>
      </c>
      <c r="AC47" s="829">
        <f t="shared" si="4"/>
        <v>0</v>
      </c>
    </row>
    <row r="48" spans="2:29" ht="21" customHeight="1" thickBot="1" x14ac:dyDescent="0.3">
      <c r="B48" s="16">
        <f t="shared" si="0"/>
        <v>39</v>
      </c>
      <c r="C48" s="106" t="s">
        <v>70</v>
      </c>
      <c r="D48" s="107" t="s">
        <v>71</v>
      </c>
      <c r="E48" s="599" t="str">
        <f t="shared" si="6"/>
        <v>TrondDamås</v>
      </c>
      <c r="F48" s="192">
        <f>YEAR(I$5)-_xlfn.XLOOKUP(E48,Deltakerliste!E$5:E$98,Deltakerliste!I$5:I$98)</f>
        <v>75</v>
      </c>
      <c r="G48" s="192">
        <f>_xlfn.XLOOKUP(E48,Deltakerliste!E$5:E$98,Deltakerliste!H$5:H$98)</f>
        <v>2</v>
      </c>
      <c r="H48" s="592">
        <f>VLOOKUP(F48,Deltakerliste!P$6:T$84,G48,FALSE)</f>
        <v>1.605</v>
      </c>
      <c r="I48" s="13"/>
      <c r="J48" s="13"/>
      <c r="K48" s="13"/>
      <c r="L48" s="600"/>
      <c r="M48" s="594"/>
      <c r="N48" s="724"/>
      <c r="O48" s="596"/>
      <c r="S48" s="803"/>
      <c r="T48" s="797"/>
      <c r="U48" s="770"/>
      <c r="V48" s="772"/>
      <c r="W48" s="783"/>
      <c r="X48" s="740"/>
      <c r="AB48" s="828">
        <f t="shared" si="5"/>
        <v>93</v>
      </c>
      <c r="AC48" s="829">
        <f t="shared" si="4"/>
        <v>0</v>
      </c>
    </row>
    <row r="49" spans="2:29" ht="21" customHeight="1" thickBot="1" x14ac:dyDescent="0.3">
      <c r="B49" s="16">
        <f t="shared" si="0"/>
        <v>40</v>
      </c>
      <c r="C49" s="106" t="s">
        <v>74</v>
      </c>
      <c r="D49" s="107" t="s">
        <v>75</v>
      </c>
      <c r="E49" s="599" t="str">
        <f t="shared" si="6"/>
        <v>StinaElfving</v>
      </c>
      <c r="F49" s="192">
        <f>YEAR(I$5)-_xlfn.XLOOKUP(E49,Deltakerliste!E$5:E$98,Deltakerliste!I$5:I$98)</f>
        <v>75</v>
      </c>
      <c r="G49" s="192">
        <f>_xlfn.XLOOKUP(E49,Deltakerliste!E$5:E$98,Deltakerliste!H$5:H$98)</f>
        <v>4</v>
      </c>
      <c r="H49" s="592">
        <f>VLOOKUP(F49,Deltakerliste!P$6:T$84,G49,FALSE)</f>
        <v>2.1670000000000016</v>
      </c>
      <c r="I49" s="13"/>
      <c r="J49" s="13"/>
      <c r="K49" s="17"/>
      <c r="L49" s="600"/>
      <c r="M49" s="594"/>
      <c r="N49" s="724"/>
      <c r="O49" s="596"/>
      <c r="S49" s="803"/>
      <c r="T49" s="796"/>
      <c r="U49" s="793"/>
      <c r="V49" s="794"/>
      <c r="W49" s="795"/>
      <c r="X49" s="762"/>
      <c r="AB49" s="828">
        <f t="shared" si="5"/>
        <v>94</v>
      </c>
      <c r="AC49" s="829">
        <f t="shared" si="4"/>
        <v>0</v>
      </c>
    </row>
    <row r="50" spans="2:29" ht="21" thickBot="1" x14ac:dyDescent="0.3">
      <c r="B50" s="16">
        <f t="shared" si="0"/>
        <v>41</v>
      </c>
      <c r="C50" s="106" t="s">
        <v>76</v>
      </c>
      <c r="D50" s="107" t="s">
        <v>77</v>
      </c>
      <c r="E50" s="599" t="str">
        <f t="shared" si="6"/>
        <v>ReinoldEllingsen</v>
      </c>
      <c r="F50" s="192">
        <f>YEAR(I$5)-_xlfn.XLOOKUP(E50,Deltakerliste!E$5:E$98,Deltakerliste!I$5:I$98)</f>
        <v>74</v>
      </c>
      <c r="G50" s="192">
        <f>_xlfn.XLOOKUP(E50,Deltakerliste!E$5:E$98,Deltakerliste!H$5:H$98)</f>
        <v>2</v>
      </c>
      <c r="H50" s="592">
        <f>VLOOKUP(F50,Deltakerliste!P$6:T$84,G50,FALSE)</f>
        <v>1.569</v>
      </c>
      <c r="I50" s="13"/>
      <c r="J50" s="13"/>
      <c r="K50" s="13"/>
      <c r="L50" s="600"/>
      <c r="M50" s="594"/>
      <c r="N50" s="724"/>
      <c r="O50" s="596"/>
      <c r="S50" s="803"/>
      <c r="T50" s="851"/>
      <c r="U50" s="770"/>
      <c r="V50" s="772"/>
      <c r="W50" s="783"/>
      <c r="X50" s="740"/>
      <c r="AB50" s="830">
        <f t="shared" si="5"/>
        <v>95</v>
      </c>
      <c r="AC50" s="831">
        <f t="shared" si="4"/>
        <v>0</v>
      </c>
    </row>
    <row r="51" spans="2:29" ht="21" customHeight="1" thickBot="1" x14ac:dyDescent="0.3">
      <c r="B51" s="16">
        <f t="shared" si="0"/>
        <v>42</v>
      </c>
      <c r="C51" s="106" t="s">
        <v>216</v>
      </c>
      <c r="D51" s="107" t="s">
        <v>77</v>
      </c>
      <c r="E51" s="599" t="str">
        <f t="shared" si="6"/>
        <v>Åse RitaEllingsen</v>
      </c>
      <c r="F51" s="192">
        <f>YEAR(I$5)-_xlfn.XLOOKUP(E51,Deltakerliste!E$5:E$98,Deltakerliste!I$5:I$98)</f>
        <v>61</v>
      </c>
      <c r="G51" s="192">
        <f>_xlfn.XLOOKUP(E51,Deltakerliste!E$5:E$98,Deltakerliste!H$5:H$98)</f>
        <v>4</v>
      </c>
      <c r="H51" s="592">
        <f>VLOOKUP(F51,Deltakerliste!P$6:T$84,G51,FALSE)</f>
        <v>1.6542000000000003</v>
      </c>
      <c r="I51" s="593"/>
      <c r="J51" s="14"/>
      <c r="K51" s="13"/>
      <c r="L51" s="600"/>
      <c r="M51" s="594"/>
      <c r="N51" s="724"/>
      <c r="O51" s="596"/>
      <c r="S51" s="803"/>
      <c r="T51" s="797"/>
      <c r="U51" s="770"/>
      <c r="V51" s="772"/>
      <c r="W51" s="783"/>
      <c r="X51" s="740"/>
    </row>
    <row r="52" spans="2:29" ht="21" thickBot="1" x14ac:dyDescent="0.3">
      <c r="B52" s="16">
        <f t="shared" si="0"/>
        <v>43</v>
      </c>
      <c r="C52" s="106" t="s">
        <v>271</v>
      </c>
      <c r="D52" s="107" t="s">
        <v>272</v>
      </c>
      <c r="E52" s="599" t="str">
        <f t="shared" si="6"/>
        <v>Arne KjellFoldvik</v>
      </c>
      <c r="F52" s="192">
        <f>YEAR(I$5)-_xlfn.XLOOKUP(E52,Deltakerliste!E$5:E$98,Deltakerliste!I$5:I$98)</f>
        <v>91</v>
      </c>
      <c r="G52" s="192">
        <f>_xlfn.XLOOKUP(E52,Deltakerliste!E$5:E$98,Deltakerliste!H$5:H$98)</f>
        <v>2</v>
      </c>
      <c r="H52" s="592">
        <f>VLOOKUP(F52,Deltakerliste!P$6:T$84,G52,FALSE)</f>
        <v>2.7290000000000001</v>
      </c>
      <c r="I52" s="14"/>
      <c r="J52" s="14"/>
      <c r="K52" s="13"/>
      <c r="L52" s="600"/>
      <c r="M52" s="594"/>
      <c r="N52" s="724"/>
      <c r="O52" s="596"/>
      <c r="S52" s="803"/>
      <c r="T52" s="798"/>
      <c r="U52" s="770"/>
      <c r="V52" s="772"/>
      <c r="W52" s="783"/>
      <c r="X52" s="740"/>
      <c r="AC52" s="651">
        <f>SUM(AC10:AC50)</f>
        <v>34</v>
      </c>
    </row>
    <row r="53" spans="2:29" ht="21" thickBot="1" x14ac:dyDescent="0.3">
      <c r="B53" s="16">
        <f t="shared" si="0"/>
        <v>44</v>
      </c>
      <c r="C53" s="106" t="s">
        <v>82</v>
      </c>
      <c r="D53" s="107" t="s">
        <v>83</v>
      </c>
      <c r="E53" s="599" t="str">
        <f t="shared" si="6"/>
        <v>RoarForbord</v>
      </c>
      <c r="F53" s="192">
        <f>YEAR(I$5)-_xlfn.XLOOKUP(E53,Deltakerliste!E$5:E$98,Deltakerliste!I$5:I$98)</f>
        <v>82</v>
      </c>
      <c r="G53" s="192">
        <f>_xlfn.XLOOKUP(E53,Deltakerliste!E$5:E$98,Deltakerliste!H$5:H$98)</f>
        <v>2</v>
      </c>
      <c r="H53" s="592">
        <f>VLOOKUP(F53,Deltakerliste!P$6:T$84,G53,FALSE)</f>
        <v>2.0030000000000001</v>
      </c>
      <c r="I53" s="86"/>
      <c r="J53" s="86"/>
      <c r="K53" s="13"/>
      <c r="L53" s="600"/>
      <c r="M53" s="594"/>
      <c r="N53" s="724"/>
      <c r="O53" s="596"/>
      <c r="S53" s="803"/>
      <c r="T53" s="798"/>
      <c r="U53" s="770"/>
      <c r="V53" s="772"/>
      <c r="W53" s="783"/>
      <c r="X53" s="740"/>
    </row>
    <row r="54" spans="2:29" ht="21" thickBot="1" x14ac:dyDescent="0.3">
      <c r="B54" s="16">
        <f t="shared" si="0"/>
        <v>45</v>
      </c>
      <c r="C54" s="106" t="s">
        <v>377</v>
      </c>
      <c r="D54" s="107" t="s">
        <v>83</v>
      </c>
      <c r="E54" s="599" t="str">
        <f t="shared" si="6"/>
        <v>HildeForbord</v>
      </c>
      <c r="F54" s="192">
        <f>YEAR(I$5)-_xlfn.XLOOKUP(E54,Deltakerliste!E$5:E$98,Deltakerliste!I$5:I$98)</f>
        <v>59</v>
      </c>
      <c r="G54" s="192">
        <f>_xlfn.XLOOKUP(E54,Deltakerliste!E$5:E$98,Deltakerliste!H$5:H$98)</f>
        <v>4</v>
      </c>
      <c r="H54" s="592">
        <f>VLOOKUP(F54,Deltakerliste!P$6:T$84,G54,FALSE)</f>
        <v>1.6020000000000001</v>
      </c>
      <c r="I54" s="14"/>
      <c r="J54" s="14"/>
      <c r="K54" s="13"/>
      <c r="L54" s="600"/>
      <c r="M54" s="594"/>
      <c r="N54" s="724"/>
      <c r="O54" s="596"/>
      <c r="S54" s="846"/>
      <c r="T54" s="847"/>
      <c r="U54" s="848"/>
      <c r="V54" s="778"/>
      <c r="W54" s="849"/>
      <c r="X54" s="850"/>
    </row>
    <row r="55" spans="2:29" ht="21" customHeight="1" thickBot="1" x14ac:dyDescent="0.3">
      <c r="B55" s="16">
        <f t="shared" si="0"/>
        <v>46</v>
      </c>
      <c r="C55" s="106" t="s">
        <v>84</v>
      </c>
      <c r="D55" s="107" t="s">
        <v>85</v>
      </c>
      <c r="E55" s="599" t="str">
        <f t="shared" si="6"/>
        <v>PaulForseth</v>
      </c>
      <c r="F55" s="192">
        <f>YEAR(I$5)-_xlfn.XLOOKUP(E55,Deltakerliste!E$5:E$98,Deltakerliste!I$5:I$98)</f>
        <v>93</v>
      </c>
      <c r="G55" s="192">
        <f>_xlfn.XLOOKUP(E55,Deltakerliste!E$5:E$98,Deltakerliste!H$5:H$98)</f>
        <v>2</v>
      </c>
      <c r="H55" s="592">
        <f>VLOOKUP(F55,Deltakerliste!P$6:T$84,G55,FALSE)</f>
        <v>2.8970000000000002</v>
      </c>
      <c r="I55" s="86"/>
      <c r="J55" s="86"/>
      <c r="K55" s="17"/>
      <c r="L55" s="600"/>
      <c r="M55" s="594"/>
      <c r="N55" s="724"/>
      <c r="O55" s="596"/>
      <c r="S55" s="803"/>
      <c r="T55" s="798"/>
      <c r="U55" s="770"/>
      <c r="V55" s="772"/>
      <c r="W55" s="783"/>
      <c r="X55" s="740"/>
    </row>
    <row r="56" spans="2:29" ht="21" thickBot="1" x14ac:dyDescent="0.3">
      <c r="B56" s="16">
        <f t="shared" si="0"/>
        <v>47</v>
      </c>
      <c r="C56" s="106" t="s">
        <v>86</v>
      </c>
      <c r="D56" s="107" t="s">
        <v>87</v>
      </c>
      <c r="E56" s="599" t="str">
        <f t="shared" si="6"/>
        <v>KristianFougner</v>
      </c>
      <c r="F56" s="192">
        <f>YEAR(I$5)-_xlfn.XLOOKUP(E56,Deltakerliste!E$5:E$98,Deltakerliste!I$5:I$98)</f>
        <v>75</v>
      </c>
      <c r="G56" s="192">
        <f>_xlfn.XLOOKUP(E56,Deltakerliste!E$5:E$98,Deltakerliste!H$5:H$98)</f>
        <v>2</v>
      </c>
      <c r="H56" s="592">
        <f>VLOOKUP(F56,Deltakerliste!P$6:T$84,G56,FALSE)</f>
        <v>1.605</v>
      </c>
      <c r="I56" s="86"/>
      <c r="J56" s="86"/>
      <c r="K56" s="13"/>
      <c r="L56" s="600"/>
      <c r="M56" s="594"/>
      <c r="N56" s="724"/>
      <c r="O56" s="596"/>
      <c r="S56" s="803"/>
      <c r="T56" s="798"/>
      <c r="U56" s="770"/>
      <c r="V56" s="772"/>
      <c r="W56" s="783"/>
      <c r="X56" s="740"/>
    </row>
    <row r="57" spans="2:29" ht="21" thickBot="1" x14ac:dyDescent="0.3">
      <c r="B57" s="16">
        <f t="shared" si="0"/>
        <v>48</v>
      </c>
      <c r="C57" s="106" t="s">
        <v>88</v>
      </c>
      <c r="D57" s="107" t="s">
        <v>89</v>
      </c>
      <c r="E57" s="599" t="str">
        <f t="shared" si="6"/>
        <v>EdgarFuruholt</v>
      </c>
      <c r="F57" s="192">
        <f>YEAR(I$5)-_xlfn.XLOOKUP(E57,Deltakerliste!E$5:E$98,Deltakerliste!I$5:I$98)</f>
        <v>78</v>
      </c>
      <c r="G57" s="192">
        <f>_xlfn.XLOOKUP(E57,Deltakerliste!E$5:E$98,Deltakerliste!H$5:H$98)</f>
        <v>2</v>
      </c>
      <c r="H57" s="592">
        <f>VLOOKUP(F57,Deltakerliste!P$6:T$84,G57,FALSE)</f>
        <v>1.7550000000000001</v>
      </c>
      <c r="I57" s="18"/>
      <c r="J57" s="132"/>
      <c r="K57" s="18"/>
      <c r="L57" s="600"/>
      <c r="M57" s="594"/>
      <c r="N57" s="724"/>
      <c r="O57" s="596"/>
      <c r="S57" s="804"/>
      <c r="T57" s="801"/>
      <c r="U57" s="771"/>
      <c r="V57" s="773"/>
      <c r="W57" s="784"/>
      <c r="X57" s="741"/>
    </row>
    <row r="58" spans="2:29" ht="20" customHeight="1" thickBot="1" x14ac:dyDescent="0.3">
      <c r="B58" s="16">
        <f t="shared" si="0"/>
        <v>49</v>
      </c>
      <c r="C58" s="106" t="s">
        <v>207</v>
      </c>
      <c r="D58" s="107" t="s">
        <v>89</v>
      </c>
      <c r="E58" s="599" t="str">
        <f t="shared" si="6"/>
        <v>AnneFuruholt</v>
      </c>
      <c r="F58" s="192">
        <f>YEAR(I$5)-_xlfn.XLOOKUP(E58,Deltakerliste!E$5:E$98,Deltakerliste!I$5:I$98)</f>
        <v>78</v>
      </c>
      <c r="G58" s="192">
        <f>_xlfn.XLOOKUP(E58,Deltakerliste!E$5:E$98,Deltakerliste!H$5:H$98)</f>
        <v>4</v>
      </c>
      <c r="H58" s="592">
        <f>VLOOKUP(F58,Deltakerliste!P$6:T$84,G58,FALSE)</f>
        <v>2.3398000000000012</v>
      </c>
      <c r="I58" s="13"/>
      <c r="J58" s="13"/>
      <c r="K58" s="13"/>
      <c r="L58" s="600"/>
      <c r="M58" s="594"/>
      <c r="N58" s="724"/>
      <c r="O58" s="596"/>
    </row>
    <row r="59" spans="2:29" ht="21" thickBot="1" x14ac:dyDescent="0.3">
      <c r="B59" s="16">
        <f t="shared" si="0"/>
        <v>50</v>
      </c>
      <c r="C59" s="106" t="s">
        <v>116</v>
      </c>
      <c r="D59" s="107" t="s">
        <v>353</v>
      </c>
      <c r="E59" s="599" t="str">
        <f t="shared" si="6"/>
        <v>AndersGjermo</v>
      </c>
      <c r="F59" s="192">
        <f>YEAR(I$5)-_xlfn.XLOOKUP(E59,Deltakerliste!E$5:E$98,Deltakerliste!I$5:I$98)</f>
        <v>67</v>
      </c>
      <c r="G59" s="192">
        <f>_xlfn.XLOOKUP(E59,Deltakerliste!E$5:E$98,Deltakerliste!H$5:H$98)</f>
        <v>2</v>
      </c>
      <c r="H59" s="592">
        <f>VLOOKUP(F59,Deltakerliste!P$6:T$84,G59,FALSE)</f>
        <v>1.3469999999999998</v>
      </c>
      <c r="I59" s="132"/>
      <c r="J59" s="132"/>
      <c r="K59" s="18"/>
      <c r="L59" s="600"/>
      <c r="M59" s="594"/>
      <c r="N59" s="724"/>
      <c r="O59" s="596"/>
    </row>
    <row r="60" spans="2:29" ht="21" customHeight="1" thickBot="1" x14ac:dyDescent="0.3">
      <c r="B60" s="16">
        <f t="shared" si="0"/>
        <v>51</v>
      </c>
      <c r="C60" s="106" t="s">
        <v>92</v>
      </c>
      <c r="D60" s="107" t="s">
        <v>93</v>
      </c>
      <c r="E60" s="599" t="str">
        <f t="shared" si="6"/>
        <v>Jens ØysteinGjersvold</v>
      </c>
      <c r="F60" s="192">
        <f>YEAR(I$5)-_xlfn.XLOOKUP(E60,Deltakerliste!E$5:E$98,Deltakerliste!I$5:I$98)</f>
        <v>73</v>
      </c>
      <c r="G60" s="192">
        <f>_xlfn.XLOOKUP(E60,Deltakerliste!E$5:E$98,Deltakerliste!H$5:H$98)</f>
        <v>2</v>
      </c>
      <c r="H60" s="592">
        <f>VLOOKUP(F60,Deltakerliste!P$6:T$84,G60,FALSE)</f>
        <v>1.5329999999999999</v>
      </c>
      <c r="I60" s="14"/>
      <c r="J60" s="14"/>
      <c r="K60" s="18"/>
      <c r="L60" s="600"/>
      <c r="M60" s="594"/>
      <c r="N60" s="724"/>
      <c r="O60" s="596"/>
    </row>
    <row r="61" spans="2:29" ht="21" customHeight="1" thickBot="1" x14ac:dyDescent="0.3">
      <c r="B61" s="16">
        <f t="shared" si="0"/>
        <v>52</v>
      </c>
      <c r="C61" s="106" t="s">
        <v>60</v>
      </c>
      <c r="D61" s="107" t="s">
        <v>372</v>
      </c>
      <c r="E61" s="599" t="str">
        <f t="shared" si="6"/>
        <v>JosteinGrepstad</v>
      </c>
      <c r="F61" s="192">
        <f>YEAR(I$5)-_xlfn.XLOOKUP(E61,Deltakerliste!E$5:E$98,Deltakerliste!I$5:I$98)</f>
        <v>74</v>
      </c>
      <c r="G61" s="192">
        <f>_xlfn.XLOOKUP(E61,Deltakerliste!E$5:E$98,Deltakerliste!H$5:H$98)</f>
        <v>2</v>
      </c>
      <c r="H61" s="592">
        <f>VLOOKUP(F61,Deltakerliste!P$6:T$84,G61,FALSE)</f>
        <v>1.569</v>
      </c>
      <c r="I61" s="14"/>
      <c r="J61" s="14"/>
      <c r="K61" s="18"/>
      <c r="L61" s="600"/>
      <c r="M61" s="594"/>
      <c r="N61" s="724"/>
      <c r="O61" s="596"/>
    </row>
    <row r="62" spans="2:29" ht="21" customHeight="1" thickBot="1" x14ac:dyDescent="0.3">
      <c r="B62" s="16">
        <f t="shared" si="0"/>
        <v>53</v>
      </c>
      <c r="C62" s="106" t="s">
        <v>94</v>
      </c>
      <c r="D62" s="107" t="s">
        <v>95</v>
      </c>
      <c r="E62" s="599" t="str">
        <f t="shared" si="6"/>
        <v>TerjeHanssen</v>
      </c>
      <c r="F62" s="192">
        <f>YEAR(I$5)-_xlfn.XLOOKUP(E62,Deltakerliste!E$5:E$98,Deltakerliste!I$5:I$98)</f>
        <v>77</v>
      </c>
      <c r="G62" s="192">
        <f>_xlfn.XLOOKUP(E62,Deltakerliste!E$5:E$98,Deltakerliste!H$5:H$98)</f>
        <v>2</v>
      </c>
      <c r="H62" s="592">
        <f>VLOOKUP(F62,Deltakerliste!P$6:T$84,G62,FALSE)</f>
        <v>1.7050000000000001</v>
      </c>
      <c r="I62" s="86"/>
      <c r="J62" s="86"/>
      <c r="K62" s="17"/>
      <c r="L62" s="600"/>
      <c r="M62" s="594"/>
      <c r="N62" s="724"/>
      <c r="O62" s="596"/>
    </row>
    <row r="63" spans="2:29" ht="21" thickBot="1" x14ac:dyDescent="0.3">
      <c r="B63" s="16">
        <f t="shared" si="0"/>
        <v>54</v>
      </c>
      <c r="C63" s="106" t="s">
        <v>63</v>
      </c>
      <c r="D63" s="107" t="s">
        <v>98</v>
      </c>
      <c r="E63" s="599" t="str">
        <f t="shared" si="6"/>
        <v>ToreHeggem</v>
      </c>
      <c r="F63" s="192">
        <f>YEAR(I$5)-_xlfn.XLOOKUP(E63,Deltakerliste!E$5:E$98,Deltakerliste!I$5:I$98)</f>
        <v>72</v>
      </c>
      <c r="G63" s="192">
        <f>_xlfn.XLOOKUP(E63,Deltakerliste!E$5:E$98,Deltakerliste!H$5:H$98)</f>
        <v>2</v>
      </c>
      <c r="H63" s="592">
        <f>VLOOKUP(F63,Deltakerliste!P$6:T$84,G63,FALSE)</f>
        <v>1.4969999999999999</v>
      </c>
      <c r="I63" s="86"/>
      <c r="J63" s="86"/>
      <c r="K63" s="13"/>
      <c r="L63" s="600"/>
      <c r="M63" s="594"/>
      <c r="N63" s="724"/>
      <c r="O63" s="596"/>
    </row>
    <row r="64" spans="2:29" ht="21" thickBot="1" x14ac:dyDescent="0.3">
      <c r="B64" s="16">
        <f t="shared" si="0"/>
        <v>55</v>
      </c>
      <c r="C64" s="106" t="s">
        <v>342</v>
      </c>
      <c r="D64" s="107" t="s">
        <v>343</v>
      </c>
      <c r="E64" s="599" t="str">
        <f t="shared" si="6"/>
        <v>ArildHeggeset</v>
      </c>
      <c r="F64" s="192">
        <f>YEAR(I$5)-_xlfn.XLOOKUP(E64,Deltakerliste!E$5:E$98,Deltakerliste!I$5:I$98)</f>
        <v>58</v>
      </c>
      <c r="G64" s="192">
        <f>_xlfn.XLOOKUP(E64,Deltakerliste!E$5:E$98,Deltakerliste!H$5:H$98)</f>
        <v>2</v>
      </c>
      <c r="H64" s="592">
        <f>VLOOKUP(F64,Deltakerliste!P$6:T$84,G64,FALSE)</f>
        <v>1.1720000000000002</v>
      </c>
      <c r="I64" s="86"/>
      <c r="J64" s="86"/>
      <c r="K64" s="13"/>
      <c r="L64" s="600"/>
      <c r="M64" s="594"/>
      <c r="N64" s="724"/>
      <c r="O64" s="596"/>
    </row>
    <row r="65" spans="2:17" ht="21" thickBot="1" x14ac:dyDescent="0.3">
      <c r="B65" s="16">
        <f t="shared" si="0"/>
        <v>56</v>
      </c>
      <c r="C65" s="106" t="s">
        <v>309</v>
      </c>
      <c r="D65" s="107" t="s">
        <v>310</v>
      </c>
      <c r="E65" s="599" t="str">
        <f t="shared" si="6"/>
        <v>VigdisHeimly</v>
      </c>
      <c r="F65" s="192">
        <f>YEAR(I$5)-_xlfn.XLOOKUP(E65,Deltakerliste!E$5:E$98,Deltakerliste!I$5:I$98)</f>
        <v>66</v>
      </c>
      <c r="G65" s="192">
        <f>_xlfn.XLOOKUP(E65,Deltakerliste!E$5:E$98,Deltakerliste!H$5:H$98)</f>
        <v>4</v>
      </c>
      <c r="H65" s="592">
        <f>VLOOKUP(F65,Deltakerliste!P$6:T$84,G65,FALSE)</f>
        <v>1.8066000000000009</v>
      </c>
      <c r="I65" s="86"/>
      <c r="J65" s="86"/>
      <c r="K65" s="17"/>
      <c r="L65" s="600"/>
      <c r="M65" s="594"/>
      <c r="N65" s="724"/>
      <c r="O65" s="596"/>
    </row>
    <row r="66" spans="2:17" ht="21" thickBot="1" x14ac:dyDescent="0.3">
      <c r="B66" s="16">
        <f t="shared" si="0"/>
        <v>57</v>
      </c>
      <c r="C66" s="106" t="s">
        <v>103</v>
      </c>
      <c r="D66" s="107" t="s">
        <v>104</v>
      </c>
      <c r="E66" s="599" t="str">
        <f t="shared" si="6"/>
        <v>SveinHove</v>
      </c>
      <c r="F66" s="192">
        <f>YEAR(I$5)-_xlfn.XLOOKUP(E66,Deltakerliste!E$5:E$98,Deltakerliste!I$5:I$98)</f>
        <v>78</v>
      </c>
      <c r="G66" s="192">
        <f>_xlfn.XLOOKUP(E66,Deltakerliste!E$5:E$98,Deltakerliste!H$5:H$98)</f>
        <v>2</v>
      </c>
      <c r="H66" s="592">
        <f>VLOOKUP(F66,Deltakerliste!P$6:T$84,G66,FALSE)</f>
        <v>1.7550000000000001</v>
      </c>
      <c r="I66" s="86"/>
      <c r="J66" s="86"/>
      <c r="K66" s="17"/>
      <c r="L66" s="600"/>
      <c r="M66" s="594"/>
      <c r="N66" s="724"/>
      <c r="O66" s="596"/>
    </row>
    <row r="67" spans="2:17" ht="21" thickBot="1" x14ac:dyDescent="0.3">
      <c r="B67" s="16">
        <f t="shared" si="0"/>
        <v>58</v>
      </c>
      <c r="C67" s="106" t="s">
        <v>63</v>
      </c>
      <c r="D67" s="107" t="s">
        <v>105</v>
      </c>
      <c r="E67" s="599" t="str">
        <f t="shared" si="6"/>
        <v>ToreKiste</v>
      </c>
      <c r="F67" s="192">
        <f>YEAR(I$5)-_xlfn.XLOOKUP(E67,Deltakerliste!E$5:E$98,Deltakerliste!I$5:I$98)</f>
        <v>80</v>
      </c>
      <c r="G67" s="192">
        <f>_xlfn.XLOOKUP(E67,Deltakerliste!E$5:E$98,Deltakerliste!H$5:H$98)</f>
        <v>2</v>
      </c>
      <c r="H67" s="592">
        <f>VLOOKUP(F67,Deltakerliste!P$6:T$84,G67,FALSE)</f>
        <v>1.8550000000000002</v>
      </c>
      <c r="I67" s="86"/>
      <c r="J67" s="86"/>
      <c r="K67" s="13"/>
      <c r="L67" s="600"/>
      <c r="M67" s="594"/>
      <c r="N67" s="724"/>
      <c r="O67" s="596"/>
    </row>
    <row r="68" spans="2:17" ht="21" thickBot="1" x14ac:dyDescent="0.3">
      <c r="B68" s="16">
        <f t="shared" si="0"/>
        <v>59</v>
      </c>
      <c r="C68" s="106" t="s">
        <v>110</v>
      </c>
      <c r="D68" s="107" t="s">
        <v>111</v>
      </c>
      <c r="E68" s="599" t="str">
        <f t="shared" si="6"/>
        <v>Jan ErikKofoed</v>
      </c>
      <c r="F68" s="192">
        <f>YEAR(I$5)-_xlfn.XLOOKUP(E68,Deltakerliste!E$5:E$98,Deltakerliste!I$5:I$98)</f>
        <v>71</v>
      </c>
      <c r="G68" s="192">
        <f>_xlfn.XLOOKUP(E68,Deltakerliste!E$5:E$98,Deltakerliste!H$5:H$98)</f>
        <v>2</v>
      </c>
      <c r="H68" s="592">
        <f>VLOOKUP(F68,Deltakerliste!P$6:T$84,G68,FALSE)</f>
        <v>1.4609999999999999</v>
      </c>
      <c r="I68" s="86"/>
      <c r="J68" s="86"/>
      <c r="K68" s="13"/>
      <c r="L68" s="600"/>
      <c r="M68" s="594"/>
      <c r="N68" s="724"/>
      <c r="O68" s="596"/>
    </row>
    <row r="69" spans="2:17" ht="21" thickBot="1" x14ac:dyDescent="0.3">
      <c r="B69" s="16">
        <f t="shared" si="0"/>
        <v>60</v>
      </c>
      <c r="C69" s="106" t="s">
        <v>251</v>
      </c>
      <c r="D69" s="107" t="s">
        <v>252</v>
      </c>
      <c r="E69" s="599" t="str">
        <f t="shared" si="6"/>
        <v>OttarKristiansen</v>
      </c>
      <c r="F69" s="192">
        <f>YEAR(I$5)-_xlfn.XLOOKUP(E69,Deltakerliste!E$5:E$98,Deltakerliste!I$5:I$98)</f>
        <v>76</v>
      </c>
      <c r="G69" s="192">
        <f>_xlfn.XLOOKUP(E69,Deltakerliste!E$5:E$98,Deltakerliste!H$5:H$98)</f>
        <v>2</v>
      </c>
      <c r="H69" s="592">
        <f>VLOOKUP(F69,Deltakerliste!P$6:T$84,G69,FALSE)</f>
        <v>1.655</v>
      </c>
      <c r="I69" s="86"/>
      <c r="J69" s="86"/>
      <c r="K69" s="17"/>
      <c r="L69" s="600"/>
      <c r="M69" s="594"/>
      <c r="N69" s="724"/>
      <c r="O69" s="596"/>
    </row>
    <row r="70" spans="2:17" ht="21" thickBot="1" x14ac:dyDescent="0.3">
      <c r="B70" s="16">
        <f t="shared" si="0"/>
        <v>61</v>
      </c>
      <c r="C70" s="106" t="s">
        <v>299</v>
      </c>
      <c r="D70" s="107" t="s">
        <v>300</v>
      </c>
      <c r="E70" s="599" t="str">
        <f t="shared" si="6"/>
        <v>OlavKvittem</v>
      </c>
      <c r="F70" s="192">
        <f>YEAR(I$5)-_xlfn.XLOOKUP(E70,Deltakerliste!E$5:E$98,Deltakerliste!I$5:I$98)</f>
        <v>70</v>
      </c>
      <c r="G70" s="192">
        <f>_xlfn.XLOOKUP(E70,Deltakerliste!E$5:E$98,Deltakerliste!H$5:H$98)</f>
        <v>2</v>
      </c>
      <c r="H70" s="592">
        <f>VLOOKUP(F70,Deltakerliste!P$6:T$84,G70,FALSE)</f>
        <v>1.4249999999999998</v>
      </c>
      <c r="I70" s="86"/>
      <c r="J70" s="86"/>
      <c r="K70" s="13"/>
      <c r="L70" s="600"/>
      <c r="M70" s="594"/>
      <c r="N70" s="724"/>
      <c r="O70" s="596"/>
    </row>
    <row r="71" spans="2:17" ht="21" thickBot="1" x14ac:dyDescent="0.3">
      <c r="B71" s="16">
        <f t="shared" si="0"/>
        <v>62</v>
      </c>
      <c r="C71" s="106" t="s">
        <v>112</v>
      </c>
      <c r="D71" s="107" t="s">
        <v>113</v>
      </c>
      <c r="E71" s="599" t="str">
        <f t="shared" si="6"/>
        <v>ToridKvaal</v>
      </c>
      <c r="F71" s="192">
        <f>YEAR(I$5)-_xlfn.XLOOKUP(E71,Deltakerliste!E$5:E$98,Deltakerliste!I$5:I$98)</f>
        <v>83</v>
      </c>
      <c r="G71" s="192">
        <f>_xlfn.XLOOKUP(E71,Deltakerliste!E$5:E$98,Deltakerliste!H$5:H$98)</f>
        <v>4</v>
      </c>
      <c r="H71" s="592">
        <f>VLOOKUP(F71,Deltakerliste!P$6:T$84,G71,FALSE)</f>
        <v>2.6998000000000006</v>
      </c>
      <c r="I71" s="86"/>
      <c r="J71" s="86"/>
      <c r="K71" s="13"/>
      <c r="L71" s="600"/>
      <c r="M71" s="594"/>
      <c r="N71" s="724"/>
      <c r="O71" s="596"/>
    </row>
    <row r="72" spans="2:17" ht="21" thickBot="1" x14ac:dyDescent="0.3">
      <c r="B72" s="16">
        <f t="shared" si="0"/>
        <v>63</v>
      </c>
      <c r="C72" s="106" t="s">
        <v>254</v>
      </c>
      <c r="D72" s="107" t="s">
        <v>255</v>
      </c>
      <c r="E72" s="599" t="str">
        <f t="shared" si="6"/>
        <v>ArnfinnLangeland</v>
      </c>
      <c r="F72" s="192">
        <f>YEAR(I$5)-_xlfn.XLOOKUP(E72,Deltakerliste!E$5:E$98,Deltakerliste!I$5:I$98)</f>
        <v>89</v>
      </c>
      <c r="G72" s="192">
        <f>_xlfn.XLOOKUP(E72,Deltakerliste!E$5:E$98,Deltakerliste!H$5:H$98)</f>
        <v>2</v>
      </c>
      <c r="H72" s="592">
        <f>VLOOKUP(F72,Deltakerliste!P$6:T$84,G72,FALSE)</f>
        <v>2.5609999999999999</v>
      </c>
      <c r="I72" s="86"/>
      <c r="J72" s="86"/>
      <c r="K72" s="13"/>
      <c r="L72" s="600"/>
      <c r="M72" s="594"/>
      <c r="N72" s="724"/>
      <c r="O72" s="596"/>
    </row>
    <row r="73" spans="2:17" ht="21" thickBot="1" x14ac:dyDescent="0.3">
      <c r="B73" s="16">
        <f t="shared" si="0"/>
        <v>64</v>
      </c>
      <c r="C73" s="106" t="s">
        <v>248</v>
      </c>
      <c r="D73" s="107" t="s">
        <v>249</v>
      </c>
      <c r="E73" s="599" t="str">
        <f t="shared" si="6"/>
        <v>ErikLund</v>
      </c>
      <c r="F73" s="192">
        <f>YEAR(I$5)-_xlfn.XLOOKUP(E73,Deltakerliste!E$5:E$98,Deltakerliste!I$5:I$98)</f>
        <v>78</v>
      </c>
      <c r="G73" s="192">
        <f>_xlfn.XLOOKUP(E73,Deltakerliste!E$5:E$98,Deltakerliste!H$5:H$98)</f>
        <v>2</v>
      </c>
      <c r="H73" s="592">
        <f>VLOOKUP(F73,Deltakerliste!P$6:T$84,G73,FALSE)</f>
        <v>1.7550000000000001</v>
      </c>
      <c r="I73" s="13"/>
      <c r="J73" s="13"/>
      <c r="K73" s="17"/>
      <c r="L73" s="600"/>
      <c r="M73" s="594"/>
      <c r="N73" s="724"/>
      <c r="O73" s="596"/>
    </row>
    <row r="74" spans="2:17" ht="21" thickBot="1" x14ac:dyDescent="0.3">
      <c r="B74" s="16">
        <f t="shared" ref="B74:B91" si="7">B73+1</f>
        <v>65</v>
      </c>
      <c r="C74" s="106" t="s">
        <v>128</v>
      </c>
      <c r="D74" s="107" t="s">
        <v>129</v>
      </c>
      <c r="E74" s="599" t="str">
        <f t="shared" ref="E74:E91" si="8">_xlfn.CONCAT(C74:D74)</f>
        <v>OddMusum</v>
      </c>
      <c r="F74" s="192">
        <f>YEAR(I$5)-_xlfn.XLOOKUP(E74,Deltakerliste!E$5:E$98,Deltakerliste!I$5:I$98)</f>
        <v>83</v>
      </c>
      <c r="G74" s="192">
        <f>_xlfn.XLOOKUP(E74,Deltakerliste!E$5:E$98,Deltakerliste!H$5:H$98)</f>
        <v>2</v>
      </c>
      <c r="H74" s="592">
        <f>VLOOKUP(F74,Deltakerliste!P$6:T$84,G74,FALSE)</f>
        <v>2.077</v>
      </c>
      <c r="I74" s="13"/>
      <c r="J74" s="13"/>
      <c r="K74" s="13"/>
      <c r="L74" s="600"/>
      <c r="M74" s="594"/>
      <c r="N74" s="724"/>
      <c r="O74" s="596"/>
    </row>
    <row r="75" spans="2:17" ht="21" thickBot="1" x14ac:dyDescent="0.3">
      <c r="B75" s="16">
        <f t="shared" si="7"/>
        <v>66</v>
      </c>
      <c r="C75" s="106" t="s">
        <v>130</v>
      </c>
      <c r="D75" s="107" t="s">
        <v>131</v>
      </c>
      <c r="E75" s="599" t="str">
        <f t="shared" si="8"/>
        <v>AtleMørk</v>
      </c>
      <c r="F75" s="192">
        <f>YEAR(I$5)-_xlfn.XLOOKUP(E75,Deltakerliste!E$5:E$98,Deltakerliste!I$5:I$98)</f>
        <v>76</v>
      </c>
      <c r="G75" s="192">
        <f>_xlfn.XLOOKUP(E75,Deltakerliste!E$5:E$98,Deltakerliste!H$5:H$98)</f>
        <v>2</v>
      </c>
      <c r="H75" s="592">
        <f>VLOOKUP(F75,Deltakerliste!P$6:T$84,G75,FALSE)</f>
        <v>1.655</v>
      </c>
      <c r="I75" s="132"/>
      <c r="J75" s="132"/>
      <c r="K75" s="132"/>
      <c r="L75" s="600"/>
      <c r="M75" s="594"/>
      <c r="N75" s="724"/>
      <c r="O75" s="596"/>
      <c r="Q75" s="112"/>
    </row>
    <row r="76" spans="2:17" ht="21" thickBot="1" x14ac:dyDescent="0.3">
      <c r="B76" s="16">
        <f t="shared" si="7"/>
        <v>67</v>
      </c>
      <c r="C76" s="106" t="s">
        <v>132</v>
      </c>
      <c r="D76" s="107" t="s">
        <v>133</v>
      </c>
      <c r="E76" s="599" t="str">
        <f t="shared" si="8"/>
        <v>JarleNestvold</v>
      </c>
      <c r="F76" s="192">
        <f>YEAR(I$5)-_xlfn.XLOOKUP(E76,Deltakerliste!E$5:E$98,Deltakerliste!I$5:I$98)</f>
        <v>88</v>
      </c>
      <c r="G76" s="192">
        <f>_xlfn.XLOOKUP(E76,Deltakerliste!E$5:E$98,Deltakerliste!H$5:H$98)</f>
        <v>2</v>
      </c>
      <c r="H76" s="592">
        <f>VLOOKUP(F76,Deltakerliste!P$6:T$84,G76,FALSE)</f>
        <v>2.4769999999999999</v>
      </c>
      <c r="I76" s="132"/>
      <c r="J76" s="18"/>
      <c r="K76" s="18"/>
      <c r="L76" s="600"/>
      <c r="M76" s="594"/>
      <c r="N76" s="724"/>
      <c r="O76" s="596"/>
    </row>
    <row r="77" spans="2:17" ht="21" thickBot="1" x14ac:dyDescent="0.3">
      <c r="B77" s="16">
        <f t="shared" si="7"/>
        <v>68</v>
      </c>
      <c r="C77" s="106" t="s">
        <v>265</v>
      </c>
      <c r="D77" s="107" t="s">
        <v>344</v>
      </c>
      <c r="E77" s="599" t="str">
        <f t="shared" si="8"/>
        <v>ØysteinNytrø</v>
      </c>
      <c r="F77" s="192">
        <f>YEAR(I$5)-_xlfn.XLOOKUP(E77,Deltakerliste!E$5:E$98,Deltakerliste!I$5:I$98)</f>
        <v>65</v>
      </c>
      <c r="G77" s="192">
        <f>_xlfn.XLOOKUP(E77,Deltakerliste!E$5:E$98,Deltakerliste!H$5:H$98)</f>
        <v>2</v>
      </c>
      <c r="H77" s="592">
        <f>VLOOKUP(F77,Deltakerliste!P$6:T$84,G77,FALSE)</f>
        <v>1.2949999999999997</v>
      </c>
      <c r="I77" s="18"/>
      <c r="J77" s="132"/>
      <c r="K77" s="18"/>
      <c r="L77" s="600"/>
      <c r="M77" s="594"/>
      <c r="N77" s="724"/>
      <c r="O77" s="596"/>
    </row>
    <row r="78" spans="2:17" ht="21" thickBot="1" x14ac:dyDescent="0.3">
      <c r="B78" s="16">
        <f t="shared" si="7"/>
        <v>69</v>
      </c>
      <c r="C78" s="106" t="s">
        <v>140</v>
      </c>
      <c r="D78" s="107" t="s">
        <v>141</v>
      </c>
      <c r="E78" s="599" t="str">
        <f t="shared" si="8"/>
        <v>Grete BergeOwren</v>
      </c>
      <c r="F78" s="192">
        <f>YEAR(I$5)-_xlfn.XLOOKUP(E78,Deltakerliste!E$5:E$98,Deltakerliste!I$5:I$98)</f>
        <v>67</v>
      </c>
      <c r="G78" s="192">
        <f>_xlfn.XLOOKUP(E78,Deltakerliste!E$5:E$98,Deltakerliste!H$5:H$98)</f>
        <v>4</v>
      </c>
      <c r="H78" s="592">
        <f>VLOOKUP(F78,Deltakerliste!P$6:T$84,G78,FALSE)</f>
        <v>1.8422000000000009</v>
      </c>
      <c r="I78" s="18"/>
      <c r="J78" s="18"/>
      <c r="K78" s="18"/>
      <c r="L78" s="600"/>
      <c r="M78" s="594"/>
      <c r="N78" s="724"/>
      <c r="O78" s="596"/>
    </row>
    <row r="79" spans="2:17" ht="21" thickBot="1" x14ac:dyDescent="0.3">
      <c r="B79" s="16">
        <f t="shared" si="7"/>
        <v>70</v>
      </c>
      <c r="C79" s="106" t="s">
        <v>144</v>
      </c>
      <c r="D79" s="107" t="s">
        <v>145</v>
      </c>
      <c r="E79" s="599" t="str">
        <f t="shared" si="8"/>
        <v>Bjørn Rindstad</v>
      </c>
      <c r="F79" s="192">
        <f>YEAR(I$5)-_xlfn.XLOOKUP(E79,Deltakerliste!E$5:E$98,Deltakerliste!I$5:I$98)</f>
        <v>74</v>
      </c>
      <c r="G79" s="192">
        <f>_xlfn.XLOOKUP(E79,Deltakerliste!E$5:E$98,Deltakerliste!H$5:H$98)</f>
        <v>2</v>
      </c>
      <c r="H79" s="592">
        <f>VLOOKUP(F79,Deltakerliste!P$6:T$84,G79,FALSE)</f>
        <v>1.569</v>
      </c>
      <c r="I79" s="18"/>
      <c r="J79" s="18"/>
      <c r="K79" s="18"/>
      <c r="L79" s="600"/>
      <c r="M79" s="594"/>
      <c r="N79" s="724"/>
      <c r="O79" s="596"/>
    </row>
    <row r="80" spans="2:17" ht="21" thickBot="1" x14ac:dyDescent="0.3">
      <c r="B80" s="16">
        <f t="shared" si="7"/>
        <v>71</v>
      </c>
      <c r="C80" s="111" t="s">
        <v>228</v>
      </c>
      <c r="D80" s="193" t="s">
        <v>229</v>
      </c>
      <c r="E80" s="599" t="str">
        <f t="shared" si="8"/>
        <v>May-LisRønning</v>
      </c>
      <c r="F80" s="192">
        <f>YEAR(I$5)-_xlfn.XLOOKUP(E80,Deltakerliste!E$5:E$98,Deltakerliste!I$5:I$98)</f>
        <v>55</v>
      </c>
      <c r="G80" s="192">
        <f>_xlfn.XLOOKUP(E80,Deltakerliste!E$5:E$98,Deltakerliste!H$5:H$98)</f>
        <v>4</v>
      </c>
      <c r="H80" s="592">
        <f>VLOOKUP(F80,Deltakerliste!P$6:T$84,G80,FALSE)</f>
        <v>1.5099999999999996</v>
      </c>
      <c r="I80" s="18"/>
      <c r="J80" s="18"/>
      <c r="K80" s="18"/>
      <c r="L80" s="600"/>
      <c r="M80" s="594"/>
      <c r="N80" s="724"/>
      <c r="O80" s="596"/>
    </row>
    <row r="81" spans="2:15" ht="21" thickBot="1" x14ac:dyDescent="0.3">
      <c r="B81" s="16">
        <f t="shared" si="7"/>
        <v>72</v>
      </c>
      <c r="C81" s="111" t="s">
        <v>147</v>
      </c>
      <c r="D81" s="193" t="s">
        <v>148</v>
      </c>
      <c r="E81" s="599" t="str">
        <f t="shared" si="8"/>
        <v>ViggoSchei</v>
      </c>
      <c r="F81" s="192">
        <f>YEAR(I$5)-_xlfn.XLOOKUP(E81,Deltakerliste!E$5:E$98,Deltakerliste!I$5:I$98)</f>
        <v>74</v>
      </c>
      <c r="G81" s="192">
        <f>_xlfn.XLOOKUP(E81,Deltakerliste!E$5:E$98,Deltakerliste!H$5:H$98)</f>
        <v>2</v>
      </c>
      <c r="H81" s="592">
        <f>VLOOKUP(F81,Deltakerliste!P$6:T$84,G81,FALSE)</f>
        <v>1.569</v>
      </c>
      <c r="I81" s="18"/>
      <c r="J81" s="132"/>
      <c r="K81" s="18"/>
      <c r="L81" s="600"/>
      <c r="M81" s="594"/>
      <c r="N81" s="724"/>
      <c r="O81" s="596"/>
    </row>
    <row r="82" spans="2:15" ht="21" thickBot="1" x14ac:dyDescent="0.3">
      <c r="B82" s="16">
        <f t="shared" si="7"/>
        <v>73</v>
      </c>
      <c r="C82" s="111" t="s">
        <v>298</v>
      </c>
      <c r="D82" s="108" t="s">
        <v>297</v>
      </c>
      <c r="E82" s="599" t="str">
        <f t="shared" si="8"/>
        <v>ØyvindSchjelderup</v>
      </c>
      <c r="F82" s="192">
        <f>YEAR(I$5)-_xlfn.XLOOKUP(E82,Deltakerliste!E$5:E$98,Deltakerliste!I$5:I$98)</f>
        <v>60</v>
      </c>
      <c r="G82" s="192">
        <f>_xlfn.XLOOKUP(E82,Deltakerliste!E$5:E$98,Deltakerliste!H$5:H$98)</f>
        <v>2</v>
      </c>
      <c r="H82" s="592">
        <f>VLOOKUP(F82,Deltakerliste!P$6:T$84,G82,FALSE)</f>
        <v>1.2000000000000002</v>
      </c>
      <c r="I82" s="18"/>
      <c r="J82" s="18"/>
      <c r="K82" s="18"/>
      <c r="L82" s="600"/>
      <c r="M82" s="594"/>
      <c r="N82" s="724"/>
      <c r="O82" s="596"/>
    </row>
    <row r="83" spans="2:15" ht="21" thickBot="1" x14ac:dyDescent="0.3">
      <c r="B83" s="16">
        <f t="shared" si="7"/>
        <v>74</v>
      </c>
      <c r="C83" s="111" t="s">
        <v>149</v>
      </c>
      <c r="D83" s="193" t="s">
        <v>150</v>
      </c>
      <c r="E83" s="599" t="str">
        <f t="shared" si="8"/>
        <v>BenteSkorge</v>
      </c>
      <c r="F83" s="192">
        <f>YEAR(I$5)-_xlfn.XLOOKUP(E83,Deltakerliste!E$5:E$98,Deltakerliste!I$5:I$98)</f>
        <v>66</v>
      </c>
      <c r="G83" s="192">
        <f>_xlfn.XLOOKUP(E83,Deltakerliste!E$5:E$98,Deltakerliste!H$5:H$98)</f>
        <v>4</v>
      </c>
      <c r="H83" s="592">
        <f>VLOOKUP(F83,Deltakerliste!P$6:T$84,G83,FALSE)</f>
        <v>1.8066000000000009</v>
      </c>
      <c r="I83" s="18"/>
      <c r="J83" s="132"/>
      <c r="K83" s="18"/>
      <c r="L83" s="600"/>
      <c r="M83" s="594"/>
      <c r="N83" s="724"/>
      <c r="O83" s="596"/>
    </row>
    <row r="84" spans="2:15" ht="21" thickBot="1" x14ac:dyDescent="0.3">
      <c r="B84" s="16">
        <f t="shared" si="7"/>
        <v>75</v>
      </c>
      <c r="C84" s="111" t="s">
        <v>155</v>
      </c>
      <c r="D84" s="193" t="s">
        <v>156</v>
      </c>
      <c r="E84" s="599" t="str">
        <f t="shared" si="8"/>
        <v>KjellrunSporild</v>
      </c>
      <c r="F84" s="192">
        <f>YEAR(I$5)-_xlfn.XLOOKUP(E84,Deltakerliste!E$5:E$98,Deltakerliste!I$5:I$98)</f>
        <v>70</v>
      </c>
      <c r="G84" s="192">
        <f>_xlfn.XLOOKUP(E84,Deltakerliste!E$5:E$98,Deltakerliste!H$5:H$98)</f>
        <v>4</v>
      </c>
      <c r="H84" s="592">
        <f>VLOOKUP(F84,Deltakerliste!P$6:T$84,G84,FALSE)</f>
        <v>1.9490000000000012</v>
      </c>
      <c r="I84" s="18"/>
      <c r="J84" s="132"/>
      <c r="K84" s="18"/>
      <c r="L84" s="600"/>
      <c r="M84" s="594"/>
      <c r="N84" s="724"/>
      <c r="O84" s="596"/>
    </row>
    <row r="85" spans="2:15" ht="21" thickBot="1" x14ac:dyDescent="0.3">
      <c r="B85" s="16">
        <f t="shared" si="7"/>
        <v>76</v>
      </c>
      <c r="C85" s="111" t="s">
        <v>232</v>
      </c>
      <c r="D85" s="133" t="s">
        <v>231</v>
      </c>
      <c r="E85" s="599" t="str">
        <f t="shared" si="8"/>
        <v>BeritSunnset</v>
      </c>
      <c r="F85" s="192">
        <f>YEAR(I$5)-_xlfn.XLOOKUP(E85,Deltakerliste!E$5:E$98,Deltakerliste!I$5:I$98)</f>
        <v>62</v>
      </c>
      <c r="G85" s="192">
        <f>_xlfn.XLOOKUP(E85,Deltakerliste!E$5:E$98,Deltakerliste!H$5:H$98)</f>
        <v>4</v>
      </c>
      <c r="H85" s="592">
        <f>VLOOKUP(F85,Deltakerliste!P$6:T$84,G85,FALSE)</f>
        <v>1.6834000000000005</v>
      </c>
      <c r="I85" s="18"/>
      <c r="J85" s="18"/>
      <c r="K85" s="18"/>
      <c r="L85" s="600"/>
      <c r="M85" s="594"/>
      <c r="N85" s="724"/>
      <c r="O85" s="596"/>
    </row>
    <row r="86" spans="2:15" ht="21" thickBot="1" x14ac:dyDescent="0.3">
      <c r="B86" s="16">
        <f t="shared" si="7"/>
        <v>77</v>
      </c>
      <c r="C86" s="111" t="s">
        <v>230</v>
      </c>
      <c r="D86" s="108" t="s">
        <v>231</v>
      </c>
      <c r="E86" s="599" t="str">
        <f t="shared" si="8"/>
        <v>TrineSunnset</v>
      </c>
      <c r="F86" s="192">
        <f>YEAR(I$5)-_xlfn.XLOOKUP(E86,Deltakerliste!E$5:E$98,Deltakerliste!I$5:I$98)</f>
        <v>62</v>
      </c>
      <c r="G86" s="192">
        <f>_xlfn.XLOOKUP(E86,Deltakerliste!E$5:E$98,Deltakerliste!H$5:H$98)</f>
        <v>4</v>
      </c>
      <c r="H86" s="592">
        <f>VLOOKUP(F86,Deltakerliste!P$6:T$84,G86,FALSE)</f>
        <v>1.6834000000000005</v>
      </c>
      <c r="I86" s="18"/>
      <c r="J86" s="18"/>
      <c r="K86" s="18"/>
      <c r="L86" s="600"/>
      <c r="M86" s="594"/>
      <c r="N86" s="724"/>
      <c r="O86" s="596"/>
    </row>
    <row r="87" spans="2:15" ht="21" thickBot="1" x14ac:dyDescent="0.3">
      <c r="B87" s="16">
        <f t="shared" si="7"/>
        <v>78</v>
      </c>
      <c r="C87" s="193" t="s">
        <v>161</v>
      </c>
      <c r="D87" s="108" t="s">
        <v>162</v>
      </c>
      <c r="E87" s="599" t="str">
        <f t="shared" si="8"/>
        <v>Nils OlavVennevik</v>
      </c>
      <c r="F87" s="192">
        <f>YEAR(I$5)-_xlfn.XLOOKUP(E87,Deltakerliste!E$5:E$98,Deltakerliste!I$5:I$98)</f>
        <v>77</v>
      </c>
      <c r="G87" s="192">
        <f>_xlfn.XLOOKUP(E87,Deltakerliste!E$5:E$98,Deltakerliste!H$5:H$98)</f>
        <v>2</v>
      </c>
      <c r="H87" s="592">
        <f>VLOOKUP(F87,Deltakerliste!P$6:T$84,G87,FALSE)</f>
        <v>1.7050000000000001</v>
      </c>
      <c r="I87" s="132"/>
      <c r="J87" s="18"/>
      <c r="K87" s="18"/>
      <c r="L87" s="600"/>
      <c r="M87" s="594"/>
      <c r="N87" s="724"/>
      <c r="O87" s="596"/>
    </row>
    <row r="88" spans="2:15" ht="21" thickBot="1" x14ac:dyDescent="0.3">
      <c r="B88" s="16">
        <f t="shared" si="7"/>
        <v>79</v>
      </c>
      <c r="C88" s="193" t="s">
        <v>265</v>
      </c>
      <c r="D88" s="108" t="s">
        <v>266</v>
      </c>
      <c r="E88" s="599" t="str">
        <f t="shared" si="8"/>
        <v>ØysteinWiggen</v>
      </c>
      <c r="F88" s="192">
        <f>YEAR(I$5)-_xlfn.XLOOKUP(E88,Deltakerliste!E$5:E$98,Deltakerliste!I$5:I$98)</f>
        <v>59</v>
      </c>
      <c r="G88" s="192">
        <f>_xlfn.XLOOKUP(E88,Deltakerliste!E$5:E$98,Deltakerliste!H$5:H$98)</f>
        <v>2</v>
      </c>
      <c r="H88" s="592">
        <f>VLOOKUP(F88,Deltakerliste!P$6:T$84,G88,FALSE)</f>
        <v>1.1860000000000002</v>
      </c>
      <c r="I88" s="18"/>
      <c r="J88" s="132"/>
      <c r="K88" s="18"/>
      <c r="L88" s="600"/>
      <c r="M88" s="594"/>
      <c r="N88" s="724"/>
      <c r="O88" s="596"/>
    </row>
    <row r="89" spans="2:15" ht="21" thickBot="1" x14ac:dyDescent="0.3">
      <c r="B89" s="16">
        <f t="shared" si="7"/>
        <v>80</v>
      </c>
      <c r="C89" s="193" t="s">
        <v>307</v>
      </c>
      <c r="D89" s="108" t="s">
        <v>308</v>
      </c>
      <c r="E89" s="599" t="str">
        <f t="shared" si="8"/>
        <v>RolfWærnes</v>
      </c>
      <c r="F89" s="192">
        <f>YEAR(I$5)-_xlfn.XLOOKUP(E89,Deltakerliste!E$5:E$98,Deltakerliste!I$5:I$98)</f>
        <v>74</v>
      </c>
      <c r="G89" s="192">
        <f>_xlfn.XLOOKUP(E89,Deltakerliste!E$5:E$98,Deltakerliste!H$5:H$98)</f>
        <v>2</v>
      </c>
      <c r="H89" s="592">
        <f>VLOOKUP(F89,Deltakerliste!P$6:T$84,G89,FALSE)</f>
        <v>1.569</v>
      </c>
      <c r="I89" s="18"/>
      <c r="J89" s="132"/>
      <c r="K89" s="18"/>
      <c r="L89" s="790"/>
      <c r="M89" s="594"/>
      <c r="N89" s="724"/>
      <c r="O89" s="596"/>
    </row>
    <row r="90" spans="2:15" ht="21" thickBot="1" x14ac:dyDescent="0.3">
      <c r="B90" s="16">
        <f t="shared" si="7"/>
        <v>81</v>
      </c>
      <c r="C90" s="193" t="s">
        <v>166</v>
      </c>
      <c r="D90" s="108" t="s">
        <v>167</v>
      </c>
      <c r="E90" s="599" t="str">
        <f t="shared" si="8"/>
        <v>GunnarØsterbø</v>
      </c>
      <c r="F90" s="192">
        <f>YEAR(I$5)-_xlfn.XLOOKUP(E90,Deltakerliste!E$5:E$98,Deltakerliste!I$5:I$98)</f>
        <v>86</v>
      </c>
      <c r="G90" s="192">
        <f>_xlfn.XLOOKUP(E90,Deltakerliste!E$5:E$98,Deltakerliste!H$5:H$98)</f>
        <v>2</v>
      </c>
      <c r="H90" s="592">
        <f>VLOOKUP(F90,Deltakerliste!P$6:T$84,G90,FALSE)</f>
        <v>2.3089999999999997</v>
      </c>
      <c r="I90" s="18"/>
      <c r="J90" s="132"/>
      <c r="K90" s="18"/>
      <c r="L90" s="791"/>
      <c r="M90" s="594"/>
      <c r="N90" s="792"/>
      <c r="O90" s="596"/>
    </row>
    <row r="91" spans="2:15" ht="21" thickBot="1" x14ac:dyDescent="0.3">
      <c r="B91" s="16">
        <f t="shared" si="7"/>
        <v>82</v>
      </c>
      <c r="C91" s="193" t="s">
        <v>168</v>
      </c>
      <c r="D91" s="108" t="s">
        <v>169</v>
      </c>
      <c r="E91" s="599" t="str">
        <f t="shared" si="8"/>
        <v>SteinØvstedal</v>
      </c>
      <c r="F91" s="192">
        <f>YEAR(I$5)-_xlfn.XLOOKUP(E91,Deltakerliste!E$5:E$98,Deltakerliste!I$5:I$98)</f>
        <v>74</v>
      </c>
      <c r="G91" s="192">
        <f>_xlfn.XLOOKUP(E91,Deltakerliste!E$5:E$98,Deltakerliste!H$5:H$98)</f>
        <v>2</v>
      </c>
      <c r="H91" s="592">
        <f>VLOOKUP(F91,Deltakerliste!P$6:T$84,G91,FALSE)</f>
        <v>1.569</v>
      </c>
      <c r="I91" s="132"/>
      <c r="J91" s="132"/>
      <c r="K91" s="18"/>
      <c r="L91" s="725"/>
      <c r="M91" s="717"/>
      <c r="N91" s="726"/>
      <c r="O91" s="719"/>
    </row>
    <row r="100" spans="4:11" ht="17" thickBot="1" x14ac:dyDescent="0.25"/>
    <row r="101" spans="4:11" ht="21" thickTop="1" thickBot="1" x14ac:dyDescent="0.3">
      <c r="D101" s="646" t="s">
        <v>288</v>
      </c>
      <c r="E101" s="647"/>
      <c r="F101" s="666"/>
      <c r="G101" s="666"/>
      <c r="H101" s="666"/>
      <c r="I101" s="648" t="s">
        <v>195</v>
      </c>
      <c r="J101" s="648" t="s">
        <v>196</v>
      </c>
      <c r="K101" s="649" t="s">
        <v>197</v>
      </c>
    </row>
    <row r="102" spans="4:11" ht="20" x14ac:dyDescent="0.25">
      <c r="D102" s="634" t="s">
        <v>172</v>
      </c>
      <c r="E102" s="320"/>
      <c r="F102" s="208"/>
      <c r="G102" s="208"/>
      <c r="H102" s="208"/>
      <c r="I102" s="635">
        <f>COUNT(I10:I94)+COUNTIF(I10:I94,"Brutt")+COUNTIF(I10:I94,"(*)")</f>
        <v>17</v>
      </c>
      <c r="J102" s="635">
        <f>COUNT(J10:J94)+COUNTIF(J10:J94,"Brutt")+COUNTIF(J10:J94,"(*)")</f>
        <v>14</v>
      </c>
      <c r="K102" s="636">
        <f>I102+J102</f>
        <v>31</v>
      </c>
    </row>
    <row r="103" spans="4:11" ht="19" x14ac:dyDescent="0.25">
      <c r="D103" s="637" t="s">
        <v>174</v>
      </c>
      <c r="E103" s="320"/>
      <c r="F103" s="208"/>
      <c r="G103" s="208"/>
      <c r="H103" s="208"/>
      <c r="I103" s="635">
        <f>COUNT(I10:I94)</f>
        <v>16</v>
      </c>
      <c r="J103" s="635">
        <f>COUNT(J10:J94)</f>
        <v>13</v>
      </c>
      <c r="K103" s="636">
        <f t="shared" ref="K103" si="9">I103+J103</f>
        <v>29</v>
      </c>
    </row>
    <row r="104" spans="4:11" ht="19" x14ac:dyDescent="0.25">
      <c r="D104" s="637" t="s">
        <v>173</v>
      </c>
      <c r="E104" s="320"/>
      <c r="F104" s="208"/>
      <c r="G104" s="208"/>
      <c r="H104" s="208"/>
      <c r="I104" s="208"/>
      <c r="J104" s="208"/>
      <c r="K104" s="636">
        <f>K102+COUNTIF(L10:L94,"Arr")+COUNTIF(L10:L94,"Løype")</f>
        <v>34</v>
      </c>
    </row>
    <row r="105" spans="4:11" ht="19" x14ac:dyDescent="0.25">
      <c r="D105" s="637" t="s">
        <v>341</v>
      </c>
      <c r="E105" s="320"/>
      <c r="F105" s="208"/>
      <c r="G105" s="208"/>
      <c r="H105" s="208"/>
      <c r="I105" s="208"/>
      <c r="J105" s="208"/>
      <c r="K105" s="638">
        <f>IF(SUM(L10:L94)=0," ",AVERAGEIF(M10:M94,"&gt;0",F10:F94))</f>
        <v>75.529411764705884</v>
      </c>
    </row>
    <row r="106" spans="4:11" ht="19" x14ac:dyDescent="0.25">
      <c r="D106" s="637" t="s">
        <v>296</v>
      </c>
      <c r="E106" s="320"/>
      <c r="F106" s="208"/>
      <c r="G106" s="208"/>
      <c r="H106" s="208"/>
      <c r="I106" s="208"/>
      <c r="J106" s="208"/>
      <c r="K106" s="638">
        <f>AVERAGE(I8:J8)</f>
        <v>2.1500000000000004</v>
      </c>
    </row>
    <row r="107" spans="4:11" ht="19" x14ac:dyDescent="0.25">
      <c r="D107" s="637" t="s">
        <v>176</v>
      </c>
      <c r="E107" s="320"/>
      <c r="F107" s="208"/>
      <c r="G107" s="208"/>
      <c r="H107" s="208"/>
      <c r="I107" s="112">
        <f>I8*I103</f>
        <v>25.6</v>
      </c>
      <c r="J107" s="112">
        <f>J8*J103</f>
        <v>35.1</v>
      </c>
      <c r="K107" s="638">
        <f>I107+J107</f>
        <v>60.7</v>
      </c>
    </row>
    <row r="108" spans="4:11" ht="19" x14ac:dyDescent="0.25">
      <c r="D108" s="639" t="s">
        <v>286</v>
      </c>
      <c r="E108" s="320"/>
      <c r="F108" s="208"/>
      <c r="G108" s="208"/>
      <c r="H108" s="208"/>
      <c r="I108" s="103">
        <f>IF(SUM(I10:I94)=0," ",AVERAGE(I10:I94))</f>
        <v>1.9136284722222226E-2</v>
      </c>
      <c r="J108" s="103">
        <f>IF(SUM(J10:J94)=0," ",AVERAGE(J10:J94))</f>
        <v>2.6198361823361823E-2</v>
      </c>
      <c r="K108" s="640">
        <f>IF(SUM(I10:J94)=0," ",AVERAGE(I10:J94))</f>
        <v>2.2302043422733078E-2</v>
      </c>
    </row>
    <row r="109" spans="4:11" ht="20" thickBot="1" x14ac:dyDescent="0.3">
      <c r="D109" s="641" t="s">
        <v>287</v>
      </c>
      <c r="E109" s="642"/>
      <c r="F109" s="644"/>
      <c r="G109" s="644"/>
      <c r="H109" s="644"/>
      <c r="I109" s="643"/>
      <c r="J109" s="644"/>
      <c r="K109" s="645">
        <f>MIN(L10:L94)</f>
        <v>7.4245541838134418E-3</v>
      </c>
    </row>
    <row r="110" spans="4:11" ht="17" thickTop="1" x14ac:dyDescent="0.2"/>
  </sheetData>
  <autoFilter ref="C9:O91" xr:uid="{0C47270B-D1AE-2745-AA22-87A5FF48A210}">
    <sortState xmlns:xlrd2="http://schemas.microsoft.com/office/spreadsheetml/2017/richdata2" ref="C10:O91">
      <sortCondition ref="N9:N91"/>
    </sortState>
  </autoFilter>
  <mergeCells count="3">
    <mergeCell ref="W7:X7"/>
    <mergeCell ref="S8:U8"/>
    <mergeCell ref="W8:X8"/>
  </mergeCells>
  <pageMargins left="0.7" right="0.7" top="0.75" bottom="0.75" header="0.3" footer="0.3"/>
  <pageSetup paperSize="9" orientation="portrait" horizontalDpi="0" verticalDpi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CA3F0-A057-7E4E-81E2-400B0ADE4916}">
  <dimension ref="B1:AC110"/>
  <sheetViews>
    <sheetView topLeftCell="A54" workbookViewId="0">
      <selection activeCell="N106" sqref="N106"/>
    </sheetView>
  </sheetViews>
  <sheetFormatPr baseColWidth="10" defaultColWidth="10.83203125" defaultRowHeight="16" x14ac:dyDescent="0.2"/>
  <cols>
    <col min="3" max="3" width="14.5" customWidth="1"/>
    <col min="4" max="4" width="20.1640625" customWidth="1"/>
    <col min="5" max="5" width="20.1640625" hidden="1" customWidth="1"/>
    <col min="6" max="6" width="14.5" style="15" customWidth="1"/>
    <col min="7" max="7" width="14.5" style="15" hidden="1" customWidth="1"/>
    <col min="8" max="8" width="14" style="15" customWidth="1"/>
    <col min="9" max="10" width="19.1640625" style="15" customWidth="1"/>
    <col min="11" max="11" width="17.6640625" style="15" customWidth="1"/>
    <col min="12" max="12" width="10.83203125" style="15"/>
    <col min="14" max="14" width="10.83203125" style="15"/>
    <col min="18" max="18" width="12.5" customWidth="1"/>
    <col min="19" max="19" width="13.5" customWidth="1"/>
    <col min="22" max="22" width="1.83203125" customWidth="1"/>
    <col min="23" max="23" width="15.83203125" customWidth="1"/>
    <col min="24" max="24" width="11" customWidth="1"/>
  </cols>
  <sheetData>
    <row r="1" spans="2:29" ht="8" customHeight="1" x14ac:dyDescent="0.2"/>
    <row r="2" spans="2:29" ht="8" customHeight="1" x14ac:dyDescent="0.2"/>
    <row r="5" spans="2:29" ht="26" x14ac:dyDescent="0.3">
      <c r="B5" s="21" t="s">
        <v>208</v>
      </c>
      <c r="C5" s="245" t="s">
        <v>42</v>
      </c>
      <c r="F5" s="667"/>
      <c r="G5" s="667"/>
      <c r="H5" s="671" t="s">
        <v>189</v>
      </c>
      <c r="I5" s="670">
        <f>'Løp 10'!I5+7</f>
        <v>46007</v>
      </c>
    </row>
    <row r="6" spans="2:29" ht="17" thickBot="1" x14ac:dyDescent="0.25">
      <c r="B6" s="15"/>
    </row>
    <row r="7" spans="2:29" ht="59" customHeight="1" thickBot="1" x14ac:dyDescent="0.35">
      <c r="B7" s="12" t="s">
        <v>194</v>
      </c>
      <c r="C7" s="662" t="s">
        <v>57</v>
      </c>
      <c r="D7" s="391" t="s">
        <v>58</v>
      </c>
      <c r="E7" s="663"/>
      <c r="F7" s="663" t="s">
        <v>234</v>
      </c>
      <c r="G7" s="391" t="s">
        <v>280</v>
      </c>
      <c r="H7" s="391" t="s">
        <v>235</v>
      </c>
      <c r="I7" s="391" t="s">
        <v>302</v>
      </c>
      <c r="J7" s="391" t="s">
        <v>303</v>
      </c>
      <c r="K7" s="391" t="s">
        <v>192</v>
      </c>
      <c r="L7" s="194" t="s">
        <v>209</v>
      </c>
      <c r="M7" s="392" t="s">
        <v>55</v>
      </c>
      <c r="N7" s="393" t="s">
        <v>242</v>
      </c>
      <c r="O7" s="393" t="s">
        <v>240</v>
      </c>
      <c r="Q7" s="319"/>
      <c r="R7" s="319"/>
      <c r="S7" s="755" t="str">
        <f>B5</f>
        <v>Løp 11</v>
      </c>
      <c r="T7" s="754" t="str">
        <f>C5</f>
        <v>Sverresborg</v>
      </c>
      <c r="U7" s="730"/>
      <c r="V7" s="730"/>
      <c r="W7" s="941"/>
      <c r="X7" s="941"/>
    </row>
    <row r="8" spans="2:29" ht="23" customHeight="1" thickTop="1" thickBot="1" x14ac:dyDescent="0.35">
      <c r="B8" s="22"/>
      <c r="C8" s="394"/>
      <c r="D8" s="395"/>
      <c r="E8" s="597"/>
      <c r="F8" s="668"/>
      <c r="G8" s="668"/>
      <c r="H8" s="664"/>
      <c r="I8" s="391">
        <v>2.2000000000000002</v>
      </c>
      <c r="J8" s="789">
        <v>3.2</v>
      </c>
      <c r="K8" s="391"/>
      <c r="N8" s="720"/>
      <c r="O8" s="390"/>
      <c r="S8" s="942" t="s">
        <v>312</v>
      </c>
      <c r="T8" s="943"/>
      <c r="U8" s="944"/>
      <c r="V8" s="779"/>
      <c r="W8" s="945" t="s">
        <v>313</v>
      </c>
      <c r="X8" s="940"/>
      <c r="AB8" s="836" t="s">
        <v>361</v>
      </c>
      <c r="AC8" s="827"/>
    </row>
    <row r="9" spans="2:29" ht="21" thickBot="1" x14ac:dyDescent="0.3">
      <c r="B9" s="22"/>
      <c r="C9" s="109"/>
      <c r="D9" s="105"/>
      <c r="E9" s="598"/>
      <c r="F9" s="669"/>
      <c r="G9" s="669"/>
      <c r="H9" s="665"/>
      <c r="I9" s="12"/>
      <c r="J9" s="12"/>
      <c r="K9" s="12"/>
      <c r="N9" s="722"/>
      <c r="O9" s="200"/>
      <c r="Q9" s="110"/>
      <c r="S9" s="731"/>
      <c r="T9" s="727" t="s">
        <v>311</v>
      </c>
      <c r="U9" s="750" t="s">
        <v>55</v>
      </c>
      <c r="V9" s="780"/>
      <c r="W9" s="774"/>
      <c r="X9" s="732" t="s">
        <v>55</v>
      </c>
      <c r="AB9" s="834" t="s">
        <v>234</v>
      </c>
      <c r="AC9" s="835" t="s">
        <v>362</v>
      </c>
    </row>
    <row r="10" spans="2:29" ht="21" thickBot="1" x14ac:dyDescent="0.3">
      <c r="B10" s="16">
        <f t="shared" ref="B10:B73" si="0">B9+1</f>
        <v>1</v>
      </c>
      <c r="C10" s="106" t="s">
        <v>78</v>
      </c>
      <c r="D10" s="107" t="s">
        <v>79</v>
      </c>
      <c r="E10" s="599" t="str">
        <f t="shared" ref="E10:E41" si="1">_xlfn.CONCAT(C10:D10)</f>
        <v>LeifEngen</v>
      </c>
      <c r="F10" s="192">
        <f>YEAR(I$5)-_xlfn.XLOOKUP(E10,Deltakerliste!E$5:E$98,Deltakerliste!I$5:I$98)</f>
        <v>84</v>
      </c>
      <c r="G10" s="192">
        <f>_xlfn.XLOOKUP(E10,Deltakerliste!E$5:E$98,Deltakerliste!H$5:H$98)</f>
        <v>2</v>
      </c>
      <c r="H10" s="592">
        <f>VLOOKUP(F10,Deltakerliste!P$6:T$84,G10,FALSE)</f>
        <v>2.1509999999999998</v>
      </c>
      <c r="I10" s="86">
        <v>2.2025462962962962E-2</v>
      </c>
      <c r="J10" s="86"/>
      <c r="K10" s="13"/>
      <c r="L10" s="600">
        <f t="shared" ref="L10:L51" si="2">IF(OR(I10="Arr",J10="Arr",K10="Arr"),"Arr",IF(OR(I10="Brutt",J10="Brutt",K10="Brutt"),"Brutt",IF(OR(I10="Løype",J10="Løype",K10="Løype"),"Løype",IF(I10&gt;0,I10/I$8,J10/J$8))))</f>
        <v>1.0011574074074072E-2</v>
      </c>
      <c r="M10" s="594">
        <f>IF(L10="Løype",Poengsammendrag!$F$2,IF(L10="Arr",Poengsammendrag!$F$3,IF(L10="Brutt",50,IF(L10="Disk",50,ROUND(MAXA(100*(MIN(L$10:L$89)/L10),50),0)))))</f>
        <v>73</v>
      </c>
      <c r="N10" s="724">
        <f t="shared" ref="N10:N51" si="3">IF(L10="Arr","Arr",IF(L10="Brutt","Brutt",IF(L10="Løype","Løype",L10/H10)))</f>
        <v>4.6543812524751614E-3</v>
      </c>
      <c r="O10" s="596">
        <f>IF(N10="Løype",Poengsammendrag!$F$2,IF(N10="Arr",Poengsammendrag!$F$3,IF(N10="Brutt",50,IF(N10="Disk",50,ROUND(MAXA(100*(MIN(N$10:N$89)/N10),50),0)))))</f>
        <v>100</v>
      </c>
      <c r="Q10" s="672"/>
      <c r="R10" s="672"/>
      <c r="S10" s="802" t="s">
        <v>126</v>
      </c>
      <c r="T10" s="734">
        <v>7.3278356481481476E-3</v>
      </c>
      <c r="U10" s="751">
        <v>100</v>
      </c>
      <c r="V10" s="781"/>
      <c r="W10" s="775" t="s">
        <v>338</v>
      </c>
      <c r="X10" s="739">
        <v>100</v>
      </c>
      <c r="AB10" s="832">
        <v>55</v>
      </c>
      <c r="AC10" s="833">
        <f t="shared" ref="AC10:AC50" si="4">COUNTIFS(F$10:F$95,AB10,M$10:M$95,"&gt;0")</f>
        <v>0</v>
      </c>
    </row>
    <row r="11" spans="2:29" ht="21" customHeight="1" thickBot="1" x14ac:dyDescent="0.3">
      <c r="B11" s="16">
        <f t="shared" si="0"/>
        <v>2</v>
      </c>
      <c r="C11" s="106" t="s">
        <v>126</v>
      </c>
      <c r="D11" s="107" t="s">
        <v>127</v>
      </c>
      <c r="E11" s="599" t="str">
        <f t="shared" si="1"/>
        <v>ArneMikkelsen</v>
      </c>
      <c r="F11" s="192">
        <f>YEAR(I$5)-_xlfn.XLOOKUP(E11,Deltakerliste!E$5:E$98,Deltakerliste!I$5:I$98)</f>
        <v>72</v>
      </c>
      <c r="G11" s="192">
        <f>_xlfn.XLOOKUP(E11,Deltakerliste!E$5:E$98,Deltakerliste!H$5:H$98)</f>
        <v>2</v>
      </c>
      <c r="H11" s="592">
        <f>VLOOKUP(F11,Deltakerliste!P$6:T$84,G11,FALSE)</f>
        <v>1.4969999999999999</v>
      </c>
      <c r="I11" s="13"/>
      <c r="J11" s="13">
        <v>2.3449074074074074E-2</v>
      </c>
      <c r="K11" s="13"/>
      <c r="L11" s="600">
        <f t="shared" si="2"/>
        <v>7.3278356481481476E-3</v>
      </c>
      <c r="M11" s="594">
        <f>IF(L11="Løype",Poengsammendrag!$F$2,IF(L11="Arr",Poengsammendrag!$F$3,IF(L11="Brutt",50,IF(L11="Disk",50,ROUND(MAXA(100*(MIN(L$10:L$89)/L11),50),0)))))</f>
        <v>100</v>
      </c>
      <c r="N11" s="724">
        <f t="shared" si="3"/>
        <v>4.8950137930181348E-3</v>
      </c>
      <c r="O11" s="596">
        <f>IF(N11="Løype",Poengsammendrag!$F$2,IF(N11="Arr",Poengsammendrag!$F$3,IF(N11="Brutt",50,IF(N11="Disk",50,ROUND(MAXA(100*(MIN(N$10:N$89)/N11),50),0)))))</f>
        <v>95</v>
      </c>
      <c r="Q11" s="672"/>
      <c r="R11" s="672"/>
      <c r="S11" s="803" t="s">
        <v>368</v>
      </c>
      <c r="T11" s="736">
        <v>7.4110243055555544E-3</v>
      </c>
      <c r="U11" s="752">
        <v>99</v>
      </c>
      <c r="V11" s="781"/>
      <c r="W11" s="776" t="s">
        <v>126</v>
      </c>
      <c r="X11" s="740">
        <v>95</v>
      </c>
      <c r="AB11" s="828">
        <f>AB10+1</f>
        <v>56</v>
      </c>
      <c r="AC11" s="829">
        <f t="shared" si="4"/>
        <v>0</v>
      </c>
    </row>
    <row r="12" spans="2:29" ht="21" customHeight="1" thickBot="1" x14ac:dyDescent="0.3">
      <c r="B12" s="16">
        <f t="shared" si="0"/>
        <v>3</v>
      </c>
      <c r="C12" s="106" t="s">
        <v>64</v>
      </c>
      <c r="D12" s="107" t="s">
        <v>65</v>
      </c>
      <c r="E12" s="599" t="str">
        <f t="shared" si="1"/>
        <v>BjørnBerger</v>
      </c>
      <c r="F12" s="192">
        <f>YEAR(I$5)-_xlfn.XLOOKUP(E12,Deltakerliste!E$5:E$98,Deltakerliste!I$5:I$98)</f>
        <v>74</v>
      </c>
      <c r="G12" s="192">
        <f>_xlfn.XLOOKUP(E12,Deltakerliste!E$5:E$98,Deltakerliste!H$5:H$98)</f>
        <v>2</v>
      </c>
      <c r="H12" s="592">
        <f>VLOOKUP(F12,Deltakerliste!P$6:T$84,G12,FALSE)</f>
        <v>1.569</v>
      </c>
      <c r="I12" s="13"/>
      <c r="J12" s="13">
        <v>2.4826388888888887E-2</v>
      </c>
      <c r="K12" s="19"/>
      <c r="L12" s="600">
        <f t="shared" si="2"/>
        <v>7.7582465277777771E-3</v>
      </c>
      <c r="M12" s="594">
        <f>IF(L12="Løype",Poengsammendrag!$F$2,IF(L12="Arr",Poengsammendrag!$F$3,IF(L12="Brutt",50,IF(L12="Disk",50,ROUND(MAXA(100*(MIN(L$10:L$89)/L12),50),0)))))</f>
        <v>94</v>
      </c>
      <c r="N12" s="724">
        <f t="shared" si="3"/>
        <v>4.9447077933574106E-3</v>
      </c>
      <c r="O12" s="596">
        <f>IF(N12="Løype",Poengsammendrag!$F$2,IF(N12="Arr",Poengsammendrag!$F$3,IF(N12="Brutt",50,IF(N12="Disk",50,ROUND(MAXA(100*(MIN(N$10:N$89)/N12),50),0)))))</f>
        <v>94</v>
      </c>
      <c r="Q12" s="672"/>
      <c r="R12" s="672"/>
      <c r="S12" s="803" t="s">
        <v>380</v>
      </c>
      <c r="T12" s="736">
        <v>7.7582465277777771E-3</v>
      </c>
      <c r="U12" s="752">
        <v>94</v>
      </c>
      <c r="V12" s="781"/>
      <c r="W12" s="776" t="s">
        <v>380</v>
      </c>
      <c r="X12" s="740">
        <v>94</v>
      </c>
      <c r="AB12" s="828">
        <f t="shared" ref="AB12:AB50" si="5">AB11+1</f>
        <v>57</v>
      </c>
      <c r="AC12" s="829">
        <f t="shared" si="4"/>
        <v>0</v>
      </c>
    </row>
    <row r="13" spans="2:29" ht="21" customHeight="1" thickBot="1" x14ac:dyDescent="0.3">
      <c r="B13" s="16">
        <f t="shared" si="0"/>
        <v>4</v>
      </c>
      <c r="C13" s="106" t="s">
        <v>116</v>
      </c>
      <c r="D13" s="107" t="s">
        <v>165</v>
      </c>
      <c r="E13" s="599" t="str">
        <f t="shared" si="1"/>
        <v>AndersWaage</v>
      </c>
      <c r="F13" s="192">
        <f>YEAR(I$5)-_xlfn.XLOOKUP(E13,Deltakerliste!E$5:E$98,Deltakerliste!I$5:I$98)</f>
        <v>77</v>
      </c>
      <c r="G13" s="192">
        <f>_xlfn.XLOOKUP(E13,Deltakerliste!E$5:E$98,Deltakerliste!H$5:H$98)</f>
        <v>2</v>
      </c>
      <c r="H13" s="592">
        <f>VLOOKUP(F13,Deltakerliste!P$6:T$84,G13,FALSE)</f>
        <v>1.7050000000000001</v>
      </c>
      <c r="I13" s="18"/>
      <c r="J13" s="132">
        <v>2.7060185185185184E-2</v>
      </c>
      <c r="K13" s="18"/>
      <c r="L13" s="600">
        <f t="shared" si="2"/>
        <v>8.4563078703703692E-3</v>
      </c>
      <c r="M13" s="594">
        <f>IF(L13="Løype",Poengsammendrag!$F$2,IF(L13="Arr",Poengsammendrag!$F$3,IF(L13="Brutt",50,IF(L13="Disk",50,ROUND(MAXA(100*(MIN(L$10:L$89)/L13),50),0)))))</f>
        <v>87</v>
      </c>
      <c r="N13" s="724">
        <f t="shared" si="3"/>
        <v>4.9597113609210373E-3</v>
      </c>
      <c r="O13" s="596">
        <f>IF(N13="Løype",Poengsammendrag!$F$2,IF(N13="Arr",Poengsammendrag!$F$3,IF(N13="Brutt",50,IF(N13="Disk",50,ROUND(MAXA(100*(MIN(N$10:N$89)/N13),50),0)))))</f>
        <v>94</v>
      </c>
      <c r="Q13" s="672"/>
      <c r="R13" s="672"/>
      <c r="S13" s="803" t="s">
        <v>120</v>
      </c>
      <c r="T13" s="736">
        <v>7.8739872685185171E-3</v>
      </c>
      <c r="U13" s="752">
        <v>93</v>
      </c>
      <c r="V13" s="781"/>
      <c r="W13" s="776" t="s">
        <v>314</v>
      </c>
      <c r="X13" s="740">
        <v>94</v>
      </c>
      <c r="AB13" s="828">
        <f t="shared" si="5"/>
        <v>58</v>
      </c>
      <c r="AC13" s="829">
        <f t="shared" si="4"/>
        <v>0</v>
      </c>
    </row>
    <row r="14" spans="2:29" ht="21" customHeight="1" thickBot="1" x14ac:dyDescent="0.3">
      <c r="B14" s="16">
        <f t="shared" si="0"/>
        <v>5</v>
      </c>
      <c r="C14" s="106" t="s">
        <v>96</v>
      </c>
      <c r="D14" s="107" t="s">
        <v>97</v>
      </c>
      <c r="E14" s="599" t="str">
        <f t="shared" si="1"/>
        <v>StigHaugskott</v>
      </c>
      <c r="F14" s="192">
        <f>YEAR(I$5)-_xlfn.XLOOKUP(E14,Deltakerliste!E$5:E$98,Deltakerliste!I$5:I$98)</f>
        <v>86</v>
      </c>
      <c r="G14" s="192">
        <f>_xlfn.XLOOKUP(E14,Deltakerliste!E$5:E$98,Deltakerliste!H$5:H$98)</f>
        <v>2</v>
      </c>
      <c r="H14" s="592">
        <f>VLOOKUP(F14,Deltakerliste!P$6:T$84,G14,FALSE)</f>
        <v>2.3089999999999997</v>
      </c>
      <c r="I14" s="86">
        <v>2.5277777777777777E-2</v>
      </c>
      <c r="J14" s="86"/>
      <c r="K14" s="86"/>
      <c r="L14" s="600">
        <f t="shared" si="2"/>
        <v>1.1489898989898989E-2</v>
      </c>
      <c r="M14" s="594">
        <f>IF(L14="Løype",Poengsammendrag!$F$2,IF(L14="Arr",Poengsammendrag!$F$3,IF(L14="Brutt",50,IF(L14="Disk",50,ROUND(MAXA(100*(MIN(L$10:L$89)/L14),50),0)))))</f>
        <v>64</v>
      </c>
      <c r="N14" s="724">
        <f t="shared" si="3"/>
        <v>4.9761364183191822E-3</v>
      </c>
      <c r="O14" s="596">
        <f>IF(N14="Løype",Poengsammendrag!$F$2,IF(N14="Arr",Poengsammendrag!$F$3,IF(N14="Brutt",50,IF(N14="Disk",50,ROUND(MAXA(100*(MIN(N$10:N$89)/N14),50),0)))))</f>
        <v>94</v>
      </c>
      <c r="Q14" s="672"/>
      <c r="R14" s="672"/>
      <c r="S14" s="803" t="s">
        <v>134</v>
      </c>
      <c r="T14" s="736">
        <v>7.9535590277777773E-3</v>
      </c>
      <c r="U14" s="752">
        <v>92</v>
      </c>
      <c r="V14" s="781"/>
      <c r="W14" s="776" t="s">
        <v>96</v>
      </c>
      <c r="X14" s="740">
        <v>94</v>
      </c>
      <c r="AB14" s="828">
        <f t="shared" si="5"/>
        <v>59</v>
      </c>
      <c r="AC14" s="829">
        <f t="shared" si="4"/>
        <v>1</v>
      </c>
    </row>
    <row r="15" spans="2:29" ht="21" customHeight="1" thickBot="1" x14ac:dyDescent="0.3">
      <c r="B15" s="16">
        <f t="shared" si="0"/>
        <v>6</v>
      </c>
      <c r="C15" s="106" t="s">
        <v>159</v>
      </c>
      <c r="D15" s="107" t="s">
        <v>160</v>
      </c>
      <c r="E15" s="599" t="str">
        <f t="shared" si="1"/>
        <v>EigilSørli</v>
      </c>
      <c r="F15" s="192">
        <f>YEAR(I$5)-_xlfn.XLOOKUP(E15,Deltakerliste!E$5:E$98,Deltakerliste!I$5:I$98)</f>
        <v>85</v>
      </c>
      <c r="G15" s="192">
        <f>_xlfn.XLOOKUP(E15,Deltakerliste!E$5:E$98,Deltakerliste!H$5:H$98)</f>
        <v>2</v>
      </c>
      <c r="H15" s="592">
        <f>VLOOKUP(F15,Deltakerliste!P$6:T$84,G15,FALSE)</f>
        <v>2.2249999999999996</v>
      </c>
      <c r="I15" s="132">
        <v>2.449074074074074E-2</v>
      </c>
      <c r="J15" s="18"/>
      <c r="K15" s="18"/>
      <c r="L15" s="600">
        <f t="shared" si="2"/>
        <v>1.113215488215488E-2</v>
      </c>
      <c r="M15" s="594">
        <f>IF(L15="Løype",Poengsammendrag!$F$2,IF(L15="Arr",Poengsammendrag!$F$3,IF(L15="Brutt",50,IF(L15="Disk",50,ROUND(MAXA(100*(MIN(L$10:L$89)/L15),50),0)))))</f>
        <v>66</v>
      </c>
      <c r="N15" s="724">
        <f t="shared" si="3"/>
        <v>5.0032156773729807E-3</v>
      </c>
      <c r="O15" s="596">
        <f>IF(N15="Løype",Poengsammendrag!$F$2,IF(N15="Arr",Poengsammendrag!$F$3,IF(N15="Brutt",50,IF(N15="Disk",50,ROUND(MAXA(100*(MIN(N$10:N$89)/N15),50),0)))))</f>
        <v>93</v>
      </c>
      <c r="Q15" s="672"/>
      <c r="R15" s="672"/>
      <c r="S15" s="803" t="s">
        <v>222</v>
      </c>
      <c r="T15" s="736">
        <v>8.1090856481481483E-3</v>
      </c>
      <c r="U15" s="752">
        <v>90</v>
      </c>
      <c r="V15" s="781"/>
      <c r="W15" s="776" t="s">
        <v>357</v>
      </c>
      <c r="X15" s="740">
        <v>93</v>
      </c>
      <c r="AB15" s="828">
        <f t="shared" si="5"/>
        <v>60</v>
      </c>
      <c r="AC15" s="829">
        <f t="shared" si="4"/>
        <v>0</v>
      </c>
    </row>
    <row r="16" spans="2:29" ht="21" customHeight="1" thickBot="1" x14ac:dyDescent="0.3">
      <c r="B16" s="16">
        <f t="shared" si="0"/>
        <v>7</v>
      </c>
      <c r="C16" s="106" t="s">
        <v>138</v>
      </c>
      <c r="D16" s="107" t="s">
        <v>137</v>
      </c>
      <c r="E16" s="599" t="str">
        <f t="shared" si="1"/>
        <v>GunnhildOftedal</v>
      </c>
      <c r="F16" s="192">
        <f>YEAR(I$5)-_xlfn.XLOOKUP(E16,Deltakerliste!E$5:E$98,Deltakerliste!I$5:I$98)</f>
        <v>72</v>
      </c>
      <c r="G16" s="192">
        <f>_xlfn.XLOOKUP(E16,Deltakerliste!E$5:E$98,Deltakerliste!H$5:H$98)</f>
        <v>4</v>
      </c>
      <c r="H16" s="592">
        <f>VLOOKUP(F16,Deltakerliste!P$6:T$84,G16,FALSE)</f>
        <v>2.0362000000000013</v>
      </c>
      <c r="I16" s="13"/>
      <c r="J16" s="13">
        <v>3.3935185185185186E-2</v>
      </c>
      <c r="K16" s="13"/>
      <c r="L16" s="600">
        <f t="shared" si="2"/>
        <v>1.060474537037037E-2</v>
      </c>
      <c r="M16" s="594">
        <f>IF(L16="Løype",Poengsammendrag!$F$2,IF(L16="Arr",Poengsammendrag!$F$3,IF(L16="Brutt",50,IF(L16="Disk",50,ROUND(MAXA(100*(MIN(L$10:L$89)/L16),50),0)))))</f>
        <v>69</v>
      </c>
      <c r="N16" s="724">
        <f t="shared" si="3"/>
        <v>5.2081059671792371E-3</v>
      </c>
      <c r="O16" s="596">
        <f>IF(N16="Løype",Poengsammendrag!$F$2,IF(N16="Arr",Poengsammendrag!$F$3,IF(N16="Brutt",50,IF(N16="Disk",50,ROUND(MAXA(100*(MIN(N$10:N$89)/N16),50),0)))))</f>
        <v>89</v>
      </c>
      <c r="Q16" s="672"/>
      <c r="R16" s="672"/>
      <c r="S16" s="803" t="s">
        <v>314</v>
      </c>
      <c r="T16" s="736">
        <v>8.4563078703703692E-3</v>
      </c>
      <c r="U16" s="752">
        <v>87</v>
      </c>
      <c r="V16" s="781"/>
      <c r="W16" s="776" t="s">
        <v>138</v>
      </c>
      <c r="X16" s="740">
        <v>89</v>
      </c>
      <c r="AB16" s="828">
        <f t="shared" si="5"/>
        <v>61</v>
      </c>
      <c r="AC16" s="829">
        <f t="shared" si="4"/>
        <v>0</v>
      </c>
    </row>
    <row r="17" spans="2:29" ht="21" customHeight="1" thickBot="1" x14ac:dyDescent="0.3">
      <c r="B17" s="16">
        <f t="shared" si="0"/>
        <v>8</v>
      </c>
      <c r="C17" s="106" t="s">
        <v>149</v>
      </c>
      <c r="D17" s="107" t="s">
        <v>150</v>
      </c>
      <c r="E17" s="599" t="str">
        <f t="shared" si="1"/>
        <v>BenteSkorge</v>
      </c>
      <c r="F17" s="192">
        <f>YEAR(I$5)-_xlfn.XLOOKUP(E17,Deltakerliste!E$5:E$98,Deltakerliste!I$5:I$98)</f>
        <v>66</v>
      </c>
      <c r="G17" s="192">
        <f>_xlfn.XLOOKUP(E17,Deltakerliste!E$5:E$98,Deltakerliste!H$5:H$98)</f>
        <v>4</v>
      </c>
      <c r="H17" s="592">
        <f>VLOOKUP(F17,Deltakerliste!P$6:T$84,G17,FALSE)</f>
        <v>1.8066000000000009</v>
      </c>
      <c r="I17" s="18"/>
      <c r="J17" s="132">
        <v>3.0694444444444444E-2</v>
      </c>
      <c r="K17" s="18"/>
      <c r="L17" s="600">
        <f t="shared" si="2"/>
        <v>9.5920138888888878E-3</v>
      </c>
      <c r="M17" s="594">
        <f>IF(L17="Løype",Poengsammendrag!$F$2,IF(L17="Arr",Poengsammendrag!$F$3,IF(L17="Brutt",50,IF(L17="Disk",50,ROUND(MAXA(100*(MIN(L$10:L$89)/L17),50),0)))))</f>
        <v>76</v>
      </c>
      <c r="N17" s="724">
        <f t="shared" si="3"/>
        <v>5.3094286997060133E-3</v>
      </c>
      <c r="O17" s="596">
        <f>IF(N17="Løype",Poengsammendrag!$F$2,IF(N17="Arr",Poengsammendrag!$F$3,IF(N17="Brutt",50,IF(N17="Disk",50,ROUND(MAXA(100*(MIN(N$10:N$89)/N17),50),0)))))</f>
        <v>88</v>
      </c>
      <c r="Q17" s="672"/>
      <c r="R17" s="672"/>
      <c r="S17" s="803" t="s">
        <v>299</v>
      </c>
      <c r="T17" s="736">
        <v>8.857783564814814E-3</v>
      </c>
      <c r="U17" s="752">
        <v>83</v>
      </c>
      <c r="V17" s="781"/>
      <c r="W17" s="776" t="s">
        <v>149</v>
      </c>
      <c r="X17" s="740">
        <v>88</v>
      </c>
      <c r="AB17" s="828">
        <f t="shared" si="5"/>
        <v>62</v>
      </c>
      <c r="AC17" s="829">
        <f t="shared" si="4"/>
        <v>0</v>
      </c>
    </row>
    <row r="18" spans="2:29" ht="21" customHeight="1" thickBot="1" x14ac:dyDescent="0.3">
      <c r="B18" s="16">
        <f t="shared" si="0"/>
        <v>9</v>
      </c>
      <c r="C18" s="106" t="s">
        <v>78</v>
      </c>
      <c r="D18" s="107" t="s">
        <v>146</v>
      </c>
      <c r="E18" s="599" t="str">
        <f t="shared" si="1"/>
        <v>LeifRøhjell</v>
      </c>
      <c r="F18" s="192">
        <f>YEAR(I$5)-_xlfn.XLOOKUP(E18,Deltakerliste!E$5:E$98,Deltakerliste!I$5:I$98)</f>
        <v>81</v>
      </c>
      <c r="G18" s="192">
        <f>_xlfn.XLOOKUP(E18,Deltakerliste!E$5:E$98,Deltakerliste!H$5:H$98)</f>
        <v>2</v>
      </c>
      <c r="H18" s="592">
        <f>VLOOKUP(F18,Deltakerliste!P$6:T$84,G18,FALSE)</f>
        <v>1.9290000000000003</v>
      </c>
      <c r="I18" s="132">
        <v>2.2824074074074073E-2</v>
      </c>
      <c r="J18" s="18"/>
      <c r="K18" s="18"/>
      <c r="L18" s="600">
        <f t="shared" si="2"/>
        <v>1.0374579124579123E-2</v>
      </c>
      <c r="M18" s="594">
        <f>IF(L18="Løype",Poengsammendrag!$F$2,IF(L18="Arr",Poengsammendrag!$F$3,IF(L18="Brutt",50,IF(L18="Disk",50,ROUND(MAXA(100*(MIN(L$10:L$89)/L18),50),0)))))</f>
        <v>71</v>
      </c>
      <c r="N18" s="724">
        <f t="shared" si="3"/>
        <v>5.3782162387657449E-3</v>
      </c>
      <c r="O18" s="596">
        <f>IF(N18="Løype",Poengsammendrag!$F$2,IF(N18="Arr",Poengsammendrag!$F$3,IF(N18="Brutt",50,IF(N18="Disk",50,ROUND(MAXA(100*(MIN(N$10:N$89)/N18),50),0)))))</f>
        <v>87</v>
      </c>
      <c r="Q18" s="672"/>
      <c r="R18" s="672"/>
      <c r="S18" s="803" t="s">
        <v>118</v>
      </c>
      <c r="T18" s="736">
        <v>8.9409722222222217E-3</v>
      </c>
      <c r="U18" s="752">
        <v>82</v>
      </c>
      <c r="V18" s="781"/>
      <c r="W18" s="776" t="s">
        <v>337</v>
      </c>
      <c r="X18" s="740">
        <v>87</v>
      </c>
      <c r="AB18" s="828">
        <f t="shared" si="5"/>
        <v>63</v>
      </c>
      <c r="AC18" s="829">
        <f t="shared" si="4"/>
        <v>0</v>
      </c>
    </row>
    <row r="19" spans="2:29" ht="21" thickBot="1" x14ac:dyDescent="0.3">
      <c r="B19" s="16">
        <f t="shared" si="0"/>
        <v>10</v>
      </c>
      <c r="C19" s="106" t="s">
        <v>120</v>
      </c>
      <c r="D19" s="107" t="s">
        <v>121</v>
      </c>
      <c r="E19" s="599" t="str">
        <f t="shared" si="1"/>
        <v>KlausLivik</v>
      </c>
      <c r="F19" s="192">
        <f>YEAR(I$5)-_xlfn.XLOOKUP(E19,Deltakerliste!E$5:E$98,Deltakerliste!I$5:I$98)</f>
        <v>71</v>
      </c>
      <c r="G19" s="192">
        <f>_xlfn.XLOOKUP(E19,Deltakerliste!E$5:E$98,Deltakerliste!H$5:H$98)</f>
        <v>2</v>
      </c>
      <c r="H19" s="592">
        <f>VLOOKUP(F19,Deltakerliste!P$6:T$84,G19,FALSE)</f>
        <v>1.4609999999999999</v>
      </c>
      <c r="I19" s="13"/>
      <c r="J19" s="13">
        <v>2.5196759259259259E-2</v>
      </c>
      <c r="K19" s="17"/>
      <c r="L19" s="600">
        <f t="shared" si="2"/>
        <v>7.8739872685185171E-3</v>
      </c>
      <c r="M19" s="594">
        <f>IF(L19="Løype",Poengsammendrag!$F$2,IF(L19="Arr",Poengsammendrag!$F$3,IF(L19="Brutt",50,IF(L19="Disk",50,ROUND(MAXA(100*(MIN(L$10:L$89)/L19),50),0)))))</f>
        <v>93</v>
      </c>
      <c r="N19" s="724">
        <f t="shared" si="3"/>
        <v>5.3894505602453922E-3</v>
      </c>
      <c r="O19" s="596">
        <f>IF(N19="Løype",Poengsammendrag!$F$2,IF(N19="Arr",Poengsammendrag!$F$3,IF(N19="Brutt",50,IF(N19="Disk",50,ROUND(MAXA(100*(MIN(N$10:N$89)/N19),50),0)))))</f>
        <v>86</v>
      </c>
      <c r="Q19" s="672"/>
      <c r="R19" s="672"/>
      <c r="S19" s="803" t="s">
        <v>340</v>
      </c>
      <c r="T19" s="736">
        <v>9.0784143518518514E-3</v>
      </c>
      <c r="U19" s="752">
        <v>81</v>
      </c>
      <c r="V19" s="781"/>
      <c r="W19" s="776" t="s">
        <v>120</v>
      </c>
      <c r="X19" s="740">
        <v>86</v>
      </c>
      <c r="AB19" s="828">
        <f t="shared" si="5"/>
        <v>64</v>
      </c>
      <c r="AC19" s="829">
        <f t="shared" si="4"/>
        <v>0</v>
      </c>
    </row>
    <row r="20" spans="2:29" ht="21" thickBot="1" x14ac:dyDescent="0.3">
      <c r="B20" s="16">
        <f t="shared" si="0"/>
        <v>11</v>
      </c>
      <c r="C20" s="106" t="s">
        <v>118</v>
      </c>
      <c r="D20" s="107" t="s">
        <v>119</v>
      </c>
      <c r="E20" s="599" t="str">
        <f t="shared" si="1"/>
        <v>KnutLillealtern</v>
      </c>
      <c r="F20" s="192">
        <f>YEAR(I$5)-_xlfn.XLOOKUP(E20,Deltakerliste!E$5:E$98,Deltakerliste!I$5:I$98)</f>
        <v>76</v>
      </c>
      <c r="G20" s="192">
        <f>_xlfn.XLOOKUP(E20,Deltakerliste!E$5:E$98,Deltakerliste!H$5:H$98)</f>
        <v>2</v>
      </c>
      <c r="H20" s="592">
        <f>VLOOKUP(F20,Deltakerliste!P$6:T$84,G20,FALSE)</f>
        <v>1.655</v>
      </c>
      <c r="I20" s="13"/>
      <c r="J20" s="13">
        <v>2.8611111111111111E-2</v>
      </c>
      <c r="K20" s="17"/>
      <c r="L20" s="600">
        <f t="shared" si="2"/>
        <v>8.9409722222222217E-3</v>
      </c>
      <c r="M20" s="594">
        <f>IF(L20="Løype",Poengsammendrag!$F$2,IF(L20="Arr",Poengsammendrag!$F$3,IF(L20="Brutt",50,IF(L20="Disk",50,ROUND(MAXA(100*(MIN(L$10:L$89)/L20),50),0)))))</f>
        <v>82</v>
      </c>
      <c r="N20" s="724">
        <f t="shared" si="3"/>
        <v>5.4024001342732452E-3</v>
      </c>
      <c r="O20" s="596">
        <f>IF(N20="Løype",Poengsammendrag!$F$2,IF(N20="Arr",Poengsammendrag!$F$3,IF(N20="Brutt",50,IF(N20="Disk",50,ROUND(MAXA(100*(MIN(N$10:N$89)/N20),50),0)))))</f>
        <v>86</v>
      </c>
      <c r="Q20" s="672"/>
      <c r="R20" s="672"/>
      <c r="S20" s="803" t="s">
        <v>168</v>
      </c>
      <c r="T20" s="736">
        <v>9.121817129629629E-3</v>
      </c>
      <c r="U20" s="752">
        <v>80</v>
      </c>
      <c r="V20" s="781"/>
      <c r="W20" s="776" t="s">
        <v>118</v>
      </c>
      <c r="X20" s="740">
        <v>86</v>
      </c>
      <c r="AB20" s="828">
        <f t="shared" si="5"/>
        <v>65</v>
      </c>
      <c r="AC20" s="829">
        <f t="shared" si="4"/>
        <v>1</v>
      </c>
    </row>
    <row r="21" spans="2:29" ht="21" customHeight="1" thickBot="1" x14ac:dyDescent="0.3">
      <c r="B21" s="16">
        <f t="shared" si="0"/>
        <v>12</v>
      </c>
      <c r="C21" s="106" t="s">
        <v>124</v>
      </c>
      <c r="D21" s="107" t="s">
        <v>125</v>
      </c>
      <c r="E21" s="599" t="str">
        <f t="shared" si="1"/>
        <v>Heidi Midttun</v>
      </c>
      <c r="F21" s="192">
        <f>YEAR(I$5)-_xlfn.XLOOKUP(E21,Deltakerliste!E$5:E$98,Deltakerliste!I$5:I$98)</f>
        <v>70</v>
      </c>
      <c r="G21" s="192">
        <f>_xlfn.XLOOKUP(E21,Deltakerliste!E$5:E$98,Deltakerliste!H$5:H$98)</f>
        <v>4</v>
      </c>
      <c r="H21" s="592">
        <f>VLOOKUP(F21,Deltakerliste!P$6:T$84,G21,FALSE)</f>
        <v>1.9490000000000012</v>
      </c>
      <c r="I21" s="13">
        <v>2.3506944444444445E-2</v>
      </c>
      <c r="J21" s="13"/>
      <c r="K21" s="13"/>
      <c r="L21" s="600">
        <f t="shared" si="2"/>
        <v>1.0684974747474747E-2</v>
      </c>
      <c r="M21" s="594">
        <f>IF(L21="Løype",Poengsammendrag!$F$2,IF(L21="Arr",Poengsammendrag!$F$3,IF(L21="Brutt",50,IF(L21="Disk",50,ROUND(MAXA(100*(MIN(L$10:L$89)/L21),50),0)))))</f>
        <v>69</v>
      </c>
      <c r="N21" s="724">
        <f t="shared" si="3"/>
        <v>5.482285658016799E-3</v>
      </c>
      <c r="O21" s="596">
        <f>IF(N21="Løype",Poengsammendrag!$F$2,IF(N21="Arr",Poengsammendrag!$F$3,IF(N21="Brutt",50,IF(N21="Disk",50,ROUND(MAXA(100*(MIN(N$10:N$89)/N21),50),0)))))</f>
        <v>85</v>
      </c>
      <c r="Q21" s="672"/>
      <c r="R21" s="672"/>
      <c r="S21" s="803" t="s">
        <v>101</v>
      </c>
      <c r="T21" s="736">
        <v>9.1399016203703703E-3</v>
      </c>
      <c r="U21" s="752">
        <v>80</v>
      </c>
      <c r="V21" s="781"/>
      <c r="W21" s="776" t="s">
        <v>124</v>
      </c>
      <c r="X21" s="740">
        <v>85</v>
      </c>
      <c r="AB21" s="828">
        <f t="shared" si="5"/>
        <v>66</v>
      </c>
      <c r="AC21" s="829">
        <f t="shared" si="4"/>
        <v>2</v>
      </c>
    </row>
    <row r="22" spans="2:29" ht="21" customHeight="1" thickBot="1" x14ac:dyDescent="0.3">
      <c r="B22" s="16">
        <f t="shared" si="0"/>
        <v>13</v>
      </c>
      <c r="C22" s="106" t="s">
        <v>88</v>
      </c>
      <c r="D22" s="107" t="s">
        <v>89</v>
      </c>
      <c r="E22" s="599" t="str">
        <f t="shared" si="1"/>
        <v>EdgarFuruholt</v>
      </c>
      <c r="F22" s="192">
        <f>YEAR(I$5)-_xlfn.XLOOKUP(E22,Deltakerliste!E$5:E$98,Deltakerliste!I$5:I$98)</f>
        <v>78</v>
      </c>
      <c r="G22" s="192">
        <f>_xlfn.XLOOKUP(E22,Deltakerliste!E$5:E$98,Deltakerliste!H$5:H$98)</f>
        <v>2</v>
      </c>
      <c r="H22" s="592">
        <f>VLOOKUP(F22,Deltakerliste!P$6:T$84,G22,FALSE)</f>
        <v>1.7550000000000001</v>
      </c>
      <c r="I22" s="18"/>
      <c r="J22" s="132">
        <v>3.0833333333333334E-2</v>
      </c>
      <c r="K22" s="18"/>
      <c r="L22" s="600">
        <f t="shared" si="2"/>
        <v>9.6354166666666671E-3</v>
      </c>
      <c r="M22" s="594">
        <f>IF(L22="Løype",Poengsammendrag!$F$2,IF(L22="Arr",Poengsammendrag!$F$3,IF(L22="Brutt",50,IF(L22="Disk",50,ROUND(MAXA(100*(MIN(L$10:L$89)/L22),50),0)))))</f>
        <v>76</v>
      </c>
      <c r="N22" s="724">
        <f t="shared" si="3"/>
        <v>5.4902659069325736E-3</v>
      </c>
      <c r="O22" s="596">
        <f>IF(N22="Løype",Poengsammendrag!$F$2,IF(N22="Arr",Poengsammendrag!$F$3,IF(N22="Brutt",50,IF(N22="Disk",50,ROUND(MAXA(100*(MIN(N$10:N$89)/N22),50),0)))))</f>
        <v>85</v>
      </c>
      <c r="Q22" s="672"/>
      <c r="R22" s="672"/>
      <c r="S22" s="803" t="s">
        <v>106</v>
      </c>
      <c r="T22" s="736">
        <v>9.2411747685185175E-3</v>
      </c>
      <c r="U22" s="752">
        <v>79</v>
      </c>
      <c r="V22" s="781"/>
      <c r="W22" s="776" t="s">
        <v>88</v>
      </c>
      <c r="X22" s="740">
        <v>85</v>
      </c>
      <c r="AB22" s="828">
        <f t="shared" si="5"/>
        <v>67</v>
      </c>
      <c r="AC22" s="829">
        <f t="shared" si="4"/>
        <v>1</v>
      </c>
    </row>
    <row r="23" spans="2:29" ht="21" customHeight="1" thickBot="1" x14ac:dyDescent="0.3">
      <c r="B23" s="16">
        <f t="shared" si="0"/>
        <v>14</v>
      </c>
      <c r="C23" s="106" t="s">
        <v>106</v>
      </c>
      <c r="D23" s="107" t="s">
        <v>107</v>
      </c>
      <c r="E23" s="599" t="str">
        <f t="shared" si="1"/>
        <v>Jon ArneKlemetsaune</v>
      </c>
      <c r="F23" s="192">
        <f>YEAR(I$5)-_xlfn.XLOOKUP(E23,Deltakerliste!E$5:E$98,Deltakerliste!I$5:I$98)</f>
        <v>76</v>
      </c>
      <c r="G23" s="192">
        <f>_xlfn.XLOOKUP(E23,Deltakerliste!E$5:E$98,Deltakerliste!H$5:H$98)</f>
        <v>2</v>
      </c>
      <c r="H23" s="592">
        <f>VLOOKUP(F23,Deltakerliste!P$6:T$84,G23,FALSE)</f>
        <v>1.655</v>
      </c>
      <c r="I23" s="86"/>
      <c r="J23" s="86">
        <v>2.9571759259259259E-2</v>
      </c>
      <c r="K23" s="17"/>
      <c r="L23" s="600">
        <f t="shared" si="2"/>
        <v>9.2411747685185175E-3</v>
      </c>
      <c r="M23" s="594">
        <f>IF(L23="Løype",Poengsammendrag!$F$2,IF(L23="Arr",Poengsammendrag!$F$3,IF(L23="Brutt",50,IF(L23="Disk",50,ROUND(MAXA(100*(MIN(L$10:L$89)/L23),50),0)))))</f>
        <v>79</v>
      </c>
      <c r="N23" s="724">
        <f t="shared" si="3"/>
        <v>5.583791400917533E-3</v>
      </c>
      <c r="O23" s="596">
        <f>IF(N23="Løype",Poengsammendrag!$F$2,IF(N23="Arr",Poengsammendrag!$F$3,IF(N23="Brutt",50,IF(N23="Disk",50,ROUND(MAXA(100*(MIN(N$10:N$89)/N23),50),0)))))</f>
        <v>83</v>
      </c>
      <c r="Q23" s="672"/>
      <c r="R23" s="672"/>
      <c r="S23" s="803" t="s">
        <v>90</v>
      </c>
      <c r="T23" s="736">
        <v>9.3013468013468017E-3</v>
      </c>
      <c r="U23" s="752">
        <v>79</v>
      </c>
      <c r="V23" s="781"/>
      <c r="W23" s="776" t="s">
        <v>106</v>
      </c>
      <c r="X23" s="740">
        <v>83</v>
      </c>
      <c r="AB23" s="828">
        <f t="shared" si="5"/>
        <v>68</v>
      </c>
      <c r="AC23" s="829">
        <f t="shared" si="4"/>
        <v>0</v>
      </c>
    </row>
    <row r="24" spans="2:29" ht="21" thickBot="1" x14ac:dyDescent="0.3">
      <c r="B24" s="16">
        <f t="shared" si="0"/>
        <v>15</v>
      </c>
      <c r="C24" s="106" t="s">
        <v>122</v>
      </c>
      <c r="D24" s="107" t="s">
        <v>123</v>
      </c>
      <c r="E24" s="599" t="str">
        <f t="shared" si="1"/>
        <v>MartinMelhuus</v>
      </c>
      <c r="F24" s="192">
        <f>YEAR(I$5)-_xlfn.XLOOKUP(E24,Deltakerliste!E$5:E$98,Deltakerliste!I$5:I$98)</f>
        <v>81</v>
      </c>
      <c r="G24" s="192">
        <f>_xlfn.XLOOKUP(E24,Deltakerliste!E$5:E$98,Deltakerliste!H$5:H$98)</f>
        <v>2</v>
      </c>
      <c r="H24" s="592">
        <f>VLOOKUP(F24,Deltakerliste!P$6:T$84,G24,FALSE)</f>
        <v>1.9290000000000003</v>
      </c>
      <c r="I24" s="13">
        <v>2.3935185185185184E-2</v>
      </c>
      <c r="J24" s="13"/>
      <c r="K24" s="13"/>
      <c r="L24" s="600">
        <f t="shared" si="2"/>
        <v>1.0879629629629628E-2</v>
      </c>
      <c r="M24" s="594">
        <f>IF(L24="Løype",Poengsammendrag!$F$2,IF(L24="Arr",Poengsammendrag!$F$3,IF(L24="Brutt",50,IF(L24="Disk",50,ROUND(MAXA(100*(MIN(L$10:L$89)/L24),50),0)))))</f>
        <v>67</v>
      </c>
      <c r="N24" s="724">
        <f t="shared" si="3"/>
        <v>5.6400360962310147E-3</v>
      </c>
      <c r="O24" s="596">
        <f>IF(N24="Løype",Poengsammendrag!$F$2,IF(N24="Arr",Poengsammendrag!$F$3,IF(N24="Brutt",50,IF(N24="Disk",50,ROUND(MAXA(100*(MIN(N$10:N$89)/N24),50),0)))))</f>
        <v>83</v>
      </c>
      <c r="Q24" s="672"/>
      <c r="R24" s="672"/>
      <c r="S24" s="803" t="s">
        <v>149</v>
      </c>
      <c r="T24" s="736">
        <v>9.5920138888888878E-3</v>
      </c>
      <c r="U24" s="752">
        <v>76</v>
      </c>
      <c r="V24" s="781"/>
      <c r="W24" s="776" t="s">
        <v>122</v>
      </c>
      <c r="X24" s="740">
        <v>83</v>
      </c>
      <c r="AB24" s="828">
        <f t="shared" si="5"/>
        <v>69</v>
      </c>
      <c r="AC24" s="829">
        <f t="shared" si="4"/>
        <v>2</v>
      </c>
    </row>
    <row r="25" spans="2:29" ht="21" thickBot="1" x14ac:dyDescent="0.3">
      <c r="B25" s="16">
        <f t="shared" si="0"/>
        <v>16</v>
      </c>
      <c r="C25" s="106" t="s">
        <v>134</v>
      </c>
      <c r="D25" s="107" t="s">
        <v>135</v>
      </c>
      <c r="E25" s="599" t="str">
        <f t="shared" si="1"/>
        <v>IngeNørstebø</v>
      </c>
      <c r="F25" s="192">
        <f>YEAR(I$5)-_xlfn.XLOOKUP(E25,Deltakerliste!E$5:E$98,Deltakerliste!I$5:I$98)</f>
        <v>69</v>
      </c>
      <c r="G25" s="192">
        <f>_xlfn.XLOOKUP(E25,Deltakerliste!E$5:E$98,Deltakerliste!H$5:H$98)</f>
        <v>2</v>
      </c>
      <c r="H25" s="592">
        <f>VLOOKUP(F25,Deltakerliste!P$6:T$84,G25,FALSE)</f>
        <v>1.3989999999999998</v>
      </c>
      <c r="I25" s="13"/>
      <c r="J25" s="13">
        <v>2.5451388888888888E-2</v>
      </c>
      <c r="K25" s="13"/>
      <c r="L25" s="600">
        <f t="shared" si="2"/>
        <v>7.9535590277777773E-3</v>
      </c>
      <c r="M25" s="594">
        <f>IF(L25="Løype",Poengsammendrag!$F$2,IF(L25="Arr",Poengsammendrag!$F$3,IF(L25="Brutt",50,IF(L25="Disk",50,ROUND(MAXA(100*(MIN(L$10:L$89)/L25),50),0)))))</f>
        <v>92</v>
      </c>
      <c r="N25" s="724">
        <f t="shared" si="3"/>
        <v>5.6851744301485195E-3</v>
      </c>
      <c r="O25" s="596">
        <f>IF(N25="Løype",Poengsammendrag!$F$2,IF(N25="Arr",Poengsammendrag!$F$3,IF(N25="Brutt",50,IF(N25="Disk",50,ROUND(MAXA(100*(MIN(N$10:N$89)/N25),50),0)))))</f>
        <v>82</v>
      </c>
      <c r="Q25" s="672"/>
      <c r="R25" s="672"/>
      <c r="S25" s="803" t="s">
        <v>88</v>
      </c>
      <c r="T25" s="736">
        <v>9.6354166666666671E-3</v>
      </c>
      <c r="U25" s="752">
        <v>76</v>
      </c>
      <c r="V25" s="781"/>
      <c r="W25" s="776" t="s">
        <v>134</v>
      </c>
      <c r="X25" s="740">
        <v>82</v>
      </c>
      <c r="AB25" s="828">
        <f t="shared" si="5"/>
        <v>70</v>
      </c>
      <c r="AC25" s="829">
        <f t="shared" si="4"/>
        <v>2</v>
      </c>
    </row>
    <row r="26" spans="2:29" ht="21" customHeight="1" thickBot="1" x14ac:dyDescent="0.3">
      <c r="B26" s="16">
        <f t="shared" si="0"/>
        <v>17</v>
      </c>
      <c r="C26" s="106" t="s">
        <v>170</v>
      </c>
      <c r="D26" s="107" t="s">
        <v>171</v>
      </c>
      <c r="E26" s="599" t="str">
        <f t="shared" si="1"/>
        <v>ØisteinÅsmul</v>
      </c>
      <c r="F26" s="192">
        <f>YEAR(I$5)-_xlfn.XLOOKUP(E26,Deltakerliste!E$5:E$98,Deltakerliste!I$5:I$98)</f>
        <v>80</v>
      </c>
      <c r="G26" s="192">
        <f>_xlfn.XLOOKUP(E26,Deltakerliste!E$5:E$98,Deltakerliste!H$5:H$98)</f>
        <v>2</v>
      </c>
      <c r="H26" s="592">
        <f>VLOOKUP(F26,Deltakerliste!P$6:T$84,G26,FALSE)</f>
        <v>1.8550000000000002</v>
      </c>
      <c r="I26" s="132">
        <v>2.3483796296296298E-2</v>
      </c>
      <c r="J26" s="132"/>
      <c r="K26" s="18"/>
      <c r="L26" s="600">
        <f t="shared" si="2"/>
        <v>1.0674452861952862E-2</v>
      </c>
      <c r="M26" s="594">
        <f>IF(L26="Løype",Poengsammendrag!$F$2,IF(L26="Arr",Poengsammendrag!$F$3,IF(L26="Brutt",50,IF(L26="Disk",50,ROUND(MAXA(100*(MIN(L$10:L$89)/L26),50),0)))))</f>
        <v>69</v>
      </c>
      <c r="N26" s="724">
        <f t="shared" si="3"/>
        <v>5.7544220280069331E-3</v>
      </c>
      <c r="O26" s="596">
        <f>IF(N26="Løype",Poengsammendrag!$F$2,IF(N26="Arr",Poengsammendrag!$F$3,IF(N26="Brutt",50,IF(N26="Disk",50,ROUND(MAXA(100*(MIN(N$10:N$89)/N26),50),0)))))</f>
        <v>81</v>
      </c>
      <c r="Q26" s="672"/>
      <c r="R26" s="672"/>
      <c r="S26" s="803" t="s">
        <v>269</v>
      </c>
      <c r="T26" s="736">
        <v>9.6906565656565639E-3</v>
      </c>
      <c r="U26" s="752">
        <v>76</v>
      </c>
      <c r="V26" s="781"/>
      <c r="W26" s="776" t="s">
        <v>347</v>
      </c>
      <c r="X26" s="740">
        <v>81</v>
      </c>
      <c r="AB26" s="828">
        <f t="shared" si="5"/>
        <v>71</v>
      </c>
      <c r="AC26" s="829">
        <f t="shared" si="4"/>
        <v>2</v>
      </c>
    </row>
    <row r="27" spans="2:29" ht="21" thickBot="1" x14ac:dyDescent="0.3">
      <c r="B27" s="16">
        <f t="shared" si="0"/>
        <v>18</v>
      </c>
      <c r="C27" s="106" t="s">
        <v>90</v>
      </c>
      <c r="D27" s="107" t="s">
        <v>91</v>
      </c>
      <c r="E27" s="599" t="str">
        <f t="shared" si="1"/>
        <v>TorGjermstad</v>
      </c>
      <c r="F27" s="192">
        <f>YEAR(I$5)-_xlfn.XLOOKUP(E27,Deltakerliste!E$5:E$98,Deltakerliste!I$5:I$98)</f>
        <v>75</v>
      </c>
      <c r="G27" s="192">
        <f>_xlfn.XLOOKUP(E27,Deltakerliste!E$5:E$98,Deltakerliste!H$5:H$98)</f>
        <v>2</v>
      </c>
      <c r="H27" s="592">
        <f>VLOOKUP(F27,Deltakerliste!P$6:T$84,G27,FALSE)</f>
        <v>1.605</v>
      </c>
      <c r="I27" s="86">
        <v>2.0462962962962964E-2</v>
      </c>
      <c r="J27" s="86"/>
      <c r="K27" s="13"/>
      <c r="L27" s="600">
        <f t="shared" si="2"/>
        <v>9.3013468013468017E-3</v>
      </c>
      <c r="M27" s="594">
        <f>IF(L27="Løype",Poengsammendrag!$F$2,IF(L27="Arr",Poengsammendrag!$F$3,IF(L27="Brutt",50,IF(L27="Disk",50,ROUND(MAXA(100*(MIN(L$10:L$89)/L27),50),0)))))</f>
        <v>79</v>
      </c>
      <c r="N27" s="724">
        <f t="shared" si="3"/>
        <v>5.7952316519294719E-3</v>
      </c>
      <c r="O27" s="596">
        <f>IF(N27="Løype",Poengsammendrag!$F$2,IF(N27="Arr",Poengsammendrag!$F$3,IF(N27="Brutt",50,IF(N27="Disk",50,ROUND(MAXA(100*(MIN(N$10:N$89)/N27),50),0)))))</f>
        <v>80</v>
      </c>
      <c r="Q27" s="672"/>
      <c r="R27" s="672"/>
      <c r="S27" s="803" t="s">
        <v>338</v>
      </c>
      <c r="T27" s="736">
        <v>1.0011574074074072E-2</v>
      </c>
      <c r="U27" s="752">
        <v>73</v>
      </c>
      <c r="V27" s="781"/>
      <c r="W27" s="776" t="s">
        <v>90</v>
      </c>
      <c r="X27" s="740">
        <v>80</v>
      </c>
      <c r="AB27" s="828">
        <f t="shared" si="5"/>
        <v>72</v>
      </c>
      <c r="AC27" s="829">
        <f t="shared" si="4"/>
        <v>4</v>
      </c>
    </row>
    <row r="28" spans="2:29" ht="21" customHeight="1" thickBot="1" x14ac:dyDescent="0.3">
      <c r="B28" s="16">
        <f t="shared" si="0"/>
        <v>19</v>
      </c>
      <c r="C28" s="106" t="s">
        <v>222</v>
      </c>
      <c r="D28" s="107" t="s">
        <v>221</v>
      </c>
      <c r="E28" s="599" t="str">
        <f t="shared" si="1"/>
        <v>Kjell Maroni</v>
      </c>
      <c r="F28" s="192">
        <f>YEAR(I$5)-_xlfn.XLOOKUP(E28,Deltakerliste!E$5:E$98,Deltakerliste!I$5:I$98)</f>
        <v>69</v>
      </c>
      <c r="G28" s="192">
        <f>_xlfn.XLOOKUP(E28,Deltakerliste!E$5:E$98,Deltakerliste!H$5:H$98)</f>
        <v>2</v>
      </c>
      <c r="H28" s="592">
        <f>VLOOKUP(F28,Deltakerliste!P$6:T$84,G28,FALSE)</f>
        <v>1.3989999999999998</v>
      </c>
      <c r="I28" s="13"/>
      <c r="J28" s="13">
        <v>2.5949074074074076E-2</v>
      </c>
      <c r="K28" s="13"/>
      <c r="L28" s="600">
        <f t="shared" si="2"/>
        <v>8.1090856481481483E-3</v>
      </c>
      <c r="M28" s="594">
        <f>IF(L28="Løype",Poengsammendrag!$F$2,IF(L28="Arr",Poengsammendrag!$F$3,IF(L28="Brutt",50,IF(L28="Disk",50,ROUND(MAXA(100*(MIN(L$10:L$89)/L28),50),0)))))</f>
        <v>90</v>
      </c>
      <c r="N28" s="724">
        <f t="shared" si="3"/>
        <v>5.7963442803060398E-3</v>
      </c>
      <c r="O28" s="596">
        <f>IF(N28="Løype",Poengsammendrag!$F$2,IF(N28="Arr",Poengsammendrag!$F$3,IF(N28="Brutt",50,IF(N28="Disk",50,ROUND(MAXA(100*(MIN(N$10:N$89)/N28),50),0)))))</f>
        <v>80</v>
      </c>
      <c r="Q28" s="672"/>
      <c r="R28" s="672"/>
      <c r="S28" s="803" t="s">
        <v>76</v>
      </c>
      <c r="T28" s="736">
        <v>1.0011574074074072E-2</v>
      </c>
      <c r="U28" s="752">
        <v>73</v>
      </c>
      <c r="V28" s="781"/>
      <c r="W28" s="776" t="s">
        <v>222</v>
      </c>
      <c r="X28" s="740">
        <v>80</v>
      </c>
      <c r="AB28" s="828">
        <f t="shared" si="5"/>
        <v>73</v>
      </c>
      <c r="AC28" s="829">
        <f t="shared" si="4"/>
        <v>1</v>
      </c>
    </row>
    <row r="29" spans="2:29" ht="21" thickBot="1" x14ac:dyDescent="0.3">
      <c r="B29" s="16">
        <f t="shared" si="0"/>
        <v>20</v>
      </c>
      <c r="C29" s="106" t="s">
        <v>168</v>
      </c>
      <c r="D29" s="107" t="s">
        <v>169</v>
      </c>
      <c r="E29" s="599" t="str">
        <f t="shared" si="1"/>
        <v>SteinØvstedal</v>
      </c>
      <c r="F29" s="192">
        <f>YEAR(I$5)-_xlfn.XLOOKUP(E29,Deltakerliste!E$5:E$98,Deltakerliste!I$5:I$98)</f>
        <v>74</v>
      </c>
      <c r="G29" s="192">
        <f>_xlfn.XLOOKUP(E29,Deltakerliste!E$5:E$98,Deltakerliste!H$5:H$98)</f>
        <v>2</v>
      </c>
      <c r="H29" s="592">
        <f>VLOOKUP(F29,Deltakerliste!P$6:T$84,G29,FALSE)</f>
        <v>1.569</v>
      </c>
      <c r="I29" s="132"/>
      <c r="J29" s="132">
        <v>2.9189814814814814E-2</v>
      </c>
      <c r="K29" s="18"/>
      <c r="L29" s="600">
        <f t="shared" si="2"/>
        <v>9.121817129629629E-3</v>
      </c>
      <c r="M29" s="594">
        <f>IF(L29="Løype",Poengsammendrag!$F$2,IF(L29="Arr",Poengsammendrag!$F$3,IF(L29="Brutt",50,IF(L29="Disk",50,ROUND(MAXA(100*(MIN(L$10:L$89)/L29),50),0)))))</f>
        <v>80</v>
      </c>
      <c r="N29" s="724">
        <f t="shared" si="3"/>
        <v>5.8137776479475012E-3</v>
      </c>
      <c r="O29" s="596">
        <f>IF(N29="Løype",Poengsammendrag!$F$2,IF(N29="Arr",Poengsammendrag!$F$3,IF(N29="Brutt",50,IF(N29="Disk",50,ROUND(MAXA(100*(MIN(N$10:N$89)/N29),50),0)))))</f>
        <v>80</v>
      </c>
      <c r="Q29" s="672"/>
      <c r="R29" s="672"/>
      <c r="S29" s="803" t="s">
        <v>346</v>
      </c>
      <c r="T29" s="736">
        <v>1.0127314814814813E-2</v>
      </c>
      <c r="U29" s="752">
        <v>72</v>
      </c>
      <c r="V29" s="781"/>
      <c r="W29" s="776" t="s">
        <v>168</v>
      </c>
      <c r="X29" s="740">
        <v>80</v>
      </c>
      <c r="AB29" s="828">
        <f t="shared" si="5"/>
        <v>74</v>
      </c>
      <c r="AC29" s="829">
        <f t="shared" si="4"/>
        <v>5</v>
      </c>
    </row>
    <row r="30" spans="2:29" ht="21" thickBot="1" x14ac:dyDescent="0.3">
      <c r="B30" s="16">
        <f t="shared" si="0"/>
        <v>21</v>
      </c>
      <c r="C30" s="106" t="s">
        <v>64</v>
      </c>
      <c r="D30" s="107" t="s">
        <v>366</v>
      </c>
      <c r="E30" s="599" t="str">
        <f t="shared" si="1"/>
        <v>BjørnHafskjold</v>
      </c>
      <c r="F30" s="192">
        <f>YEAR(I$5)-_xlfn.XLOOKUP(E30,Deltakerliste!E$5:E$98,Deltakerliste!I$5:I$98)</f>
        <v>78</v>
      </c>
      <c r="G30" s="192">
        <f>_xlfn.XLOOKUP(E30,Deltakerliste!E$5:E$98,Deltakerliste!H$5:H$98)</f>
        <v>2</v>
      </c>
      <c r="H30" s="592">
        <f>VLOOKUP(F30,Deltakerliste!P$6:T$84,G30,FALSE)</f>
        <v>1.7550000000000001</v>
      </c>
      <c r="I30" s="14">
        <v>2.3182870370370371E-2</v>
      </c>
      <c r="J30" s="14"/>
      <c r="K30" s="18"/>
      <c r="L30" s="600">
        <f t="shared" si="2"/>
        <v>1.0537668350168349E-2</v>
      </c>
      <c r="M30" s="594">
        <f>IF(L30="Løype",Poengsammendrag!$F$2,IF(L30="Arr",Poengsammendrag!$F$3,IF(L30="Brutt",50,IF(L30="Disk",50,ROUND(MAXA(100*(MIN(L$10:L$89)/L30),50),0)))))</f>
        <v>70</v>
      </c>
      <c r="N30" s="724">
        <f t="shared" si="3"/>
        <v>6.0043694302953556E-3</v>
      </c>
      <c r="O30" s="596">
        <f>IF(N30="Løype",Poengsammendrag!$F$2,IF(N30="Arr",Poengsammendrag!$F$3,IF(N30="Brutt",50,IF(N30="Disk",50,ROUND(MAXA(100*(MIN(N$10:N$89)/N30),50),0)))))</f>
        <v>78</v>
      </c>
      <c r="Q30" s="672"/>
      <c r="R30" s="672"/>
      <c r="S30" s="803" t="s">
        <v>263</v>
      </c>
      <c r="T30" s="736">
        <v>1.0132575757575757E-2</v>
      </c>
      <c r="U30" s="752">
        <v>72</v>
      </c>
      <c r="V30" s="781"/>
      <c r="W30" s="776" t="s">
        <v>367</v>
      </c>
      <c r="X30" s="740">
        <v>78</v>
      </c>
      <c r="AB30" s="828">
        <f t="shared" si="5"/>
        <v>75</v>
      </c>
      <c r="AC30" s="829">
        <f t="shared" si="4"/>
        <v>2</v>
      </c>
    </row>
    <row r="31" spans="2:29" ht="21" customHeight="1" thickBot="1" x14ac:dyDescent="0.3">
      <c r="B31" s="16">
        <f t="shared" si="0"/>
        <v>22</v>
      </c>
      <c r="C31" s="106" t="s">
        <v>63</v>
      </c>
      <c r="D31" s="107" t="s">
        <v>98</v>
      </c>
      <c r="E31" s="599" t="str">
        <f t="shared" si="1"/>
        <v>ToreHeggem</v>
      </c>
      <c r="F31" s="192">
        <f>YEAR(I$5)-_xlfn.XLOOKUP(E31,Deltakerliste!E$5:E$98,Deltakerliste!I$5:I$98)</f>
        <v>72</v>
      </c>
      <c r="G31" s="192">
        <f>_xlfn.XLOOKUP(E31,Deltakerliste!E$5:E$98,Deltakerliste!H$5:H$98)</f>
        <v>2</v>
      </c>
      <c r="H31" s="592">
        <f>VLOOKUP(F31,Deltakerliste!P$6:T$84,G31,FALSE)</f>
        <v>1.4969999999999999</v>
      </c>
      <c r="I31" s="86"/>
      <c r="J31" s="86">
        <v>2.9050925925925924E-2</v>
      </c>
      <c r="K31" s="13"/>
      <c r="L31" s="600">
        <f t="shared" si="2"/>
        <v>9.0784143518518514E-3</v>
      </c>
      <c r="M31" s="594">
        <f>IF(L31="Løype",Poengsammendrag!$F$2,IF(L31="Arr",Poengsammendrag!$F$3,IF(L31="Brutt",50,IF(L31="Disk",50,ROUND(MAXA(100*(MIN(L$10:L$89)/L31),50),0)))))</f>
        <v>81</v>
      </c>
      <c r="N31" s="724">
        <f t="shared" si="3"/>
        <v>6.0644050446572156E-3</v>
      </c>
      <c r="O31" s="596">
        <f>IF(N31="Løype",Poengsammendrag!$F$2,IF(N31="Arr",Poengsammendrag!$F$3,IF(N31="Brutt",50,IF(N31="Disk",50,ROUND(MAXA(100*(MIN(N$10:N$89)/N31),50),0)))))</f>
        <v>77</v>
      </c>
      <c r="Q31" s="672"/>
      <c r="R31" s="672"/>
      <c r="S31" s="803" t="s">
        <v>350</v>
      </c>
      <c r="T31" s="736">
        <v>1.015625E-2</v>
      </c>
      <c r="U31" s="752">
        <v>72</v>
      </c>
      <c r="V31" s="781"/>
      <c r="W31" s="776" t="s">
        <v>340</v>
      </c>
      <c r="X31" s="740">
        <v>77</v>
      </c>
      <c r="AB31" s="828">
        <f t="shared" si="5"/>
        <v>76</v>
      </c>
      <c r="AC31" s="829">
        <f t="shared" si="4"/>
        <v>3</v>
      </c>
    </row>
    <row r="32" spans="2:29" ht="21" customHeight="1" thickBot="1" x14ac:dyDescent="0.3">
      <c r="B32" s="16">
        <f t="shared" si="0"/>
        <v>23</v>
      </c>
      <c r="C32" s="106" t="s">
        <v>299</v>
      </c>
      <c r="D32" s="107" t="s">
        <v>300</v>
      </c>
      <c r="E32" s="599" t="str">
        <f t="shared" si="1"/>
        <v>OlavKvittem</v>
      </c>
      <c r="F32" s="192">
        <f>YEAR(I$5)-_xlfn.XLOOKUP(E32,Deltakerliste!E$5:E$98,Deltakerliste!I$5:I$98)</f>
        <v>70</v>
      </c>
      <c r="G32" s="192">
        <f>_xlfn.XLOOKUP(E32,Deltakerliste!E$5:E$98,Deltakerliste!H$5:H$98)</f>
        <v>2</v>
      </c>
      <c r="H32" s="592">
        <f>VLOOKUP(F32,Deltakerliste!P$6:T$84,G32,FALSE)</f>
        <v>1.4249999999999998</v>
      </c>
      <c r="I32" s="86"/>
      <c r="J32" s="86">
        <v>2.8344907407407409E-2</v>
      </c>
      <c r="K32" s="13"/>
      <c r="L32" s="600">
        <f t="shared" si="2"/>
        <v>8.857783564814814E-3</v>
      </c>
      <c r="M32" s="594">
        <f>IF(L32="Løype",Poengsammendrag!$F$2,IF(L32="Arr",Poengsammendrag!$F$3,IF(L32="Brutt",50,IF(L32="Disk",50,ROUND(MAXA(100*(MIN(L$10:L$89)/L32),50),0)))))</f>
        <v>83</v>
      </c>
      <c r="N32" s="724">
        <f t="shared" si="3"/>
        <v>6.2159884665367125E-3</v>
      </c>
      <c r="O32" s="596">
        <f>IF(N32="Løype",Poengsammendrag!$F$2,IF(N32="Arr",Poengsammendrag!$F$3,IF(N32="Brutt",50,IF(N32="Disk",50,ROUND(MAXA(100*(MIN(N$10:N$89)/N32),50),0)))))</f>
        <v>75</v>
      </c>
      <c r="S32" s="803" t="s">
        <v>337</v>
      </c>
      <c r="T32" s="736">
        <v>1.0374579124579123E-2</v>
      </c>
      <c r="U32" s="752">
        <v>71</v>
      </c>
      <c r="V32" s="781"/>
      <c r="W32" s="776" t="s">
        <v>299</v>
      </c>
      <c r="X32" s="740">
        <v>75</v>
      </c>
      <c r="AB32" s="828">
        <f t="shared" si="5"/>
        <v>77</v>
      </c>
      <c r="AC32" s="829">
        <f t="shared" si="4"/>
        <v>4</v>
      </c>
    </row>
    <row r="33" spans="2:29" ht="21" customHeight="1" thickBot="1" x14ac:dyDescent="0.3">
      <c r="B33" s="16">
        <f t="shared" si="0"/>
        <v>24</v>
      </c>
      <c r="C33" s="106" t="s">
        <v>265</v>
      </c>
      <c r="D33" s="107" t="s">
        <v>266</v>
      </c>
      <c r="E33" s="599" t="str">
        <f t="shared" si="1"/>
        <v>ØysteinWiggen</v>
      </c>
      <c r="F33" s="192">
        <f>YEAR(I$5)-_xlfn.XLOOKUP(E33,Deltakerliste!E$5:E$98,Deltakerliste!I$5:I$98)</f>
        <v>59</v>
      </c>
      <c r="G33" s="192">
        <f>_xlfn.XLOOKUP(E33,Deltakerliste!E$5:E$98,Deltakerliste!H$5:H$98)</f>
        <v>2</v>
      </c>
      <c r="H33" s="592">
        <f>VLOOKUP(F33,Deltakerliste!P$6:T$84,G33,FALSE)</f>
        <v>1.1860000000000002</v>
      </c>
      <c r="I33" s="18"/>
      <c r="J33" s="132">
        <v>2.3715277777777776E-2</v>
      </c>
      <c r="K33" s="18"/>
      <c r="L33" s="600">
        <f t="shared" si="2"/>
        <v>7.4110243055555544E-3</v>
      </c>
      <c r="M33" s="594">
        <f>IF(L33="Løype",Poengsammendrag!$F$2,IF(L33="Arr",Poengsammendrag!$F$3,IF(L33="Brutt",50,IF(L33="Disk",50,ROUND(MAXA(100*(MIN(L$10:L$89)/L33),50),0)))))</f>
        <v>99</v>
      </c>
      <c r="N33" s="724">
        <f t="shared" si="3"/>
        <v>6.2487557382424567E-3</v>
      </c>
      <c r="O33" s="596">
        <f>IF(N33="Løype",Poengsammendrag!$F$2,IF(N33="Arr",Poengsammendrag!$F$3,IF(N33="Brutt",50,IF(N33="Disk",50,ROUND(MAXA(100*(MIN(N$10:N$89)/N33),50),0)))))</f>
        <v>74</v>
      </c>
      <c r="S33" s="803" t="s">
        <v>367</v>
      </c>
      <c r="T33" s="736">
        <v>1.0537668350168349E-2</v>
      </c>
      <c r="U33" s="752">
        <v>70</v>
      </c>
      <c r="V33" s="781"/>
      <c r="W33" s="776" t="s">
        <v>368</v>
      </c>
      <c r="X33" s="740">
        <v>74</v>
      </c>
      <c r="AB33" s="828">
        <f t="shared" si="5"/>
        <v>78</v>
      </c>
      <c r="AC33" s="829">
        <f t="shared" si="4"/>
        <v>3</v>
      </c>
    </row>
    <row r="34" spans="2:29" ht="21" customHeight="1" thickBot="1" x14ac:dyDescent="0.3">
      <c r="B34" s="16">
        <f t="shared" si="0"/>
        <v>25</v>
      </c>
      <c r="C34" s="106" t="s">
        <v>101</v>
      </c>
      <c r="D34" s="107" t="s">
        <v>102</v>
      </c>
      <c r="E34" s="599" t="str">
        <f t="shared" si="1"/>
        <v>EvenHofstad</v>
      </c>
      <c r="F34" s="192">
        <f>YEAR(I$5)-_xlfn.XLOOKUP(E34,Deltakerliste!E$5:E$98,Deltakerliste!I$5:I$98)</f>
        <v>71</v>
      </c>
      <c r="G34" s="192">
        <f>_xlfn.XLOOKUP(E34,Deltakerliste!E$5:E$98,Deltakerliste!H$5:H$98)</f>
        <v>2</v>
      </c>
      <c r="H34" s="592">
        <f>VLOOKUP(F34,Deltakerliste!P$6:T$84,G34,FALSE)</f>
        <v>1.4609999999999999</v>
      </c>
      <c r="I34" s="86"/>
      <c r="J34" s="86">
        <v>2.9247685185185186E-2</v>
      </c>
      <c r="K34" s="13"/>
      <c r="L34" s="600">
        <f t="shared" si="2"/>
        <v>9.1399016203703703E-3</v>
      </c>
      <c r="M34" s="594">
        <f>IF(L34="Løype",Poengsammendrag!$F$2,IF(L34="Arr",Poengsammendrag!$F$3,IF(L34="Brutt",50,IF(L34="Disk",50,ROUND(MAXA(100*(MIN(L$10:L$89)/L34),50),0)))))</f>
        <v>80</v>
      </c>
      <c r="N34" s="724">
        <f t="shared" si="3"/>
        <v>6.2559217114102469E-3</v>
      </c>
      <c r="O34" s="596">
        <f>IF(N34="Løype",Poengsammendrag!$F$2,IF(N34="Arr",Poengsammendrag!$F$3,IF(N34="Brutt",50,IF(N34="Disk",50,ROUND(MAXA(100*(MIN(N$10:N$89)/N34),50),0)))))</f>
        <v>74</v>
      </c>
      <c r="S34" s="803" t="s">
        <v>138</v>
      </c>
      <c r="T34" s="736">
        <v>1.060474537037037E-2</v>
      </c>
      <c r="U34" s="752">
        <v>69</v>
      </c>
      <c r="V34" s="781"/>
      <c r="W34" s="776" t="s">
        <v>101</v>
      </c>
      <c r="X34" s="740">
        <v>74</v>
      </c>
      <c r="AB34" s="828">
        <f t="shared" si="5"/>
        <v>79</v>
      </c>
      <c r="AC34" s="829">
        <f t="shared" si="4"/>
        <v>1</v>
      </c>
    </row>
    <row r="35" spans="2:29" ht="21" customHeight="1" thickBot="1" x14ac:dyDescent="0.3">
      <c r="B35" s="16">
        <f t="shared" si="0"/>
        <v>26</v>
      </c>
      <c r="C35" s="106" t="s">
        <v>72</v>
      </c>
      <c r="D35" s="107" t="s">
        <v>139</v>
      </c>
      <c r="E35" s="599" t="str">
        <f t="shared" si="1"/>
        <v>KåreOnsøyen</v>
      </c>
      <c r="F35" s="192">
        <f>YEAR(I$5)-_xlfn.XLOOKUP(E35,Deltakerliste!E$5:E$98,Deltakerliste!I$5:I$98)</f>
        <v>77</v>
      </c>
      <c r="G35" s="192">
        <f>_xlfn.XLOOKUP(E35,Deltakerliste!E$5:E$98,Deltakerliste!H$5:H$98)</f>
        <v>2</v>
      </c>
      <c r="H35" s="592">
        <f>VLOOKUP(F35,Deltakerliste!P$6:T$84,G35,FALSE)</f>
        <v>1.7050000000000001</v>
      </c>
      <c r="I35" s="13">
        <v>2.3912037037037037E-2</v>
      </c>
      <c r="J35" s="13"/>
      <c r="K35" s="13"/>
      <c r="L35" s="600">
        <f t="shared" si="2"/>
        <v>1.0869107744107744E-2</v>
      </c>
      <c r="M35" s="594">
        <f>IF(L35="Løype",Poengsammendrag!$F$2,IF(L35="Arr",Poengsammendrag!$F$3,IF(L35="Brutt",50,IF(L35="Disk",50,ROUND(MAXA(100*(MIN(L$10:L$89)/L35),50),0)))))</f>
        <v>67</v>
      </c>
      <c r="N35" s="724">
        <f t="shared" si="3"/>
        <v>6.3748432516760956E-3</v>
      </c>
      <c r="O35" s="596">
        <f>IF(N35="Løype",Poengsammendrag!$F$2,IF(N35="Arr",Poengsammendrag!$F$3,IF(N35="Brutt",50,IF(N35="Disk",50,ROUND(MAXA(100*(MIN(N$10:N$89)/N35),50),0)))))</f>
        <v>73</v>
      </c>
      <c r="S35" s="803" t="s">
        <v>347</v>
      </c>
      <c r="T35" s="736">
        <v>1.0674452861952862E-2</v>
      </c>
      <c r="U35" s="752">
        <v>69</v>
      </c>
      <c r="V35" s="781"/>
      <c r="W35" s="776" t="s">
        <v>349</v>
      </c>
      <c r="X35" s="740">
        <v>73</v>
      </c>
      <c r="AB35" s="828">
        <f t="shared" si="5"/>
        <v>80</v>
      </c>
      <c r="AC35" s="829">
        <f t="shared" si="4"/>
        <v>1</v>
      </c>
    </row>
    <row r="36" spans="2:29" ht="21" thickBot="1" x14ac:dyDescent="0.3">
      <c r="B36" s="16">
        <f t="shared" si="0"/>
        <v>27</v>
      </c>
      <c r="C36" s="106" t="s">
        <v>76</v>
      </c>
      <c r="D36" s="107" t="s">
        <v>77</v>
      </c>
      <c r="E36" s="599" t="str">
        <f t="shared" si="1"/>
        <v>ReinoldEllingsen</v>
      </c>
      <c r="F36" s="192">
        <f>YEAR(I$5)-_xlfn.XLOOKUP(E36,Deltakerliste!E$5:E$98,Deltakerliste!I$5:I$98)</f>
        <v>74</v>
      </c>
      <c r="G36" s="192">
        <f>_xlfn.XLOOKUP(E36,Deltakerliste!E$5:E$98,Deltakerliste!H$5:H$98)</f>
        <v>2</v>
      </c>
      <c r="H36" s="592">
        <f>VLOOKUP(F36,Deltakerliste!P$6:T$84,G36,FALSE)</f>
        <v>1.569</v>
      </c>
      <c r="I36" s="13">
        <v>2.2025462962962962E-2</v>
      </c>
      <c r="J36" s="13"/>
      <c r="K36" s="13"/>
      <c r="L36" s="600">
        <f t="shared" si="2"/>
        <v>1.0011574074074072E-2</v>
      </c>
      <c r="M36" s="594">
        <f>IF(L36="Løype",Poengsammendrag!$F$2,IF(L36="Arr",Poengsammendrag!$F$3,IF(L36="Brutt",50,IF(L36="Disk",50,ROUND(MAXA(100*(MIN(L$10:L$89)/L36),50),0)))))</f>
        <v>73</v>
      </c>
      <c r="N36" s="724">
        <f t="shared" si="3"/>
        <v>6.3808630172556228E-3</v>
      </c>
      <c r="O36" s="596">
        <f>IF(N36="Løype",Poengsammendrag!$F$2,IF(N36="Arr",Poengsammendrag!$F$3,IF(N36="Brutt",50,IF(N36="Disk",50,ROUND(MAXA(100*(MIN(N$10:N$89)/N36),50),0)))))</f>
        <v>73</v>
      </c>
      <c r="S36" s="803" t="s">
        <v>124</v>
      </c>
      <c r="T36" s="736">
        <v>1.0684974747474747E-2</v>
      </c>
      <c r="U36" s="752">
        <v>69</v>
      </c>
      <c r="V36" s="781"/>
      <c r="W36" s="776" t="s">
        <v>76</v>
      </c>
      <c r="X36" s="740">
        <v>73</v>
      </c>
      <c r="AB36" s="828">
        <f t="shared" si="5"/>
        <v>81</v>
      </c>
      <c r="AC36" s="829">
        <f t="shared" si="4"/>
        <v>2</v>
      </c>
    </row>
    <row r="37" spans="2:29" ht="21" customHeight="1" thickBot="1" x14ac:dyDescent="0.3">
      <c r="B37" s="16">
        <f t="shared" si="0"/>
        <v>28</v>
      </c>
      <c r="C37" s="106" t="s">
        <v>114</v>
      </c>
      <c r="D37" s="107" t="s">
        <v>115</v>
      </c>
      <c r="E37" s="599" t="str">
        <f t="shared" si="1"/>
        <v>MagnusLandstad</v>
      </c>
      <c r="F37" s="192">
        <f>YEAR(I$5)-_xlfn.XLOOKUP(E37,Deltakerliste!E$5:E$98,Deltakerliste!I$5:I$98)</f>
        <v>82</v>
      </c>
      <c r="G37" s="192">
        <f>_xlfn.XLOOKUP(E37,Deltakerliste!E$5:E$98,Deltakerliste!H$5:H$98)</f>
        <v>2</v>
      </c>
      <c r="H37" s="592">
        <f>VLOOKUP(F37,Deltakerliste!P$6:T$84,G37,FALSE)</f>
        <v>2.0030000000000001</v>
      </c>
      <c r="I37" s="86"/>
      <c r="J37" s="86">
        <v>4.1134259259259259E-2</v>
      </c>
      <c r="K37" s="13"/>
      <c r="L37" s="600">
        <f t="shared" si="2"/>
        <v>1.2854456018518519E-2</v>
      </c>
      <c r="M37" s="594">
        <f>IF(L37="Løype",Poengsammendrag!$F$2,IF(L37="Arr",Poengsammendrag!$F$3,IF(L37="Brutt",50,IF(L37="Disk",50,ROUND(MAXA(100*(MIN(L$10:L$89)/L37),50),0)))))</f>
        <v>57</v>
      </c>
      <c r="N37" s="724">
        <f t="shared" si="3"/>
        <v>6.4176016068489853E-3</v>
      </c>
      <c r="O37" s="596">
        <f>IF(N37="Løype",Poengsammendrag!$F$2,IF(N37="Arr",Poengsammendrag!$F$3,IF(N37="Brutt",50,IF(N37="Disk",50,ROUND(MAXA(100*(MIN(N$10:N$89)/N37),50),0)))))</f>
        <v>73</v>
      </c>
      <c r="S37" s="803" t="s">
        <v>349</v>
      </c>
      <c r="T37" s="736">
        <v>1.0869107744107744E-2</v>
      </c>
      <c r="U37" s="752">
        <v>67</v>
      </c>
      <c r="V37" s="781"/>
      <c r="W37" s="776" t="s">
        <v>114</v>
      </c>
      <c r="X37" s="740">
        <v>73</v>
      </c>
      <c r="AB37" s="828">
        <f t="shared" si="5"/>
        <v>82</v>
      </c>
      <c r="AC37" s="829">
        <f t="shared" si="4"/>
        <v>1</v>
      </c>
    </row>
    <row r="38" spans="2:29" ht="21" customHeight="1" thickBot="1" x14ac:dyDescent="0.3">
      <c r="B38" s="16">
        <f t="shared" si="0"/>
        <v>29</v>
      </c>
      <c r="C38" s="106" t="s">
        <v>72</v>
      </c>
      <c r="D38" s="107" t="s">
        <v>73</v>
      </c>
      <c r="E38" s="599" t="str">
        <f t="shared" si="1"/>
        <v>KåreEggereide</v>
      </c>
      <c r="F38" s="192">
        <f>YEAR(I$5)-_xlfn.XLOOKUP(E38,Deltakerliste!E$5:E$98,Deltakerliste!I$5:I$98)</f>
        <v>74</v>
      </c>
      <c r="G38" s="192">
        <f>_xlfn.XLOOKUP(E38,Deltakerliste!E$5:E$98,Deltakerliste!H$5:H$98)</f>
        <v>2</v>
      </c>
      <c r="H38" s="592">
        <f>VLOOKUP(F38,Deltakerliste!P$6:T$84,G38,FALSE)</f>
        <v>1.569</v>
      </c>
      <c r="I38" s="593"/>
      <c r="J38" s="13">
        <v>3.2500000000000001E-2</v>
      </c>
      <c r="K38" s="13"/>
      <c r="L38" s="600">
        <f t="shared" si="2"/>
        <v>1.015625E-2</v>
      </c>
      <c r="M38" s="594">
        <f>IF(L38="Løype",Poengsammendrag!$F$2,IF(L38="Arr",Poengsammendrag!$F$3,IF(L38="Brutt",50,IF(L38="Disk",50,ROUND(MAXA(100*(MIN(L$10:L$89)/L38),50),0)))))</f>
        <v>72</v>
      </c>
      <c r="N38" s="724">
        <f t="shared" si="3"/>
        <v>6.4730720203951568E-3</v>
      </c>
      <c r="O38" s="596">
        <f>IF(N38="Løype",Poengsammendrag!$F$2,IF(N38="Arr",Poengsammendrag!$F$3,IF(N38="Brutt",50,IF(N38="Disk",50,ROUND(MAXA(100*(MIN(N$10:N$89)/N38),50),0)))))</f>
        <v>72</v>
      </c>
      <c r="S38" s="803" t="s">
        <v>122</v>
      </c>
      <c r="T38" s="736">
        <v>1.0879629629629628E-2</v>
      </c>
      <c r="U38" s="752">
        <v>67</v>
      </c>
      <c r="V38" s="781"/>
      <c r="W38" s="776" t="s">
        <v>350</v>
      </c>
      <c r="X38" s="740">
        <v>72</v>
      </c>
      <c r="AB38" s="828">
        <f t="shared" si="5"/>
        <v>83</v>
      </c>
      <c r="AC38" s="829">
        <f t="shared" si="4"/>
        <v>0</v>
      </c>
    </row>
    <row r="39" spans="2:29" ht="21" customHeight="1" thickBot="1" x14ac:dyDescent="0.3">
      <c r="B39" s="16">
        <f t="shared" si="0"/>
        <v>30</v>
      </c>
      <c r="C39" s="106" t="s">
        <v>263</v>
      </c>
      <c r="D39" s="107" t="s">
        <v>264</v>
      </c>
      <c r="E39" s="599" t="str">
        <f t="shared" si="1"/>
        <v>RuneHolt</v>
      </c>
      <c r="F39" s="192">
        <f>YEAR(I$5)-_xlfn.XLOOKUP(E39,Deltakerliste!E$5:E$98,Deltakerliste!I$5:I$98)</f>
        <v>72</v>
      </c>
      <c r="G39" s="192">
        <f>_xlfn.XLOOKUP(E39,Deltakerliste!E$5:E$98,Deltakerliste!H$5:H$98)</f>
        <v>2</v>
      </c>
      <c r="H39" s="592">
        <f>VLOOKUP(F39,Deltakerliste!P$6:T$84,G39,FALSE)</f>
        <v>1.4969999999999999</v>
      </c>
      <c r="I39" s="86">
        <v>2.2291666666666668E-2</v>
      </c>
      <c r="J39" s="86"/>
      <c r="K39" s="17"/>
      <c r="L39" s="600">
        <f t="shared" si="2"/>
        <v>1.0132575757575757E-2</v>
      </c>
      <c r="M39" s="594">
        <f>IF(L39="Løype",Poengsammendrag!$F$2,IF(L39="Arr",Poengsammendrag!$F$3,IF(L39="Brutt",50,IF(L39="Disk",50,ROUND(MAXA(100*(MIN(L$10:L$89)/L39),50),0)))))</f>
        <v>72</v>
      </c>
      <c r="N39" s="724">
        <f t="shared" si="3"/>
        <v>6.7685876804113275E-3</v>
      </c>
      <c r="O39" s="596">
        <f>IF(N39="Løype",Poengsammendrag!$F$2,IF(N39="Arr",Poengsammendrag!$F$3,IF(N39="Brutt",50,IF(N39="Disk",50,ROUND(MAXA(100*(MIN(N$10:N$89)/N39),50),0)))))</f>
        <v>69</v>
      </c>
      <c r="S39" s="803" t="s">
        <v>357</v>
      </c>
      <c r="T39" s="736">
        <v>1.113215488215488E-2</v>
      </c>
      <c r="U39" s="752">
        <v>66</v>
      </c>
      <c r="V39" s="781"/>
      <c r="W39" s="776" t="s">
        <v>263</v>
      </c>
      <c r="X39" s="740">
        <v>69</v>
      </c>
      <c r="AB39" s="828">
        <f t="shared" si="5"/>
        <v>84</v>
      </c>
      <c r="AC39" s="829">
        <f t="shared" si="4"/>
        <v>1</v>
      </c>
    </row>
    <row r="40" spans="2:29" ht="21" thickBot="1" x14ac:dyDescent="0.3">
      <c r="B40" s="16">
        <f t="shared" si="0"/>
        <v>31</v>
      </c>
      <c r="C40" s="106" t="s">
        <v>116</v>
      </c>
      <c r="D40" s="107" t="s">
        <v>117</v>
      </c>
      <c r="E40" s="599" t="str">
        <f t="shared" si="1"/>
        <v>AndersLauglo</v>
      </c>
      <c r="F40" s="192">
        <f>YEAR(I$5)-_xlfn.XLOOKUP(E40,Deltakerliste!E$5:E$98,Deltakerliste!I$5:I$98)</f>
        <v>86</v>
      </c>
      <c r="G40" s="192">
        <f>_xlfn.XLOOKUP(E40,Deltakerliste!E$5:E$98,Deltakerliste!H$5:H$98)</f>
        <v>2</v>
      </c>
      <c r="H40" s="592">
        <f>VLOOKUP(F40,Deltakerliste!P$6:T$84,G40,FALSE)</f>
        <v>2.3089999999999997</v>
      </c>
      <c r="I40" s="13">
        <v>3.4386574074074076E-2</v>
      </c>
      <c r="J40" s="13"/>
      <c r="K40" s="86"/>
      <c r="L40" s="600">
        <f t="shared" si="2"/>
        <v>1.5630260942760942E-2</v>
      </c>
      <c r="M40" s="594">
        <f>IF(L40="Løype",Poengsammendrag!$F$2,IF(L40="Arr",Poengsammendrag!$F$3,IF(L40="Brutt",50,IF(L40="Disk",50,ROUND(MAXA(100*(MIN(L$10:L$89)/L40),50),0)))))</f>
        <v>50</v>
      </c>
      <c r="N40" s="724">
        <f t="shared" si="3"/>
        <v>6.7692771514772385E-3</v>
      </c>
      <c r="O40" s="596">
        <f>IF(N40="Løype",Poengsammendrag!$F$2,IF(N40="Arr",Poengsammendrag!$F$3,IF(N40="Brutt",50,IF(N40="Disk",50,ROUND(MAXA(100*(MIN(N$10:N$89)/N40),50),0)))))</f>
        <v>69</v>
      </c>
      <c r="S40" s="803" t="s">
        <v>96</v>
      </c>
      <c r="T40" s="736">
        <v>1.1489898989898989E-2</v>
      </c>
      <c r="U40" s="752">
        <v>64</v>
      </c>
      <c r="V40" s="781"/>
      <c r="W40" s="776" t="s">
        <v>315</v>
      </c>
      <c r="X40" s="740">
        <v>69</v>
      </c>
      <c r="AB40" s="828">
        <f t="shared" si="5"/>
        <v>85</v>
      </c>
      <c r="AC40" s="829">
        <f t="shared" si="4"/>
        <v>1</v>
      </c>
    </row>
    <row r="41" spans="2:29" ht="21" thickBot="1" x14ac:dyDescent="0.3">
      <c r="B41" s="16">
        <f t="shared" si="0"/>
        <v>32</v>
      </c>
      <c r="C41" s="106" t="s">
        <v>94</v>
      </c>
      <c r="D41" s="107" t="s">
        <v>95</v>
      </c>
      <c r="E41" s="599" t="str">
        <f t="shared" si="1"/>
        <v>TerjeHanssen</v>
      </c>
      <c r="F41" s="192">
        <f>YEAR(I$5)-_xlfn.XLOOKUP(E41,Deltakerliste!E$5:E$98,Deltakerliste!I$5:I$98)</f>
        <v>77</v>
      </c>
      <c r="G41" s="192">
        <f>_xlfn.XLOOKUP(E41,Deltakerliste!E$5:E$98,Deltakerliste!H$5:H$98)</f>
        <v>2</v>
      </c>
      <c r="H41" s="592">
        <f>VLOOKUP(F41,Deltakerliste!P$6:T$84,G41,FALSE)</f>
        <v>1.7050000000000001</v>
      </c>
      <c r="I41" s="86">
        <v>2.5752314814814815E-2</v>
      </c>
      <c r="J41" s="86"/>
      <c r="K41" s="17"/>
      <c r="L41" s="600">
        <f t="shared" si="2"/>
        <v>1.1705597643097643E-2</v>
      </c>
      <c r="M41" s="594">
        <f>IF(L41="Løype",Poengsammendrag!$F$2,IF(L41="Arr",Poengsammendrag!$F$3,IF(L41="Brutt",50,IF(L41="Disk",50,ROUND(MAXA(100*(MIN(L$10:L$89)/L41),50),0)))))</f>
        <v>63</v>
      </c>
      <c r="N41" s="724">
        <f t="shared" si="3"/>
        <v>6.8654531631071212E-3</v>
      </c>
      <c r="O41" s="596">
        <f>IF(N41="Løype",Poengsammendrag!$F$2,IF(N41="Arr",Poengsammendrag!$F$3,IF(N41="Brutt",50,IF(N41="Disk",50,ROUND(MAXA(100*(MIN(N$10:N$89)/N41),50),0)))))</f>
        <v>68</v>
      </c>
      <c r="S41" s="803" t="s">
        <v>94</v>
      </c>
      <c r="T41" s="736">
        <v>1.1705597643097643E-2</v>
      </c>
      <c r="U41" s="752">
        <v>63</v>
      </c>
      <c r="V41" s="781"/>
      <c r="W41" s="776" t="s">
        <v>94</v>
      </c>
      <c r="X41" s="740">
        <v>68</v>
      </c>
      <c r="AB41" s="828">
        <f t="shared" si="5"/>
        <v>86</v>
      </c>
      <c r="AC41" s="829">
        <f t="shared" si="4"/>
        <v>2</v>
      </c>
    </row>
    <row r="42" spans="2:29" ht="21" customHeight="1" thickBot="1" x14ac:dyDescent="0.3">
      <c r="B42" s="16">
        <f t="shared" si="0"/>
        <v>33</v>
      </c>
      <c r="C42" s="106" t="s">
        <v>103</v>
      </c>
      <c r="D42" s="107" t="s">
        <v>104</v>
      </c>
      <c r="E42" s="599" t="str">
        <f t="shared" ref="E42:E73" si="6">_xlfn.CONCAT(C42:D42)</f>
        <v>SveinHove</v>
      </c>
      <c r="F42" s="192">
        <f>YEAR(I$5)-_xlfn.XLOOKUP(E42,Deltakerliste!E$5:E$98,Deltakerliste!I$5:I$98)</f>
        <v>78</v>
      </c>
      <c r="G42" s="192">
        <f>_xlfn.XLOOKUP(E42,Deltakerliste!E$5:E$98,Deltakerliste!H$5:H$98)</f>
        <v>2</v>
      </c>
      <c r="H42" s="592">
        <f>VLOOKUP(F42,Deltakerliste!P$6:T$84,G42,FALSE)</f>
        <v>1.7550000000000001</v>
      </c>
      <c r="I42" s="86">
        <v>2.7488425925925927E-2</v>
      </c>
      <c r="J42" s="86"/>
      <c r="K42" s="17"/>
      <c r="L42" s="600">
        <f t="shared" si="2"/>
        <v>1.2494739057239057E-2</v>
      </c>
      <c r="M42" s="594">
        <f>IF(L42="Løype",Poengsammendrag!$F$2,IF(L42="Arr",Poengsammendrag!$F$3,IF(L42="Brutt",50,IF(L42="Disk",50,ROUND(MAXA(100*(MIN(L$10:L$89)/L42),50),0)))))</f>
        <v>59</v>
      </c>
      <c r="N42" s="724">
        <f t="shared" si="3"/>
        <v>7.119509434324248E-3</v>
      </c>
      <c r="O42" s="596">
        <f>IF(N42="Løype",Poengsammendrag!$F$2,IF(N42="Arr",Poengsammendrag!$F$3,IF(N42="Brutt",50,IF(N42="Disk",50,ROUND(MAXA(100*(MIN(N$10:N$89)/N42),50),0)))))</f>
        <v>65</v>
      </c>
      <c r="S42" s="803" t="s">
        <v>161</v>
      </c>
      <c r="T42" s="796">
        <v>1.2305345117845118E-2</v>
      </c>
      <c r="U42" s="765">
        <v>60</v>
      </c>
      <c r="V42" s="782"/>
      <c r="W42" s="777" t="s">
        <v>103</v>
      </c>
      <c r="X42" s="762">
        <v>65</v>
      </c>
      <c r="AB42" s="828">
        <f t="shared" si="5"/>
        <v>87</v>
      </c>
      <c r="AC42" s="829">
        <f t="shared" si="4"/>
        <v>0</v>
      </c>
    </row>
    <row r="43" spans="2:29" ht="21" thickBot="1" x14ac:dyDescent="0.3">
      <c r="B43" s="16">
        <f t="shared" si="0"/>
        <v>34</v>
      </c>
      <c r="C43" s="106" t="s">
        <v>269</v>
      </c>
      <c r="D43" s="107" t="s">
        <v>270</v>
      </c>
      <c r="E43" s="599" t="str">
        <f t="shared" si="6"/>
        <v>Per OlavJohansen</v>
      </c>
      <c r="F43" s="192">
        <f>YEAR(I$5)-_xlfn.XLOOKUP(E43,Deltakerliste!E$5:E$98,Deltakerliste!I$5:I$98)</f>
        <v>67</v>
      </c>
      <c r="G43" s="192">
        <f>_xlfn.XLOOKUP(E43,Deltakerliste!E$5:E$98,Deltakerliste!H$5:H$98)</f>
        <v>2</v>
      </c>
      <c r="H43" s="592">
        <f>VLOOKUP(F43,Deltakerliste!P$6:T$84,G43,FALSE)</f>
        <v>1.3469999999999998</v>
      </c>
      <c r="I43" s="132">
        <v>2.1319444444444443E-2</v>
      </c>
      <c r="J43" s="132"/>
      <c r="K43" s="134"/>
      <c r="L43" s="600">
        <f t="shared" si="2"/>
        <v>9.6906565656565639E-3</v>
      </c>
      <c r="M43" s="594">
        <f>IF(L43="Løype",Poengsammendrag!$F$2,IF(L43="Arr",Poengsammendrag!$F$3,IF(L43="Brutt",50,IF(L43="Disk",50,ROUND(MAXA(100*(MIN(L$10:L$89)/L43),50),0)))))</f>
        <v>76</v>
      </c>
      <c r="N43" s="724">
        <f t="shared" si="3"/>
        <v>7.1942513479261805E-3</v>
      </c>
      <c r="O43" s="596">
        <f>IF(N43="Løype",Poengsammendrag!$F$2,IF(N43="Arr",Poengsammendrag!$F$3,IF(N43="Brutt",50,IF(N43="Disk",50,ROUND(MAXA(100*(MIN(N$10:N$89)/N43),50),0)))))</f>
        <v>65</v>
      </c>
      <c r="S43" s="803" t="s">
        <v>103</v>
      </c>
      <c r="T43" s="797">
        <v>1.2494739057239057E-2</v>
      </c>
      <c r="U43" s="770">
        <v>59</v>
      </c>
      <c r="V43" s="778"/>
      <c r="W43" s="783" t="s">
        <v>269</v>
      </c>
      <c r="X43" s="740">
        <v>65</v>
      </c>
      <c r="AB43" s="828">
        <f t="shared" si="5"/>
        <v>88</v>
      </c>
      <c r="AC43" s="829">
        <f t="shared" si="4"/>
        <v>0</v>
      </c>
    </row>
    <row r="44" spans="2:29" ht="21" customHeight="1" thickBot="1" x14ac:dyDescent="0.3">
      <c r="B44" s="16">
        <f t="shared" si="0"/>
        <v>35</v>
      </c>
      <c r="C44" s="106" t="s">
        <v>161</v>
      </c>
      <c r="D44" s="107" t="s">
        <v>162</v>
      </c>
      <c r="E44" s="599" t="str">
        <f t="shared" si="6"/>
        <v>Nils OlavVennevik</v>
      </c>
      <c r="F44" s="192">
        <f>YEAR(I$5)-_xlfn.XLOOKUP(E44,Deltakerliste!E$5:E$98,Deltakerliste!I$5:I$98)</f>
        <v>77</v>
      </c>
      <c r="G44" s="192">
        <f>_xlfn.XLOOKUP(E44,Deltakerliste!E$5:E$98,Deltakerliste!H$5:H$98)</f>
        <v>2</v>
      </c>
      <c r="H44" s="592">
        <f>VLOOKUP(F44,Deltakerliste!P$6:T$84,G44,FALSE)</f>
        <v>1.7050000000000001</v>
      </c>
      <c r="I44" s="132">
        <v>2.7071759259259261E-2</v>
      </c>
      <c r="J44" s="18"/>
      <c r="K44" s="18"/>
      <c r="L44" s="600">
        <f t="shared" si="2"/>
        <v>1.2305345117845118E-2</v>
      </c>
      <c r="M44" s="594">
        <f>IF(L44="Løype",Poengsammendrag!$F$2,IF(L44="Arr",Poengsammendrag!$F$3,IF(L44="Brutt",50,IF(L44="Disk",50,ROUND(MAXA(100*(MIN(L$10:L$89)/L44),50),0)))))</f>
        <v>60</v>
      </c>
      <c r="N44" s="724">
        <f t="shared" si="3"/>
        <v>7.2172112128123852E-3</v>
      </c>
      <c r="O44" s="596">
        <f>IF(N44="Løype",Poengsammendrag!$F$2,IF(N44="Arr",Poengsammendrag!$F$3,IF(N44="Brutt",50,IF(N44="Disk",50,ROUND(MAXA(100*(MIN(N$10:N$89)/N44),50),0)))))</f>
        <v>64</v>
      </c>
      <c r="S44" s="803" t="s">
        <v>373</v>
      </c>
      <c r="T44" s="797">
        <v>1.2605218855218854E-2</v>
      </c>
      <c r="U44" s="770">
        <v>58</v>
      </c>
      <c r="V44" s="772"/>
      <c r="W44" s="783" t="s">
        <v>161</v>
      </c>
      <c r="X44" s="740">
        <v>64</v>
      </c>
      <c r="AB44" s="828">
        <f t="shared" si="5"/>
        <v>89</v>
      </c>
      <c r="AC44" s="829">
        <f t="shared" si="4"/>
        <v>0</v>
      </c>
    </row>
    <row r="45" spans="2:29" ht="21" thickBot="1" x14ac:dyDescent="0.3">
      <c r="B45" s="16">
        <f t="shared" si="0"/>
        <v>36</v>
      </c>
      <c r="C45" s="106" t="s">
        <v>63</v>
      </c>
      <c r="D45" s="107" t="s">
        <v>336</v>
      </c>
      <c r="E45" s="599" t="str">
        <f t="shared" si="6"/>
        <v>ToreFornes</v>
      </c>
      <c r="F45" s="192">
        <f>YEAR(I$5)-_xlfn.XLOOKUP(E45,Deltakerliste!E$5:E$98,Deltakerliste!I$5:I$98)</f>
        <v>66</v>
      </c>
      <c r="G45" s="192">
        <f>_xlfn.XLOOKUP(E45,Deltakerliste!E$5:E$98,Deltakerliste!H$5:H$98)</f>
        <v>2</v>
      </c>
      <c r="H45" s="592">
        <f>VLOOKUP(F45,Deltakerliste!P$6:T$84,G45,FALSE)</f>
        <v>1.3209999999999997</v>
      </c>
      <c r="I45" s="86"/>
      <c r="J45" s="86">
        <v>3.2407407407407406E-2</v>
      </c>
      <c r="K45" s="13"/>
      <c r="L45" s="600">
        <f t="shared" si="2"/>
        <v>1.0127314814814813E-2</v>
      </c>
      <c r="M45" s="594">
        <f>IF(L45="Løype",Poengsammendrag!$F$2,IF(L45="Arr",Poengsammendrag!$F$3,IF(L45="Brutt",50,IF(L45="Disk",50,ROUND(MAXA(100*(MIN(L$10:L$89)/L45),50),0)))))</f>
        <v>72</v>
      </c>
      <c r="N45" s="724">
        <f t="shared" si="3"/>
        <v>7.6664003140157573E-3</v>
      </c>
      <c r="O45" s="596">
        <f>IF(N45="Løype",Poengsammendrag!$F$2,IF(N45="Arr",Poengsammendrag!$F$3,IF(N45="Brutt",50,IF(N45="Disk",50,ROUND(MAXA(100*(MIN(N$10:N$89)/N45),50),0)))))</f>
        <v>61</v>
      </c>
      <c r="S45" s="803" t="s">
        <v>114</v>
      </c>
      <c r="T45" s="797">
        <v>1.2854456018518519E-2</v>
      </c>
      <c r="U45" s="770">
        <v>57</v>
      </c>
      <c r="V45" s="772"/>
      <c r="W45" s="783" t="s">
        <v>346</v>
      </c>
      <c r="X45" s="740">
        <v>61</v>
      </c>
      <c r="AB45" s="828">
        <f t="shared" si="5"/>
        <v>90</v>
      </c>
      <c r="AC45" s="829">
        <f t="shared" si="4"/>
        <v>0</v>
      </c>
    </row>
    <row r="46" spans="2:29" ht="21" thickBot="1" x14ac:dyDescent="0.3">
      <c r="B46" s="16">
        <f t="shared" si="0"/>
        <v>37</v>
      </c>
      <c r="C46" s="106" t="s">
        <v>130</v>
      </c>
      <c r="D46" s="107" t="s">
        <v>131</v>
      </c>
      <c r="E46" s="599" t="str">
        <f t="shared" si="6"/>
        <v>AtleMørk</v>
      </c>
      <c r="F46" s="192">
        <f>YEAR(I$5)-_xlfn.XLOOKUP(E46,Deltakerliste!E$5:E$98,Deltakerliste!I$5:I$98)</f>
        <v>76</v>
      </c>
      <c r="G46" s="192">
        <f>_xlfn.XLOOKUP(E46,Deltakerliste!E$5:E$98,Deltakerliste!H$5:H$98)</f>
        <v>2</v>
      </c>
      <c r="H46" s="592">
        <f>VLOOKUP(F46,Deltakerliste!P$6:T$84,G46,FALSE)</f>
        <v>1.655</v>
      </c>
      <c r="I46" s="132">
        <v>2.9166666666666667E-2</v>
      </c>
      <c r="J46" s="132"/>
      <c r="K46" s="132"/>
      <c r="L46" s="600">
        <f t="shared" si="2"/>
        <v>1.3257575757575756E-2</v>
      </c>
      <c r="M46" s="594">
        <f>IF(L46="Løype",Poengsammendrag!$F$2,IF(L46="Arr",Poengsammendrag!$F$3,IF(L46="Brutt",50,IF(L46="Disk",50,ROUND(MAXA(100*(MIN(L$10:L$89)/L46),50),0)))))</f>
        <v>55</v>
      </c>
      <c r="N46" s="724">
        <f t="shared" si="3"/>
        <v>8.0106197930971332E-3</v>
      </c>
      <c r="O46" s="596">
        <f>IF(N46="Løype",Poengsammendrag!$F$2,IF(N46="Arr",Poengsammendrag!$F$3,IF(N46="Brutt",50,IF(N46="Disk",50,ROUND(MAXA(100*(MIN(N$10:N$89)/N46),50),0)))))</f>
        <v>58</v>
      </c>
      <c r="S46" s="803" t="s">
        <v>130</v>
      </c>
      <c r="T46" s="797">
        <v>1.3257575757575756E-2</v>
      </c>
      <c r="U46" s="770">
        <v>55</v>
      </c>
      <c r="V46" s="772"/>
      <c r="W46" s="783" t="s">
        <v>130</v>
      </c>
      <c r="X46" s="740">
        <v>58</v>
      </c>
      <c r="AB46" s="828">
        <f t="shared" si="5"/>
        <v>91</v>
      </c>
      <c r="AC46" s="829">
        <f t="shared" si="4"/>
        <v>0</v>
      </c>
    </row>
    <row r="47" spans="2:29" ht="21" customHeight="1" thickBot="1" x14ac:dyDescent="0.3">
      <c r="B47" s="16">
        <f t="shared" si="0"/>
        <v>38</v>
      </c>
      <c r="C47" s="106" t="s">
        <v>60</v>
      </c>
      <c r="D47" s="107" t="s">
        <v>372</v>
      </c>
      <c r="E47" s="599" t="str">
        <f t="shared" si="6"/>
        <v>JosteinGrepstad</v>
      </c>
      <c r="F47" s="192">
        <f>YEAR(I$5)-_xlfn.XLOOKUP(E47,Deltakerliste!E$5:E$98,Deltakerliste!I$5:I$98)</f>
        <v>74</v>
      </c>
      <c r="G47" s="192">
        <f>_xlfn.XLOOKUP(E47,Deltakerliste!E$5:E$98,Deltakerliste!H$5:H$98)</f>
        <v>2</v>
      </c>
      <c r="H47" s="592">
        <f>VLOOKUP(F47,Deltakerliste!P$6:T$84,G47,FALSE)</f>
        <v>1.569</v>
      </c>
      <c r="I47" s="14">
        <v>2.7731481481481482E-2</v>
      </c>
      <c r="J47" s="14"/>
      <c r="K47" s="18"/>
      <c r="L47" s="600">
        <f t="shared" si="2"/>
        <v>1.2605218855218854E-2</v>
      </c>
      <c r="M47" s="594">
        <f>IF(L47="Løype",Poengsammendrag!$F$2,IF(L47="Arr",Poengsammendrag!$F$3,IF(L47="Brutt",50,IF(L47="Disk",50,ROUND(MAXA(100*(MIN(L$10:L$89)/L47),50),0)))))</f>
        <v>58</v>
      </c>
      <c r="N47" s="724">
        <f t="shared" si="3"/>
        <v>8.0339189644479635E-3</v>
      </c>
      <c r="O47" s="596">
        <f>IF(N47="Løype",Poengsammendrag!$F$2,IF(N47="Arr",Poengsammendrag!$F$3,IF(N47="Brutt",50,IF(N47="Disk",50,ROUND(MAXA(100*(MIN(N$10:N$89)/N47),50),0)))))</f>
        <v>58</v>
      </c>
      <c r="S47" s="803" t="s">
        <v>315</v>
      </c>
      <c r="T47" s="797">
        <v>1.5630260942760942E-2</v>
      </c>
      <c r="U47" s="770">
        <v>50</v>
      </c>
      <c r="V47" s="772"/>
      <c r="W47" s="783" t="s">
        <v>373</v>
      </c>
      <c r="X47" s="740">
        <v>58</v>
      </c>
      <c r="AB47" s="828">
        <f t="shared" si="5"/>
        <v>92</v>
      </c>
      <c r="AC47" s="829">
        <f t="shared" si="4"/>
        <v>0</v>
      </c>
    </row>
    <row r="48" spans="2:29" ht="21" customHeight="1" thickBot="1" x14ac:dyDescent="0.3">
      <c r="B48" s="16">
        <f t="shared" si="0"/>
        <v>39</v>
      </c>
      <c r="C48" s="106" t="s">
        <v>86</v>
      </c>
      <c r="D48" s="107" t="s">
        <v>87</v>
      </c>
      <c r="E48" s="599" t="str">
        <f t="shared" si="6"/>
        <v>KristianFougner</v>
      </c>
      <c r="F48" s="192">
        <f>YEAR(I$5)-_xlfn.XLOOKUP(E48,Deltakerliste!E$5:E$98,Deltakerliste!I$5:I$98)</f>
        <v>75</v>
      </c>
      <c r="G48" s="192">
        <f>_xlfn.XLOOKUP(E48,Deltakerliste!E$5:E$98,Deltakerliste!H$5:H$98)</f>
        <v>2</v>
      </c>
      <c r="H48" s="592">
        <f>VLOOKUP(F48,Deltakerliste!P$6:T$84,G48,FALSE)</f>
        <v>1.605</v>
      </c>
      <c r="I48" s="86"/>
      <c r="J48" s="86" t="s">
        <v>7</v>
      </c>
      <c r="K48" s="13"/>
      <c r="L48" s="600" t="str">
        <f t="shared" si="2"/>
        <v>Arr</v>
      </c>
      <c r="M48" s="594">
        <f>IF(L48="Løype",Poengsammendrag!$F$2,IF(L48="Arr",Poengsammendrag!$F$3,IF(L48="Brutt",50,IF(L48="Disk",50,ROUND(MAXA(100*(MIN(L$10:L$89)/L48),50),0)))))</f>
        <v>94</v>
      </c>
      <c r="N48" s="724" t="str">
        <f t="shared" si="3"/>
        <v>Arr</v>
      </c>
      <c r="O48" s="596">
        <f>IF(N48="Løype",Poengsammendrag!$F$2,IF(N48="Arr",Poengsammendrag!$F$3,IF(N48="Brutt",50,IF(N48="Disk",50,ROUND(MAXA(100*(MIN(N$10:N$89)/N48),50),0)))))</f>
        <v>94</v>
      </c>
      <c r="S48" s="803" t="s">
        <v>86</v>
      </c>
      <c r="T48" s="797" t="s">
        <v>7</v>
      </c>
      <c r="U48" s="770">
        <v>94</v>
      </c>
      <c r="V48" s="772"/>
      <c r="W48" s="783" t="s">
        <v>86</v>
      </c>
      <c r="X48" s="740">
        <v>94</v>
      </c>
      <c r="AB48" s="828">
        <f t="shared" si="5"/>
        <v>93</v>
      </c>
      <c r="AC48" s="829">
        <f t="shared" si="4"/>
        <v>0</v>
      </c>
    </row>
    <row r="49" spans="2:29" ht="21" customHeight="1" thickBot="1" x14ac:dyDescent="0.3">
      <c r="B49" s="16">
        <f t="shared" si="0"/>
        <v>40</v>
      </c>
      <c r="C49" s="106" t="s">
        <v>142</v>
      </c>
      <c r="D49" s="107" t="s">
        <v>143</v>
      </c>
      <c r="E49" s="599" t="str">
        <f t="shared" si="6"/>
        <v>EgilRepvik</v>
      </c>
      <c r="F49" s="192">
        <f>YEAR(I$5)-_xlfn.XLOOKUP(E49,Deltakerliste!E$5:E$98,Deltakerliste!I$5:I$98)</f>
        <v>79</v>
      </c>
      <c r="G49" s="192">
        <f>_xlfn.XLOOKUP(E49,Deltakerliste!E$5:E$98,Deltakerliste!H$5:H$98)</f>
        <v>2</v>
      </c>
      <c r="H49" s="592">
        <f>VLOOKUP(F49,Deltakerliste!P$6:T$84,G49,FALSE)</f>
        <v>1.8050000000000002</v>
      </c>
      <c r="I49" s="132" t="s">
        <v>306</v>
      </c>
      <c r="J49" s="18"/>
      <c r="K49" s="18"/>
      <c r="L49" s="600" t="str">
        <f t="shared" si="2"/>
        <v>Brutt</v>
      </c>
      <c r="M49" s="594">
        <f>IF(L49="Løype",Poengsammendrag!$F$2,IF(L49="Arr",Poengsammendrag!$F$3,IF(L49="Brutt",50,IF(L49="Disk",50,ROUND(MAXA(100*(MIN(L$10:L$89)/L49),50),0)))))</f>
        <v>50</v>
      </c>
      <c r="N49" s="724" t="str">
        <f t="shared" si="3"/>
        <v>Brutt</v>
      </c>
      <c r="O49" s="596">
        <f>IF(N49="Løype",Poengsammendrag!$F$2,IF(N49="Arr",Poengsammendrag!$F$3,IF(N49="Brutt",50,IF(N49="Disk",50,ROUND(MAXA(100*(MIN(N$10:N$89)/N49),50),0)))))</f>
        <v>50</v>
      </c>
      <c r="S49" s="803" t="s">
        <v>356</v>
      </c>
      <c r="T49" s="796" t="s">
        <v>306</v>
      </c>
      <c r="U49" s="793">
        <v>50</v>
      </c>
      <c r="V49" s="794"/>
      <c r="W49" s="795" t="s">
        <v>356</v>
      </c>
      <c r="X49" s="762">
        <v>50</v>
      </c>
      <c r="AB49" s="828">
        <f t="shared" si="5"/>
        <v>94</v>
      </c>
      <c r="AC49" s="829">
        <f t="shared" si="4"/>
        <v>0</v>
      </c>
    </row>
    <row r="50" spans="2:29" ht="21" thickBot="1" x14ac:dyDescent="0.3">
      <c r="B50" s="16">
        <f t="shared" si="0"/>
        <v>41</v>
      </c>
      <c r="C50" s="106" t="s">
        <v>265</v>
      </c>
      <c r="D50" s="107" t="s">
        <v>344</v>
      </c>
      <c r="E50" s="599" t="str">
        <f t="shared" si="6"/>
        <v>ØysteinNytrø</v>
      </c>
      <c r="F50" s="192">
        <f>YEAR(I$5)-_xlfn.XLOOKUP(E50,Deltakerliste!E$5:E$98,Deltakerliste!I$5:I$98)</f>
        <v>65</v>
      </c>
      <c r="G50" s="192">
        <f>_xlfn.XLOOKUP(E50,Deltakerliste!E$5:E$98,Deltakerliste!H$5:H$98)</f>
        <v>2</v>
      </c>
      <c r="H50" s="592">
        <f>VLOOKUP(F50,Deltakerliste!P$6:T$84,G50,FALSE)</f>
        <v>1.2949999999999997</v>
      </c>
      <c r="I50" s="18"/>
      <c r="J50" s="132" t="s">
        <v>306</v>
      </c>
      <c r="K50" s="18"/>
      <c r="L50" s="600" t="str">
        <f t="shared" si="2"/>
        <v>Brutt</v>
      </c>
      <c r="M50" s="594">
        <f>IF(L50="Løype",Poengsammendrag!$F$2,IF(L50="Arr",Poengsammendrag!$F$3,IF(L50="Brutt",50,IF(L50="Disk",50,ROUND(MAXA(100*(MIN(L$10:L$89)/L50),50),0)))))</f>
        <v>50</v>
      </c>
      <c r="N50" s="724" t="str">
        <f t="shared" si="3"/>
        <v>Brutt</v>
      </c>
      <c r="O50" s="596">
        <f>IF(N50="Løype",Poengsammendrag!$F$2,IF(N50="Arr",Poengsammendrag!$F$3,IF(N50="Brutt",50,IF(N50="Disk",50,ROUND(MAXA(100*(MIN(N$10:N$89)/N50),50),0)))))</f>
        <v>50</v>
      </c>
      <c r="S50" s="803" t="s">
        <v>345</v>
      </c>
      <c r="T50" s="851" t="s">
        <v>306</v>
      </c>
      <c r="U50" s="770">
        <v>50</v>
      </c>
      <c r="V50" s="772"/>
      <c r="W50" s="783" t="s">
        <v>345</v>
      </c>
      <c r="X50" s="740">
        <v>50</v>
      </c>
      <c r="AB50" s="830">
        <f t="shared" si="5"/>
        <v>95</v>
      </c>
      <c r="AC50" s="831">
        <f t="shared" si="4"/>
        <v>0</v>
      </c>
    </row>
    <row r="51" spans="2:29" ht="21" customHeight="1" thickBot="1" x14ac:dyDescent="0.3">
      <c r="B51" s="16">
        <f t="shared" si="0"/>
        <v>42</v>
      </c>
      <c r="C51" s="106" t="s">
        <v>136</v>
      </c>
      <c r="D51" s="107" t="s">
        <v>137</v>
      </c>
      <c r="E51" s="599" t="str">
        <f t="shared" si="6"/>
        <v>HaraldOftedal</v>
      </c>
      <c r="F51" s="192">
        <f>YEAR(I$5)-_xlfn.XLOOKUP(E51,Deltakerliste!E$5:E$98,Deltakerliste!I$5:I$98)</f>
        <v>73</v>
      </c>
      <c r="G51" s="192">
        <f>_xlfn.XLOOKUP(E51,Deltakerliste!E$5:E$98,Deltakerliste!H$5:H$98)</f>
        <v>2</v>
      </c>
      <c r="H51" s="592">
        <f>VLOOKUP(F51,Deltakerliste!P$6:T$84,G51,FALSE)</f>
        <v>1.5329999999999999</v>
      </c>
      <c r="I51" s="132"/>
      <c r="J51" s="132" t="s">
        <v>62</v>
      </c>
      <c r="K51" s="134"/>
      <c r="L51" s="600" t="str">
        <f t="shared" si="2"/>
        <v>Løype</v>
      </c>
      <c r="M51" s="594">
        <f>IF(L51="Løype",Poengsammendrag!$F$2,IF(L51="Arr",Poengsammendrag!$F$3,IF(L51="Brutt",50,IF(L51="Disk",50,ROUND(MAXA(100*(MIN(L$10:L$89)/L51),50),0)))))</f>
        <v>100</v>
      </c>
      <c r="N51" s="724" t="str">
        <f t="shared" si="3"/>
        <v>Løype</v>
      </c>
      <c r="O51" s="596">
        <f>IF(N51="Løype",Poengsammendrag!$F$2,IF(N51="Arr",Poengsammendrag!$F$3,IF(N51="Brutt",50,IF(N51="Disk",50,ROUND(MAXA(100*(MIN(N$10:N$89)/N51),50),0)))))</f>
        <v>100</v>
      </c>
      <c r="S51" s="803" t="s">
        <v>136</v>
      </c>
      <c r="T51" s="797" t="s">
        <v>62</v>
      </c>
      <c r="U51" s="770">
        <v>100</v>
      </c>
      <c r="V51" s="772"/>
      <c r="W51" s="783" t="s">
        <v>136</v>
      </c>
      <c r="X51" s="740">
        <v>100</v>
      </c>
    </row>
    <row r="52" spans="2:29" ht="21" thickBot="1" x14ac:dyDescent="0.3">
      <c r="B52" s="16">
        <f t="shared" si="0"/>
        <v>43</v>
      </c>
      <c r="C52" s="106" t="s">
        <v>60</v>
      </c>
      <c r="D52" s="107" t="s">
        <v>61</v>
      </c>
      <c r="E52" s="599" t="str">
        <f t="shared" si="6"/>
        <v>JosteinAlvestad</v>
      </c>
      <c r="F52" s="192">
        <f>YEAR(I$5)-_xlfn.XLOOKUP(E52,Deltakerliste!E$5:E$98,Deltakerliste!I$5:I$98)</f>
        <v>70</v>
      </c>
      <c r="G52" s="192">
        <f>_xlfn.XLOOKUP(E52,Deltakerliste!E$5:E$98,Deltakerliste!H$5:H$98)</f>
        <v>2</v>
      </c>
      <c r="H52" s="592">
        <f>VLOOKUP(F52,Deltakerliste!P$6:T$84,G52,FALSE)</f>
        <v>1.4249999999999998</v>
      </c>
      <c r="I52" s="13"/>
      <c r="J52" s="13"/>
      <c r="K52" s="17"/>
      <c r="L52" s="600"/>
      <c r="M52" s="594"/>
      <c r="N52" s="724"/>
      <c r="O52" s="596"/>
      <c r="S52" s="803"/>
      <c r="T52" s="798"/>
      <c r="U52" s="770"/>
      <c r="V52" s="772"/>
      <c r="W52" s="783"/>
      <c r="X52" s="740"/>
      <c r="AC52" s="651">
        <f>SUM(AC10:AC50)</f>
        <v>42</v>
      </c>
    </row>
    <row r="53" spans="2:29" ht="21" thickBot="1" x14ac:dyDescent="0.3">
      <c r="B53" s="16">
        <f t="shared" si="0"/>
        <v>44</v>
      </c>
      <c r="C53" s="106" t="s">
        <v>66</v>
      </c>
      <c r="D53" s="107" t="s">
        <v>67</v>
      </c>
      <c r="E53" s="599" t="str">
        <f t="shared" si="6"/>
        <v>FrankBjarkø</v>
      </c>
      <c r="F53" s="192">
        <f>YEAR(I$5)-_xlfn.XLOOKUP(E53,Deltakerliste!E$5:E$98,Deltakerliste!I$5:I$98)</f>
        <v>73</v>
      </c>
      <c r="G53" s="192">
        <f>_xlfn.XLOOKUP(E53,Deltakerliste!E$5:E$98,Deltakerliste!H$5:H$98)</f>
        <v>2</v>
      </c>
      <c r="H53" s="592">
        <f>VLOOKUP(F53,Deltakerliste!P$6:T$84,G53,FALSE)</f>
        <v>1.5329999999999999</v>
      </c>
      <c r="I53" s="13"/>
      <c r="J53" s="13"/>
      <c r="K53" s="13"/>
      <c r="L53" s="600"/>
      <c r="M53" s="594"/>
      <c r="N53" s="724"/>
      <c r="O53" s="596"/>
      <c r="S53" s="803"/>
      <c r="T53" s="798"/>
      <c r="U53" s="770"/>
      <c r="V53" s="772"/>
      <c r="W53" s="783"/>
      <c r="X53" s="740"/>
    </row>
    <row r="54" spans="2:29" ht="21" thickBot="1" x14ac:dyDescent="0.3">
      <c r="B54" s="16">
        <f t="shared" si="0"/>
        <v>45</v>
      </c>
      <c r="C54" s="106" t="s">
        <v>364</v>
      </c>
      <c r="D54" s="107" t="s">
        <v>365</v>
      </c>
      <c r="E54" s="599" t="str">
        <f t="shared" si="6"/>
        <v>GerdBjørset</v>
      </c>
      <c r="F54" s="192">
        <f>YEAR(I$5)-_xlfn.XLOOKUP(E54,Deltakerliste!E$5:E$98,Deltakerliste!I$5:I$98)</f>
        <v>71</v>
      </c>
      <c r="G54" s="192">
        <f>_xlfn.XLOOKUP(E54,Deltakerliste!E$5:E$98,Deltakerliste!H$5:H$98)</f>
        <v>4</v>
      </c>
      <c r="H54" s="592">
        <f>VLOOKUP(F54,Deltakerliste!P$6:T$84,G54,FALSE)</f>
        <v>1.9926000000000013</v>
      </c>
      <c r="I54" s="13"/>
      <c r="J54" s="13"/>
      <c r="K54" s="13"/>
      <c r="L54" s="600"/>
      <c r="M54" s="594"/>
      <c r="N54" s="724"/>
      <c r="O54" s="596"/>
      <c r="S54" s="846"/>
      <c r="T54" s="847"/>
      <c r="U54" s="848"/>
      <c r="V54" s="778"/>
      <c r="W54" s="849"/>
      <c r="X54" s="850"/>
    </row>
    <row r="55" spans="2:29" ht="21" customHeight="1" thickBot="1" x14ac:dyDescent="0.3">
      <c r="B55" s="16">
        <f t="shared" si="0"/>
        <v>46</v>
      </c>
      <c r="C55" s="106" t="s">
        <v>64</v>
      </c>
      <c r="D55" s="107" t="s">
        <v>267</v>
      </c>
      <c r="E55" s="599" t="str">
        <f t="shared" si="6"/>
        <v>BjørnBrenne</v>
      </c>
      <c r="F55" s="192">
        <f>YEAR(I$5)-_xlfn.XLOOKUP(E55,Deltakerliste!E$5:E$98,Deltakerliste!I$5:I$98)</f>
        <v>80</v>
      </c>
      <c r="G55" s="192">
        <f>_xlfn.XLOOKUP(E55,Deltakerliste!E$5:E$98,Deltakerliste!H$5:H$98)</f>
        <v>2</v>
      </c>
      <c r="H55" s="592">
        <f>VLOOKUP(F55,Deltakerliste!P$6:T$84,G55,FALSE)</f>
        <v>1.8550000000000002</v>
      </c>
      <c r="I55" s="86"/>
      <c r="J55" s="86"/>
      <c r="K55" s="13"/>
      <c r="L55" s="600"/>
      <c r="M55" s="594"/>
      <c r="N55" s="724"/>
      <c r="O55" s="596"/>
      <c r="S55" s="803"/>
      <c r="T55" s="798"/>
      <c r="U55" s="770"/>
      <c r="V55" s="772"/>
      <c r="W55" s="783"/>
      <c r="X55" s="740"/>
    </row>
    <row r="56" spans="2:29" ht="21" thickBot="1" x14ac:dyDescent="0.3">
      <c r="B56" s="16">
        <f t="shared" si="0"/>
        <v>47</v>
      </c>
      <c r="C56" s="106" t="s">
        <v>68</v>
      </c>
      <c r="D56" s="107" t="s">
        <v>69</v>
      </c>
      <c r="E56" s="599" t="str">
        <f t="shared" si="6"/>
        <v>JanBøhle</v>
      </c>
      <c r="F56" s="192">
        <f>YEAR(I$5)-_xlfn.XLOOKUP(E56,Deltakerliste!E$5:E$98,Deltakerliste!I$5:I$98)</f>
        <v>73</v>
      </c>
      <c r="G56" s="192">
        <f>_xlfn.XLOOKUP(E56,Deltakerliste!E$5:E$98,Deltakerliste!H$5:H$98)</f>
        <v>2</v>
      </c>
      <c r="H56" s="592">
        <f>VLOOKUP(F56,Deltakerliste!P$6:T$84,G56,FALSE)</f>
        <v>1.5329999999999999</v>
      </c>
      <c r="I56" s="86"/>
      <c r="J56" s="86"/>
      <c r="K56" s="13"/>
      <c r="L56" s="600"/>
      <c r="M56" s="594"/>
      <c r="N56" s="724"/>
      <c r="O56" s="596"/>
      <c r="S56" s="803"/>
      <c r="T56" s="798"/>
      <c r="U56" s="770"/>
      <c r="V56" s="772"/>
      <c r="W56" s="783"/>
      <c r="X56" s="740"/>
    </row>
    <row r="57" spans="2:29" ht="21" thickBot="1" x14ac:dyDescent="0.3">
      <c r="B57" s="16">
        <f t="shared" si="0"/>
        <v>48</v>
      </c>
      <c r="C57" s="106" t="s">
        <v>70</v>
      </c>
      <c r="D57" s="107" t="s">
        <v>71</v>
      </c>
      <c r="E57" s="599" t="str">
        <f t="shared" si="6"/>
        <v>TrondDamås</v>
      </c>
      <c r="F57" s="192">
        <f>YEAR(I$5)-_xlfn.XLOOKUP(E57,Deltakerliste!E$5:E$98,Deltakerliste!I$5:I$98)</f>
        <v>75</v>
      </c>
      <c r="G57" s="192">
        <f>_xlfn.XLOOKUP(E57,Deltakerliste!E$5:E$98,Deltakerliste!H$5:H$98)</f>
        <v>2</v>
      </c>
      <c r="H57" s="592">
        <f>VLOOKUP(F57,Deltakerliste!P$6:T$84,G57,FALSE)</f>
        <v>1.605</v>
      </c>
      <c r="I57" s="13"/>
      <c r="J57" s="13"/>
      <c r="K57" s="13"/>
      <c r="L57" s="600"/>
      <c r="M57" s="594"/>
      <c r="N57" s="724"/>
      <c r="O57" s="596"/>
      <c r="S57" s="804"/>
      <c r="T57" s="801"/>
      <c r="U57" s="771"/>
      <c r="V57" s="773"/>
      <c r="W57" s="784"/>
      <c r="X57" s="741"/>
    </row>
    <row r="58" spans="2:29" ht="20" customHeight="1" thickBot="1" x14ac:dyDescent="0.3">
      <c r="B58" s="16">
        <f t="shared" si="0"/>
        <v>49</v>
      </c>
      <c r="C58" s="106" t="s">
        <v>74</v>
      </c>
      <c r="D58" s="107" t="s">
        <v>75</v>
      </c>
      <c r="E58" s="599" t="str">
        <f t="shared" si="6"/>
        <v>StinaElfving</v>
      </c>
      <c r="F58" s="192">
        <f>YEAR(I$5)-_xlfn.XLOOKUP(E58,Deltakerliste!E$5:E$98,Deltakerliste!I$5:I$98)</f>
        <v>75</v>
      </c>
      <c r="G58" s="192">
        <f>_xlfn.XLOOKUP(E58,Deltakerliste!E$5:E$98,Deltakerliste!H$5:H$98)</f>
        <v>4</v>
      </c>
      <c r="H58" s="592">
        <f>VLOOKUP(F58,Deltakerliste!P$6:T$84,G58,FALSE)</f>
        <v>2.1670000000000016</v>
      </c>
      <c r="I58" s="13"/>
      <c r="J58" s="13"/>
      <c r="K58" s="17"/>
      <c r="L58" s="600"/>
      <c r="M58" s="594"/>
      <c r="N58" s="724"/>
      <c r="O58" s="596"/>
    </row>
    <row r="59" spans="2:29" ht="21" thickBot="1" x14ac:dyDescent="0.3">
      <c r="B59" s="16">
        <f t="shared" si="0"/>
        <v>50</v>
      </c>
      <c r="C59" s="106" t="s">
        <v>216</v>
      </c>
      <c r="D59" s="107" t="s">
        <v>77</v>
      </c>
      <c r="E59" s="599" t="str">
        <f t="shared" si="6"/>
        <v>Åse RitaEllingsen</v>
      </c>
      <c r="F59" s="192">
        <f>YEAR(I$5)-_xlfn.XLOOKUP(E59,Deltakerliste!E$5:E$98,Deltakerliste!I$5:I$98)</f>
        <v>61</v>
      </c>
      <c r="G59" s="192">
        <f>_xlfn.XLOOKUP(E59,Deltakerliste!E$5:E$98,Deltakerliste!H$5:H$98)</f>
        <v>4</v>
      </c>
      <c r="H59" s="592">
        <f>VLOOKUP(F59,Deltakerliste!P$6:T$84,G59,FALSE)</f>
        <v>1.6542000000000003</v>
      </c>
      <c r="I59" s="593"/>
      <c r="J59" s="14"/>
      <c r="K59" s="13"/>
      <c r="L59" s="600"/>
      <c r="M59" s="594"/>
      <c r="N59" s="724"/>
      <c r="O59" s="596"/>
    </row>
    <row r="60" spans="2:29" ht="21" customHeight="1" thickBot="1" x14ac:dyDescent="0.3">
      <c r="B60" s="16">
        <f t="shared" si="0"/>
        <v>51</v>
      </c>
      <c r="C60" s="106" t="s">
        <v>80</v>
      </c>
      <c r="D60" s="107" t="s">
        <v>81</v>
      </c>
      <c r="E60" s="599" t="str">
        <f t="shared" si="6"/>
        <v>HalvorFlatberg</v>
      </c>
      <c r="F60" s="192">
        <f>YEAR(I$5)-_xlfn.XLOOKUP(E60,Deltakerliste!E$5:E$98,Deltakerliste!I$5:I$98)</f>
        <v>79</v>
      </c>
      <c r="G60" s="192">
        <f>_xlfn.XLOOKUP(E60,Deltakerliste!E$5:E$98,Deltakerliste!H$5:H$98)</f>
        <v>2</v>
      </c>
      <c r="H60" s="592">
        <f>VLOOKUP(F60,Deltakerliste!P$6:T$84,G60,FALSE)</f>
        <v>1.8050000000000002</v>
      </c>
      <c r="I60" s="86"/>
      <c r="J60" s="86"/>
      <c r="K60" s="13"/>
      <c r="L60" s="600"/>
      <c r="M60" s="594"/>
      <c r="N60" s="724"/>
      <c r="O60" s="596"/>
    </row>
    <row r="61" spans="2:29" ht="21" customHeight="1" thickBot="1" x14ac:dyDescent="0.3">
      <c r="B61" s="16">
        <f t="shared" si="0"/>
        <v>52</v>
      </c>
      <c r="C61" s="106" t="s">
        <v>271</v>
      </c>
      <c r="D61" s="107" t="s">
        <v>272</v>
      </c>
      <c r="E61" s="599" t="str">
        <f t="shared" si="6"/>
        <v>Arne KjellFoldvik</v>
      </c>
      <c r="F61" s="192">
        <f>YEAR(I$5)-_xlfn.XLOOKUP(E61,Deltakerliste!E$5:E$98,Deltakerliste!I$5:I$98)</f>
        <v>91</v>
      </c>
      <c r="G61" s="192">
        <f>_xlfn.XLOOKUP(E61,Deltakerliste!E$5:E$98,Deltakerliste!H$5:H$98)</f>
        <v>2</v>
      </c>
      <c r="H61" s="592">
        <f>VLOOKUP(F61,Deltakerliste!P$6:T$84,G61,FALSE)</f>
        <v>2.7290000000000001</v>
      </c>
      <c r="I61" s="14"/>
      <c r="J61" s="14"/>
      <c r="K61" s="13"/>
      <c r="L61" s="600"/>
      <c r="M61" s="594"/>
      <c r="N61" s="724"/>
      <c r="O61" s="596"/>
    </row>
    <row r="62" spans="2:29" ht="21" customHeight="1" thickBot="1" x14ac:dyDescent="0.3">
      <c r="B62" s="16">
        <f t="shared" si="0"/>
        <v>53</v>
      </c>
      <c r="C62" s="106" t="s">
        <v>82</v>
      </c>
      <c r="D62" s="107" t="s">
        <v>83</v>
      </c>
      <c r="E62" s="599" t="str">
        <f t="shared" si="6"/>
        <v>RoarForbord</v>
      </c>
      <c r="F62" s="192">
        <f>YEAR(I$5)-_xlfn.XLOOKUP(E62,Deltakerliste!E$5:E$98,Deltakerliste!I$5:I$98)</f>
        <v>82</v>
      </c>
      <c r="G62" s="192">
        <f>_xlfn.XLOOKUP(E62,Deltakerliste!E$5:E$98,Deltakerliste!H$5:H$98)</f>
        <v>2</v>
      </c>
      <c r="H62" s="592">
        <f>VLOOKUP(F62,Deltakerliste!P$6:T$84,G62,FALSE)</f>
        <v>2.0030000000000001</v>
      </c>
      <c r="I62" s="86"/>
      <c r="J62" s="86"/>
      <c r="K62" s="13"/>
      <c r="L62" s="600"/>
      <c r="M62" s="594"/>
      <c r="N62" s="724"/>
      <c r="O62" s="596"/>
    </row>
    <row r="63" spans="2:29" ht="21" thickBot="1" x14ac:dyDescent="0.3">
      <c r="B63" s="16">
        <f t="shared" si="0"/>
        <v>54</v>
      </c>
      <c r="C63" s="106" t="s">
        <v>377</v>
      </c>
      <c r="D63" s="107" t="s">
        <v>83</v>
      </c>
      <c r="E63" s="599" t="str">
        <f t="shared" si="6"/>
        <v>HildeForbord</v>
      </c>
      <c r="F63" s="192">
        <f>YEAR(I$5)-_xlfn.XLOOKUP(E63,Deltakerliste!E$5:E$98,Deltakerliste!I$5:I$98)</f>
        <v>59</v>
      </c>
      <c r="G63" s="192">
        <f>_xlfn.XLOOKUP(E63,Deltakerliste!E$5:E$98,Deltakerliste!H$5:H$98)</f>
        <v>4</v>
      </c>
      <c r="H63" s="592">
        <f>VLOOKUP(F63,Deltakerliste!P$6:T$84,G63,FALSE)</f>
        <v>1.6020000000000001</v>
      </c>
      <c r="I63" s="14"/>
      <c r="J63" s="14"/>
      <c r="K63" s="13"/>
      <c r="L63" s="600"/>
      <c r="M63" s="594"/>
      <c r="N63" s="724"/>
      <c r="O63" s="596"/>
    </row>
    <row r="64" spans="2:29" ht="21" thickBot="1" x14ac:dyDescent="0.3">
      <c r="B64" s="16">
        <f t="shared" si="0"/>
        <v>55</v>
      </c>
      <c r="C64" s="106" t="s">
        <v>84</v>
      </c>
      <c r="D64" s="107" t="s">
        <v>85</v>
      </c>
      <c r="E64" s="599" t="str">
        <f t="shared" si="6"/>
        <v>PaulForseth</v>
      </c>
      <c r="F64" s="192">
        <f>YEAR(I$5)-_xlfn.XLOOKUP(E64,Deltakerliste!E$5:E$98,Deltakerliste!I$5:I$98)</f>
        <v>93</v>
      </c>
      <c r="G64" s="192">
        <f>_xlfn.XLOOKUP(E64,Deltakerliste!E$5:E$98,Deltakerliste!H$5:H$98)</f>
        <v>2</v>
      </c>
      <c r="H64" s="592">
        <f>VLOOKUP(F64,Deltakerliste!P$6:T$84,G64,FALSE)</f>
        <v>2.8970000000000002</v>
      </c>
      <c r="I64" s="86"/>
      <c r="J64" s="86"/>
      <c r="K64" s="17"/>
      <c r="L64" s="600"/>
      <c r="M64" s="594"/>
      <c r="N64" s="724"/>
      <c r="O64" s="596"/>
    </row>
    <row r="65" spans="2:17" ht="21" thickBot="1" x14ac:dyDescent="0.3">
      <c r="B65" s="16">
        <f t="shared" si="0"/>
        <v>56</v>
      </c>
      <c r="C65" s="106" t="s">
        <v>207</v>
      </c>
      <c r="D65" s="107" t="s">
        <v>89</v>
      </c>
      <c r="E65" s="599" t="str">
        <f t="shared" si="6"/>
        <v>AnneFuruholt</v>
      </c>
      <c r="F65" s="192">
        <f>YEAR(I$5)-_xlfn.XLOOKUP(E65,Deltakerliste!E$5:E$98,Deltakerliste!I$5:I$98)</f>
        <v>78</v>
      </c>
      <c r="G65" s="192">
        <f>_xlfn.XLOOKUP(E65,Deltakerliste!E$5:E$98,Deltakerliste!H$5:H$98)</f>
        <v>4</v>
      </c>
      <c r="H65" s="592">
        <f>VLOOKUP(F65,Deltakerliste!P$6:T$84,G65,FALSE)</f>
        <v>2.3398000000000012</v>
      </c>
      <c r="I65" s="13"/>
      <c r="J65" s="13"/>
      <c r="K65" s="13"/>
      <c r="L65" s="600"/>
      <c r="M65" s="594"/>
      <c r="N65" s="724"/>
      <c r="O65" s="596"/>
    </row>
    <row r="66" spans="2:17" ht="21" thickBot="1" x14ac:dyDescent="0.3">
      <c r="B66" s="16">
        <f t="shared" si="0"/>
        <v>57</v>
      </c>
      <c r="C66" s="106" t="s">
        <v>116</v>
      </c>
      <c r="D66" s="107" t="s">
        <v>353</v>
      </c>
      <c r="E66" s="599" t="str">
        <f t="shared" si="6"/>
        <v>AndersGjermo</v>
      </c>
      <c r="F66" s="192">
        <f>YEAR(I$5)-_xlfn.XLOOKUP(E66,Deltakerliste!E$5:E$98,Deltakerliste!I$5:I$98)</f>
        <v>67</v>
      </c>
      <c r="G66" s="192">
        <f>_xlfn.XLOOKUP(E66,Deltakerliste!E$5:E$98,Deltakerliste!H$5:H$98)</f>
        <v>2</v>
      </c>
      <c r="H66" s="592">
        <f>VLOOKUP(F66,Deltakerliste!P$6:T$84,G66,FALSE)</f>
        <v>1.3469999999999998</v>
      </c>
      <c r="I66" s="132"/>
      <c r="J66" s="132"/>
      <c r="K66" s="18"/>
      <c r="L66" s="600"/>
      <c r="M66" s="594"/>
      <c r="N66" s="724"/>
      <c r="O66" s="596"/>
    </row>
    <row r="67" spans="2:17" ht="21" thickBot="1" x14ac:dyDescent="0.3">
      <c r="B67" s="16">
        <f t="shared" si="0"/>
        <v>58</v>
      </c>
      <c r="C67" s="106" t="s">
        <v>92</v>
      </c>
      <c r="D67" s="107" t="s">
        <v>93</v>
      </c>
      <c r="E67" s="599" t="str">
        <f t="shared" si="6"/>
        <v>Jens ØysteinGjersvold</v>
      </c>
      <c r="F67" s="192">
        <f>YEAR(I$5)-_xlfn.XLOOKUP(E67,Deltakerliste!E$5:E$98,Deltakerliste!I$5:I$98)</f>
        <v>73</v>
      </c>
      <c r="G67" s="192">
        <f>_xlfn.XLOOKUP(E67,Deltakerliste!E$5:E$98,Deltakerliste!H$5:H$98)</f>
        <v>2</v>
      </c>
      <c r="H67" s="592">
        <f>VLOOKUP(F67,Deltakerliste!P$6:T$84,G67,FALSE)</f>
        <v>1.5329999999999999</v>
      </c>
      <c r="I67" s="14"/>
      <c r="J67" s="14"/>
      <c r="K67" s="18"/>
      <c r="L67" s="600"/>
      <c r="M67" s="594"/>
      <c r="N67" s="724"/>
      <c r="O67" s="596"/>
    </row>
    <row r="68" spans="2:17" ht="21" thickBot="1" x14ac:dyDescent="0.3">
      <c r="B68" s="16">
        <f t="shared" si="0"/>
        <v>59</v>
      </c>
      <c r="C68" s="106" t="s">
        <v>342</v>
      </c>
      <c r="D68" s="107" t="s">
        <v>343</v>
      </c>
      <c r="E68" s="599" t="str">
        <f t="shared" si="6"/>
        <v>ArildHeggeset</v>
      </c>
      <c r="F68" s="192">
        <f>YEAR(I$5)-_xlfn.XLOOKUP(E68,Deltakerliste!E$5:E$98,Deltakerliste!I$5:I$98)</f>
        <v>58</v>
      </c>
      <c r="G68" s="192">
        <f>_xlfn.XLOOKUP(E68,Deltakerliste!E$5:E$98,Deltakerliste!H$5:H$98)</f>
        <v>2</v>
      </c>
      <c r="H68" s="592">
        <f>VLOOKUP(F68,Deltakerliste!P$6:T$84,G68,FALSE)</f>
        <v>1.1720000000000002</v>
      </c>
      <c r="I68" s="86"/>
      <c r="J68" s="86"/>
      <c r="K68" s="13"/>
      <c r="L68" s="600"/>
      <c r="M68" s="594"/>
      <c r="N68" s="724"/>
      <c r="O68" s="596"/>
    </row>
    <row r="69" spans="2:17" ht="21" thickBot="1" x14ac:dyDescent="0.3">
      <c r="B69" s="16">
        <f t="shared" si="0"/>
        <v>60</v>
      </c>
      <c r="C69" s="106" t="s">
        <v>309</v>
      </c>
      <c r="D69" s="107" t="s">
        <v>310</v>
      </c>
      <c r="E69" s="599" t="str">
        <f t="shared" si="6"/>
        <v>VigdisHeimly</v>
      </c>
      <c r="F69" s="192">
        <f>YEAR(I$5)-_xlfn.XLOOKUP(E69,Deltakerliste!E$5:E$98,Deltakerliste!I$5:I$98)</f>
        <v>66</v>
      </c>
      <c r="G69" s="192">
        <f>_xlfn.XLOOKUP(E69,Deltakerliste!E$5:E$98,Deltakerliste!H$5:H$98)</f>
        <v>4</v>
      </c>
      <c r="H69" s="592">
        <f>VLOOKUP(F69,Deltakerliste!P$6:T$84,G69,FALSE)</f>
        <v>1.8066000000000009</v>
      </c>
      <c r="I69" s="86"/>
      <c r="J69" s="86"/>
      <c r="K69" s="17"/>
      <c r="L69" s="600"/>
      <c r="M69" s="594"/>
      <c r="N69" s="724"/>
      <c r="O69" s="596"/>
    </row>
    <row r="70" spans="2:17" ht="21" thickBot="1" x14ac:dyDescent="0.3">
      <c r="B70" s="16">
        <f t="shared" si="0"/>
        <v>61</v>
      </c>
      <c r="C70" s="106" t="s">
        <v>99</v>
      </c>
      <c r="D70" s="107" t="s">
        <v>100</v>
      </c>
      <c r="E70" s="599" t="str">
        <f t="shared" si="6"/>
        <v>RobertHirsch</v>
      </c>
      <c r="F70" s="192">
        <f>YEAR(I$5)-_xlfn.XLOOKUP(E70,Deltakerliste!E$5:E$98,Deltakerliste!I$5:I$98)</f>
        <v>68</v>
      </c>
      <c r="G70" s="192">
        <f>_xlfn.XLOOKUP(E70,Deltakerliste!E$5:E$98,Deltakerliste!H$5:H$98)</f>
        <v>2</v>
      </c>
      <c r="H70" s="592">
        <f>VLOOKUP(F70,Deltakerliste!P$6:T$84,G70,FALSE)</f>
        <v>1.3729999999999998</v>
      </c>
      <c r="I70" s="86"/>
      <c r="J70" s="86"/>
      <c r="K70" s="13"/>
      <c r="L70" s="600"/>
      <c r="M70" s="594"/>
      <c r="N70" s="724"/>
      <c r="O70" s="596"/>
    </row>
    <row r="71" spans="2:17" ht="21" thickBot="1" x14ac:dyDescent="0.3">
      <c r="B71" s="16">
        <f t="shared" si="0"/>
        <v>62</v>
      </c>
      <c r="C71" s="106" t="s">
        <v>63</v>
      </c>
      <c r="D71" s="107" t="s">
        <v>105</v>
      </c>
      <c r="E71" s="599" t="str">
        <f t="shared" si="6"/>
        <v>ToreKiste</v>
      </c>
      <c r="F71" s="192">
        <f>YEAR(I$5)-_xlfn.XLOOKUP(E71,Deltakerliste!E$5:E$98,Deltakerliste!I$5:I$98)</f>
        <v>80</v>
      </c>
      <c r="G71" s="192">
        <f>_xlfn.XLOOKUP(E71,Deltakerliste!E$5:E$98,Deltakerliste!H$5:H$98)</f>
        <v>2</v>
      </c>
      <c r="H71" s="592">
        <f>VLOOKUP(F71,Deltakerliste!P$6:T$84,G71,FALSE)</f>
        <v>1.8550000000000002</v>
      </c>
      <c r="I71" s="86"/>
      <c r="J71" s="86"/>
      <c r="K71" s="13"/>
      <c r="L71" s="600"/>
      <c r="M71" s="594"/>
      <c r="N71" s="724"/>
      <c r="O71" s="596"/>
    </row>
    <row r="72" spans="2:17" ht="21" thickBot="1" x14ac:dyDescent="0.3">
      <c r="B72" s="16">
        <f t="shared" si="0"/>
        <v>63</v>
      </c>
      <c r="C72" s="106" t="s">
        <v>108</v>
      </c>
      <c r="D72" s="107" t="s">
        <v>109</v>
      </c>
      <c r="E72" s="599" t="str">
        <f t="shared" si="6"/>
        <v>Finn FayeKnudsen</v>
      </c>
      <c r="F72" s="192">
        <f>YEAR(I$5)-_xlfn.XLOOKUP(E72,Deltakerliste!E$5:E$98,Deltakerliste!I$5:I$98)</f>
        <v>83</v>
      </c>
      <c r="G72" s="192">
        <f>_xlfn.XLOOKUP(E72,Deltakerliste!E$5:E$98,Deltakerliste!H$5:H$98)</f>
        <v>2</v>
      </c>
      <c r="H72" s="592">
        <f>VLOOKUP(F72,Deltakerliste!P$6:T$84,G72,FALSE)</f>
        <v>2.077</v>
      </c>
      <c r="I72" s="86"/>
      <c r="J72" s="86"/>
      <c r="K72" s="13"/>
      <c r="L72" s="600"/>
      <c r="M72" s="594"/>
      <c r="N72" s="724"/>
      <c r="O72" s="596"/>
    </row>
    <row r="73" spans="2:17" ht="21" thickBot="1" x14ac:dyDescent="0.3">
      <c r="B73" s="16">
        <f t="shared" si="0"/>
        <v>64</v>
      </c>
      <c r="C73" s="106" t="s">
        <v>110</v>
      </c>
      <c r="D73" s="107" t="s">
        <v>111</v>
      </c>
      <c r="E73" s="599" t="str">
        <f t="shared" si="6"/>
        <v>Jan ErikKofoed</v>
      </c>
      <c r="F73" s="192">
        <f>YEAR(I$5)-_xlfn.XLOOKUP(E73,Deltakerliste!E$5:E$98,Deltakerliste!I$5:I$98)</f>
        <v>71</v>
      </c>
      <c r="G73" s="192">
        <f>_xlfn.XLOOKUP(E73,Deltakerliste!E$5:E$98,Deltakerliste!H$5:H$98)</f>
        <v>2</v>
      </c>
      <c r="H73" s="592">
        <f>VLOOKUP(F73,Deltakerliste!P$6:T$84,G73,FALSE)</f>
        <v>1.4609999999999999</v>
      </c>
      <c r="I73" s="86"/>
      <c r="J73" s="86"/>
      <c r="K73" s="13"/>
      <c r="L73" s="600"/>
      <c r="M73" s="594"/>
      <c r="N73" s="724"/>
      <c r="O73" s="596"/>
    </row>
    <row r="74" spans="2:17" ht="21" thickBot="1" x14ac:dyDescent="0.3">
      <c r="B74" s="16">
        <f t="shared" ref="B74:B91" si="7">B73+1</f>
        <v>65</v>
      </c>
      <c r="C74" s="106" t="s">
        <v>251</v>
      </c>
      <c r="D74" s="107" t="s">
        <v>252</v>
      </c>
      <c r="E74" s="599" t="str">
        <f t="shared" ref="E74:E91" si="8">_xlfn.CONCAT(C74:D74)</f>
        <v>OttarKristiansen</v>
      </c>
      <c r="F74" s="192">
        <f>YEAR(I$5)-_xlfn.XLOOKUP(E74,Deltakerliste!E$5:E$98,Deltakerliste!I$5:I$98)</f>
        <v>76</v>
      </c>
      <c r="G74" s="192">
        <f>_xlfn.XLOOKUP(E74,Deltakerliste!E$5:E$98,Deltakerliste!H$5:H$98)</f>
        <v>2</v>
      </c>
      <c r="H74" s="592">
        <f>VLOOKUP(F74,Deltakerliste!P$6:T$84,G74,FALSE)</f>
        <v>1.655</v>
      </c>
      <c r="I74" s="86"/>
      <c r="J74" s="86"/>
      <c r="K74" s="17"/>
      <c r="L74" s="600"/>
      <c r="M74" s="594"/>
      <c r="N74" s="724"/>
      <c r="O74" s="596"/>
    </row>
    <row r="75" spans="2:17" ht="21" thickBot="1" x14ac:dyDescent="0.3">
      <c r="B75" s="16">
        <f t="shared" si="7"/>
        <v>66</v>
      </c>
      <c r="C75" s="106" t="s">
        <v>112</v>
      </c>
      <c r="D75" s="107" t="s">
        <v>113</v>
      </c>
      <c r="E75" s="599" t="str">
        <f t="shared" si="8"/>
        <v>ToridKvaal</v>
      </c>
      <c r="F75" s="192">
        <f>YEAR(I$5)-_xlfn.XLOOKUP(E75,Deltakerliste!E$5:E$98,Deltakerliste!I$5:I$98)</f>
        <v>83</v>
      </c>
      <c r="G75" s="192">
        <f>_xlfn.XLOOKUP(E75,Deltakerliste!E$5:E$98,Deltakerliste!H$5:H$98)</f>
        <v>4</v>
      </c>
      <c r="H75" s="592">
        <f>VLOOKUP(F75,Deltakerliste!P$6:T$84,G75,FALSE)</f>
        <v>2.6998000000000006</v>
      </c>
      <c r="I75" s="86"/>
      <c r="J75" s="86"/>
      <c r="K75" s="13"/>
      <c r="L75" s="600"/>
      <c r="M75" s="594"/>
      <c r="N75" s="724"/>
      <c r="O75" s="596"/>
      <c r="Q75" s="112"/>
    </row>
    <row r="76" spans="2:17" ht="21" thickBot="1" x14ac:dyDescent="0.3">
      <c r="B76" s="16">
        <f t="shared" si="7"/>
        <v>67</v>
      </c>
      <c r="C76" s="106" t="s">
        <v>254</v>
      </c>
      <c r="D76" s="107" t="s">
        <v>255</v>
      </c>
      <c r="E76" s="599" t="str">
        <f t="shared" si="8"/>
        <v>ArnfinnLangeland</v>
      </c>
      <c r="F76" s="192">
        <f>YEAR(I$5)-_xlfn.XLOOKUP(E76,Deltakerliste!E$5:E$98,Deltakerliste!I$5:I$98)</f>
        <v>89</v>
      </c>
      <c r="G76" s="192">
        <f>_xlfn.XLOOKUP(E76,Deltakerliste!E$5:E$98,Deltakerliste!H$5:H$98)</f>
        <v>2</v>
      </c>
      <c r="H76" s="592">
        <f>VLOOKUP(F76,Deltakerliste!P$6:T$84,G76,FALSE)</f>
        <v>2.5609999999999999</v>
      </c>
      <c r="I76" s="86"/>
      <c r="J76" s="86"/>
      <c r="K76" s="13"/>
      <c r="L76" s="600"/>
      <c r="M76" s="594"/>
      <c r="N76" s="724"/>
      <c r="O76" s="596"/>
    </row>
    <row r="77" spans="2:17" ht="21" thickBot="1" x14ac:dyDescent="0.3">
      <c r="B77" s="16">
        <f t="shared" si="7"/>
        <v>68</v>
      </c>
      <c r="C77" s="106" t="s">
        <v>248</v>
      </c>
      <c r="D77" s="107" t="s">
        <v>249</v>
      </c>
      <c r="E77" s="599" t="str">
        <f t="shared" si="8"/>
        <v>ErikLund</v>
      </c>
      <c r="F77" s="192">
        <f>YEAR(I$5)-_xlfn.XLOOKUP(E77,Deltakerliste!E$5:E$98,Deltakerliste!I$5:I$98)</f>
        <v>78</v>
      </c>
      <c r="G77" s="192">
        <f>_xlfn.XLOOKUP(E77,Deltakerliste!E$5:E$98,Deltakerliste!H$5:H$98)</f>
        <v>2</v>
      </c>
      <c r="H77" s="592">
        <f>VLOOKUP(F77,Deltakerliste!P$6:T$84,G77,FALSE)</f>
        <v>1.7550000000000001</v>
      </c>
      <c r="I77" s="13"/>
      <c r="J77" s="13"/>
      <c r="K77" s="17"/>
      <c r="L77" s="600"/>
      <c r="M77" s="594"/>
      <c r="N77" s="724"/>
      <c r="O77" s="596"/>
    </row>
    <row r="78" spans="2:17" ht="21" thickBot="1" x14ac:dyDescent="0.3">
      <c r="B78" s="16">
        <f t="shared" si="7"/>
        <v>69</v>
      </c>
      <c r="C78" s="106" t="s">
        <v>128</v>
      </c>
      <c r="D78" s="107" t="s">
        <v>129</v>
      </c>
      <c r="E78" s="599" t="str">
        <f t="shared" si="8"/>
        <v>OddMusum</v>
      </c>
      <c r="F78" s="192">
        <f>YEAR(I$5)-_xlfn.XLOOKUP(E78,Deltakerliste!E$5:E$98,Deltakerliste!I$5:I$98)</f>
        <v>83</v>
      </c>
      <c r="G78" s="192">
        <f>_xlfn.XLOOKUP(E78,Deltakerliste!E$5:E$98,Deltakerliste!H$5:H$98)</f>
        <v>2</v>
      </c>
      <c r="H78" s="592">
        <f>VLOOKUP(F78,Deltakerliste!P$6:T$84,G78,FALSE)</f>
        <v>2.077</v>
      </c>
      <c r="I78" s="13"/>
      <c r="J78" s="13"/>
      <c r="K78" s="13"/>
      <c r="L78" s="600"/>
      <c r="M78" s="594"/>
      <c r="N78" s="724"/>
      <c r="O78" s="596"/>
    </row>
    <row r="79" spans="2:17" ht="21" thickBot="1" x14ac:dyDescent="0.3">
      <c r="B79" s="16">
        <f t="shared" si="7"/>
        <v>70</v>
      </c>
      <c r="C79" s="106" t="s">
        <v>132</v>
      </c>
      <c r="D79" s="107" t="s">
        <v>133</v>
      </c>
      <c r="E79" s="599" t="str">
        <f t="shared" si="8"/>
        <v>JarleNestvold</v>
      </c>
      <c r="F79" s="192">
        <f>YEAR(I$5)-_xlfn.XLOOKUP(E79,Deltakerliste!E$5:E$98,Deltakerliste!I$5:I$98)</f>
        <v>88</v>
      </c>
      <c r="G79" s="192">
        <f>_xlfn.XLOOKUP(E79,Deltakerliste!E$5:E$98,Deltakerliste!H$5:H$98)</f>
        <v>2</v>
      </c>
      <c r="H79" s="592">
        <f>VLOOKUP(F79,Deltakerliste!P$6:T$84,G79,FALSE)</f>
        <v>2.4769999999999999</v>
      </c>
      <c r="I79" s="132"/>
      <c r="J79" s="18"/>
      <c r="K79" s="18"/>
      <c r="L79" s="600"/>
      <c r="M79" s="594"/>
      <c r="N79" s="724"/>
      <c r="O79" s="596"/>
    </row>
    <row r="80" spans="2:17" ht="21" thickBot="1" x14ac:dyDescent="0.3">
      <c r="B80" s="16">
        <f t="shared" si="7"/>
        <v>71</v>
      </c>
      <c r="C80" s="111" t="s">
        <v>140</v>
      </c>
      <c r="D80" s="193" t="s">
        <v>141</v>
      </c>
      <c r="E80" s="599" t="str">
        <f t="shared" si="8"/>
        <v>Grete BergeOwren</v>
      </c>
      <c r="F80" s="192">
        <f>YEAR(I$5)-_xlfn.XLOOKUP(E80,Deltakerliste!E$5:E$98,Deltakerliste!I$5:I$98)</f>
        <v>67</v>
      </c>
      <c r="G80" s="192">
        <f>_xlfn.XLOOKUP(E80,Deltakerliste!E$5:E$98,Deltakerliste!H$5:H$98)</f>
        <v>4</v>
      </c>
      <c r="H80" s="592">
        <f>VLOOKUP(F80,Deltakerliste!P$6:T$84,G80,FALSE)</f>
        <v>1.8422000000000009</v>
      </c>
      <c r="I80" s="18"/>
      <c r="J80" s="18"/>
      <c r="K80" s="18"/>
      <c r="L80" s="600"/>
      <c r="M80" s="594"/>
      <c r="N80" s="724"/>
      <c r="O80" s="596"/>
    </row>
    <row r="81" spans="2:15" ht="21" thickBot="1" x14ac:dyDescent="0.3">
      <c r="B81" s="16">
        <f t="shared" si="7"/>
        <v>72</v>
      </c>
      <c r="C81" s="111" t="s">
        <v>144</v>
      </c>
      <c r="D81" s="193" t="s">
        <v>145</v>
      </c>
      <c r="E81" s="599" t="str">
        <f t="shared" si="8"/>
        <v>Bjørn Rindstad</v>
      </c>
      <c r="F81" s="192">
        <f>YEAR(I$5)-_xlfn.XLOOKUP(E81,Deltakerliste!E$5:E$98,Deltakerliste!I$5:I$98)</f>
        <v>74</v>
      </c>
      <c r="G81" s="192">
        <f>_xlfn.XLOOKUP(E81,Deltakerliste!E$5:E$98,Deltakerliste!H$5:H$98)</f>
        <v>2</v>
      </c>
      <c r="H81" s="592">
        <f>VLOOKUP(F81,Deltakerliste!P$6:T$84,G81,FALSE)</f>
        <v>1.569</v>
      </c>
      <c r="I81" s="18"/>
      <c r="J81" s="18"/>
      <c r="K81" s="18"/>
      <c r="L81" s="600"/>
      <c r="M81" s="594"/>
      <c r="N81" s="724"/>
      <c r="O81" s="596"/>
    </row>
    <row r="82" spans="2:15" ht="21" thickBot="1" x14ac:dyDescent="0.3">
      <c r="B82" s="16">
        <f t="shared" si="7"/>
        <v>73</v>
      </c>
      <c r="C82" s="111" t="s">
        <v>228</v>
      </c>
      <c r="D82" s="108" t="s">
        <v>229</v>
      </c>
      <c r="E82" s="599" t="str">
        <f t="shared" si="8"/>
        <v>May-LisRønning</v>
      </c>
      <c r="F82" s="192">
        <f>YEAR(I$5)-_xlfn.XLOOKUP(E82,Deltakerliste!E$5:E$98,Deltakerliste!I$5:I$98)</f>
        <v>55</v>
      </c>
      <c r="G82" s="192">
        <f>_xlfn.XLOOKUP(E82,Deltakerliste!E$5:E$98,Deltakerliste!H$5:H$98)</f>
        <v>4</v>
      </c>
      <c r="H82" s="592">
        <f>VLOOKUP(F82,Deltakerliste!P$6:T$84,G82,FALSE)</f>
        <v>1.5099999999999996</v>
      </c>
      <c r="I82" s="18"/>
      <c r="J82" s="18"/>
      <c r="K82" s="18"/>
      <c r="L82" s="600"/>
      <c r="M82" s="594"/>
      <c r="N82" s="724"/>
      <c r="O82" s="596"/>
    </row>
    <row r="83" spans="2:15" ht="21" thickBot="1" x14ac:dyDescent="0.3">
      <c r="B83" s="16">
        <f t="shared" si="7"/>
        <v>74</v>
      </c>
      <c r="C83" s="111" t="s">
        <v>147</v>
      </c>
      <c r="D83" s="193" t="s">
        <v>148</v>
      </c>
      <c r="E83" s="599" t="str">
        <f t="shared" si="8"/>
        <v>ViggoSchei</v>
      </c>
      <c r="F83" s="192">
        <f>YEAR(I$5)-_xlfn.XLOOKUP(E83,Deltakerliste!E$5:E$98,Deltakerliste!I$5:I$98)</f>
        <v>74</v>
      </c>
      <c r="G83" s="192">
        <f>_xlfn.XLOOKUP(E83,Deltakerliste!E$5:E$98,Deltakerliste!H$5:H$98)</f>
        <v>2</v>
      </c>
      <c r="H83" s="592">
        <f>VLOOKUP(F83,Deltakerliste!P$6:T$84,G83,FALSE)</f>
        <v>1.569</v>
      </c>
      <c r="I83" s="18"/>
      <c r="J83" s="132"/>
      <c r="K83" s="18"/>
      <c r="L83" s="600"/>
      <c r="M83" s="594"/>
      <c r="N83" s="724"/>
      <c r="O83" s="596"/>
    </row>
    <row r="84" spans="2:15" ht="21" thickBot="1" x14ac:dyDescent="0.3">
      <c r="B84" s="16">
        <f t="shared" si="7"/>
        <v>75</v>
      </c>
      <c r="C84" s="111" t="s">
        <v>298</v>
      </c>
      <c r="D84" s="193" t="s">
        <v>297</v>
      </c>
      <c r="E84" s="599" t="str">
        <f t="shared" si="8"/>
        <v>ØyvindSchjelderup</v>
      </c>
      <c r="F84" s="192">
        <f>YEAR(I$5)-_xlfn.XLOOKUP(E84,Deltakerliste!E$5:E$98,Deltakerliste!I$5:I$98)</f>
        <v>60</v>
      </c>
      <c r="G84" s="192">
        <f>_xlfn.XLOOKUP(E84,Deltakerliste!E$5:E$98,Deltakerliste!H$5:H$98)</f>
        <v>2</v>
      </c>
      <c r="H84" s="592">
        <f>VLOOKUP(F84,Deltakerliste!P$6:T$84,G84,FALSE)</f>
        <v>1.2000000000000002</v>
      </c>
      <c r="I84" s="18"/>
      <c r="J84" s="18"/>
      <c r="K84" s="18"/>
      <c r="L84" s="600"/>
      <c r="M84" s="594"/>
      <c r="N84" s="724"/>
      <c r="O84" s="596"/>
    </row>
    <row r="85" spans="2:15" ht="21" thickBot="1" x14ac:dyDescent="0.3">
      <c r="B85" s="16">
        <f t="shared" si="7"/>
        <v>76</v>
      </c>
      <c r="C85" s="111" t="s">
        <v>153</v>
      </c>
      <c r="D85" s="108" t="s">
        <v>154</v>
      </c>
      <c r="E85" s="599" t="str">
        <f t="shared" si="8"/>
        <v>ReidunSmaavik</v>
      </c>
      <c r="F85" s="192">
        <f>YEAR(I$5)-_xlfn.XLOOKUP(E85,Deltakerliste!E$5:E$98,Deltakerliste!I$5:I$98)</f>
        <v>70</v>
      </c>
      <c r="G85" s="192">
        <f>_xlfn.XLOOKUP(E85,Deltakerliste!E$5:E$98,Deltakerliste!H$5:H$98)</f>
        <v>4</v>
      </c>
      <c r="H85" s="592">
        <f>VLOOKUP(F85,Deltakerliste!P$6:T$84,G85,FALSE)</f>
        <v>1.9490000000000012</v>
      </c>
      <c r="I85" s="132"/>
      <c r="J85" s="18"/>
      <c r="K85" s="18"/>
      <c r="L85" s="600"/>
      <c r="M85" s="594"/>
      <c r="N85" s="724"/>
      <c r="O85" s="596"/>
    </row>
    <row r="86" spans="2:15" ht="21" thickBot="1" x14ac:dyDescent="0.3">
      <c r="B86" s="16">
        <f t="shared" si="7"/>
        <v>77</v>
      </c>
      <c r="C86" s="111" t="s">
        <v>155</v>
      </c>
      <c r="D86" s="108" t="s">
        <v>156</v>
      </c>
      <c r="E86" s="599" t="str">
        <f t="shared" si="8"/>
        <v>KjellrunSporild</v>
      </c>
      <c r="F86" s="192">
        <f>YEAR(I$5)-_xlfn.XLOOKUP(E86,Deltakerliste!E$5:E$98,Deltakerliste!I$5:I$98)</f>
        <v>70</v>
      </c>
      <c r="G86" s="192">
        <f>_xlfn.XLOOKUP(E86,Deltakerliste!E$5:E$98,Deltakerliste!H$5:H$98)</f>
        <v>4</v>
      </c>
      <c r="H86" s="592">
        <f>VLOOKUP(F86,Deltakerliste!P$6:T$84,G86,FALSE)</f>
        <v>1.9490000000000012</v>
      </c>
      <c r="I86" s="18"/>
      <c r="J86" s="132"/>
      <c r="K86" s="18"/>
      <c r="L86" s="600"/>
      <c r="M86" s="594"/>
      <c r="N86" s="724"/>
      <c r="O86" s="596"/>
    </row>
    <row r="87" spans="2:15" ht="21" thickBot="1" x14ac:dyDescent="0.3">
      <c r="B87" s="16">
        <f t="shared" si="7"/>
        <v>78</v>
      </c>
      <c r="C87" s="193" t="s">
        <v>232</v>
      </c>
      <c r="D87" s="133" t="s">
        <v>231</v>
      </c>
      <c r="E87" s="599" t="str">
        <f t="shared" si="8"/>
        <v>BeritSunnset</v>
      </c>
      <c r="F87" s="192">
        <f>YEAR(I$5)-_xlfn.XLOOKUP(E87,Deltakerliste!E$5:E$98,Deltakerliste!I$5:I$98)</f>
        <v>62</v>
      </c>
      <c r="G87" s="192">
        <f>_xlfn.XLOOKUP(E87,Deltakerliste!E$5:E$98,Deltakerliste!H$5:H$98)</f>
        <v>4</v>
      </c>
      <c r="H87" s="592">
        <f>VLOOKUP(F87,Deltakerliste!P$6:T$84,G87,FALSE)</f>
        <v>1.6834000000000005</v>
      </c>
      <c r="I87" s="18"/>
      <c r="J87" s="18"/>
      <c r="K87" s="18"/>
      <c r="L87" s="600"/>
      <c r="M87" s="594"/>
      <c r="N87" s="724"/>
      <c r="O87" s="596"/>
    </row>
    <row r="88" spans="2:15" ht="21" thickBot="1" x14ac:dyDescent="0.3">
      <c r="B88" s="16">
        <f t="shared" si="7"/>
        <v>79</v>
      </c>
      <c r="C88" s="193" t="s">
        <v>230</v>
      </c>
      <c r="D88" s="108" t="s">
        <v>231</v>
      </c>
      <c r="E88" s="599" t="str">
        <f t="shared" si="8"/>
        <v>TrineSunnset</v>
      </c>
      <c r="F88" s="192">
        <f>YEAR(I$5)-_xlfn.XLOOKUP(E88,Deltakerliste!E$5:E$98,Deltakerliste!I$5:I$98)</f>
        <v>62</v>
      </c>
      <c r="G88" s="192">
        <f>_xlfn.XLOOKUP(E88,Deltakerliste!E$5:E$98,Deltakerliste!H$5:H$98)</f>
        <v>4</v>
      </c>
      <c r="H88" s="592">
        <f>VLOOKUP(F88,Deltakerliste!P$6:T$84,G88,FALSE)</f>
        <v>1.6834000000000005</v>
      </c>
      <c r="I88" s="18"/>
      <c r="J88" s="18"/>
      <c r="K88" s="18"/>
      <c r="L88" s="600"/>
      <c r="M88" s="594"/>
      <c r="N88" s="724"/>
      <c r="O88" s="596"/>
    </row>
    <row r="89" spans="2:15" ht="21" thickBot="1" x14ac:dyDescent="0.3">
      <c r="B89" s="16">
        <f t="shared" si="7"/>
        <v>80</v>
      </c>
      <c r="C89" s="193" t="s">
        <v>163</v>
      </c>
      <c r="D89" s="108" t="s">
        <v>164</v>
      </c>
      <c r="E89" s="599" t="str">
        <f t="shared" si="8"/>
        <v>ArnulfVilmo</v>
      </c>
      <c r="F89" s="192">
        <f>YEAR(I$5)-_xlfn.XLOOKUP(E89,Deltakerliste!E$5:E$98,Deltakerliste!I$5:I$98)</f>
        <v>72</v>
      </c>
      <c r="G89" s="192">
        <f>_xlfn.XLOOKUP(E89,Deltakerliste!E$5:E$98,Deltakerliste!H$5:H$98)</f>
        <v>2</v>
      </c>
      <c r="H89" s="592">
        <f>VLOOKUP(F89,Deltakerliste!P$6:T$84,G89,FALSE)</f>
        <v>1.4969999999999999</v>
      </c>
      <c r="I89" s="18"/>
      <c r="J89" s="132"/>
      <c r="K89" s="18"/>
      <c r="L89" s="790"/>
      <c r="M89" s="594"/>
      <c r="N89" s="724"/>
      <c r="O89" s="596"/>
    </row>
    <row r="90" spans="2:15" ht="21" thickBot="1" x14ac:dyDescent="0.3">
      <c r="B90" s="16">
        <f t="shared" si="7"/>
        <v>81</v>
      </c>
      <c r="C90" s="193" t="s">
        <v>307</v>
      </c>
      <c r="D90" s="108" t="s">
        <v>308</v>
      </c>
      <c r="E90" s="599" t="str">
        <f t="shared" si="8"/>
        <v>RolfWærnes</v>
      </c>
      <c r="F90" s="192">
        <f>YEAR(I$5)-_xlfn.XLOOKUP(E90,Deltakerliste!E$5:E$98,Deltakerliste!I$5:I$98)</f>
        <v>74</v>
      </c>
      <c r="G90" s="192">
        <f>_xlfn.XLOOKUP(E90,Deltakerliste!E$5:E$98,Deltakerliste!H$5:H$98)</f>
        <v>2</v>
      </c>
      <c r="H90" s="592">
        <f>VLOOKUP(F90,Deltakerliste!P$6:T$84,G90,FALSE)</f>
        <v>1.569</v>
      </c>
      <c r="I90" s="18"/>
      <c r="J90" s="132"/>
      <c r="K90" s="18"/>
      <c r="L90" s="791"/>
      <c r="M90" s="594"/>
      <c r="N90" s="792"/>
      <c r="O90" s="596"/>
    </row>
    <row r="91" spans="2:15" ht="21" thickBot="1" x14ac:dyDescent="0.3">
      <c r="B91" s="16">
        <f t="shared" si="7"/>
        <v>82</v>
      </c>
      <c r="C91" s="193" t="s">
        <v>166</v>
      </c>
      <c r="D91" s="108" t="s">
        <v>167</v>
      </c>
      <c r="E91" s="599" t="str">
        <f t="shared" si="8"/>
        <v>GunnarØsterbø</v>
      </c>
      <c r="F91" s="192">
        <f>YEAR(I$5)-_xlfn.XLOOKUP(E91,Deltakerliste!E$5:E$98,Deltakerliste!I$5:I$98)</f>
        <v>86</v>
      </c>
      <c r="G91" s="192">
        <f>_xlfn.XLOOKUP(E91,Deltakerliste!E$5:E$98,Deltakerliste!H$5:H$98)</f>
        <v>2</v>
      </c>
      <c r="H91" s="592">
        <f>VLOOKUP(F91,Deltakerliste!P$6:T$84,G91,FALSE)</f>
        <v>2.3089999999999997</v>
      </c>
      <c r="I91" s="18"/>
      <c r="J91" s="132"/>
      <c r="K91" s="18"/>
      <c r="L91" s="725"/>
      <c r="M91" s="717"/>
      <c r="N91" s="726"/>
      <c r="O91" s="719"/>
    </row>
    <row r="100" spans="4:11" ht="17" thickBot="1" x14ac:dyDescent="0.25"/>
    <row r="101" spans="4:11" ht="21" thickTop="1" thickBot="1" x14ac:dyDescent="0.3">
      <c r="D101" s="646" t="s">
        <v>288</v>
      </c>
      <c r="E101" s="647"/>
      <c r="F101" s="666"/>
      <c r="G101" s="666"/>
      <c r="H101" s="666"/>
      <c r="I101" s="648" t="s">
        <v>195</v>
      </c>
      <c r="J101" s="648" t="s">
        <v>196</v>
      </c>
      <c r="K101" s="649" t="s">
        <v>197</v>
      </c>
    </row>
    <row r="102" spans="4:11" ht="20" x14ac:dyDescent="0.25">
      <c r="D102" s="634" t="s">
        <v>172</v>
      </c>
      <c r="E102" s="320"/>
      <c r="F102" s="208"/>
      <c r="G102" s="208"/>
      <c r="H102" s="208"/>
      <c r="I102" s="635">
        <f>COUNT(I10:I94)+COUNTIF(I10:I94,"Brutt")+COUNTIF(I10:I94,"(*)")</f>
        <v>20</v>
      </c>
      <c r="J102" s="635">
        <f>COUNT(J10:J94)+COUNTIF(J10:J94,"Brutt")+COUNTIF(J10:J94,"(*)")</f>
        <v>20</v>
      </c>
      <c r="K102" s="636">
        <f>I102+J102</f>
        <v>40</v>
      </c>
    </row>
    <row r="103" spans="4:11" ht="19" x14ac:dyDescent="0.25">
      <c r="D103" s="637" t="s">
        <v>174</v>
      </c>
      <c r="E103" s="320"/>
      <c r="F103" s="208"/>
      <c r="G103" s="208"/>
      <c r="H103" s="208"/>
      <c r="I103" s="635">
        <f>COUNT(I10:I94)</f>
        <v>19</v>
      </c>
      <c r="J103" s="635">
        <f>COUNT(J10:J94)</f>
        <v>19</v>
      </c>
      <c r="K103" s="636">
        <f t="shared" ref="K103" si="9">I103+J103</f>
        <v>38</v>
      </c>
    </row>
    <row r="104" spans="4:11" ht="19" x14ac:dyDescent="0.25">
      <c r="D104" s="637" t="s">
        <v>173</v>
      </c>
      <c r="E104" s="320"/>
      <c r="F104" s="208"/>
      <c r="G104" s="208"/>
      <c r="H104" s="208"/>
      <c r="I104" s="208"/>
      <c r="J104" s="208"/>
      <c r="K104" s="636">
        <f>K102+COUNTIF(L10:L94,"Arr")+COUNTIF(L10:L94,"Løype")</f>
        <v>42</v>
      </c>
    </row>
    <row r="105" spans="4:11" ht="19" x14ac:dyDescent="0.25">
      <c r="D105" s="637" t="s">
        <v>341</v>
      </c>
      <c r="E105" s="320"/>
      <c r="F105" s="208"/>
      <c r="G105" s="208"/>
      <c r="H105" s="208"/>
      <c r="I105" s="208"/>
      <c r="J105" s="208"/>
      <c r="K105" s="638">
        <f>IF(SUM(L10:L94)=0," ",AVERAGEIF(M10:M94,"&gt;0",F10:F94))</f>
        <v>74.714285714285708</v>
      </c>
    </row>
    <row r="106" spans="4:11" ht="19" x14ac:dyDescent="0.25">
      <c r="D106" s="637" t="s">
        <v>296</v>
      </c>
      <c r="E106" s="320"/>
      <c r="F106" s="208"/>
      <c r="G106" s="208"/>
      <c r="H106" s="208"/>
      <c r="I106" s="208"/>
      <c r="J106" s="208"/>
      <c r="K106" s="638">
        <f>AVERAGE(I8:J8)</f>
        <v>2.7</v>
      </c>
    </row>
    <row r="107" spans="4:11" ht="19" x14ac:dyDescent="0.25">
      <c r="D107" s="637" t="s">
        <v>176</v>
      </c>
      <c r="E107" s="320"/>
      <c r="F107" s="208"/>
      <c r="G107" s="208"/>
      <c r="H107" s="208"/>
      <c r="I107" s="112">
        <f>I8*I103</f>
        <v>41.800000000000004</v>
      </c>
      <c r="J107" s="112">
        <f>J8*J103</f>
        <v>60.800000000000004</v>
      </c>
      <c r="K107" s="638">
        <f>I107+J107</f>
        <v>102.60000000000001</v>
      </c>
    </row>
    <row r="108" spans="4:11" ht="19" x14ac:dyDescent="0.25">
      <c r="D108" s="639" t="s">
        <v>286</v>
      </c>
      <c r="E108" s="320"/>
      <c r="F108" s="208"/>
      <c r="G108" s="208"/>
      <c r="H108" s="208"/>
      <c r="I108" s="103">
        <f>IF(SUM(I10:I94)=0," ",AVERAGE(I10:I94))</f>
        <v>2.4754507797270956E-2</v>
      </c>
      <c r="J108" s="103">
        <f>IF(SUM(J10:J94)=0," ",AVERAGE(J10:J94))</f>
        <v>2.9008893762183238E-2</v>
      </c>
      <c r="K108" s="640">
        <f>IF(SUM(I10:J94)=0," ",AVERAGE(I10:J94))</f>
        <v>2.6881700779727097E-2</v>
      </c>
    </row>
    <row r="109" spans="4:11" ht="20" thickBot="1" x14ac:dyDescent="0.3">
      <c r="D109" s="641" t="s">
        <v>287</v>
      </c>
      <c r="E109" s="642"/>
      <c r="F109" s="644"/>
      <c r="G109" s="644"/>
      <c r="H109" s="644"/>
      <c r="I109" s="643"/>
      <c r="J109" s="644"/>
      <c r="K109" s="645">
        <f>MIN(L10:L94)</f>
        <v>7.3278356481481476E-3</v>
      </c>
    </row>
    <row r="110" spans="4:11" ht="17" thickTop="1" x14ac:dyDescent="0.2"/>
  </sheetData>
  <autoFilter ref="C9:O91" xr:uid="{762CA3F0-A057-7E4E-81E2-400B0ADE4916}">
    <sortState xmlns:xlrd2="http://schemas.microsoft.com/office/spreadsheetml/2017/richdata2" ref="C10:O91">
      <sortCondition ref="N9:N91"/>
    </sortState>
  </autoFilter>
  <mergeCells count="3">
    <mergeCell ref="W7:X7"/>
    <mergeCell ref="S8:U8"/>
    <mergeCell ref="W8:X8"/>
  </mergeCells>
  <pageMargins left="0.7" right="0.7" top="0.75" bottom="0.75" header="0.3" footer="0.3"/>
  <pageSetup paperSize="9" orientation="portrait" horizontalDpi="0" verticalDpi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E88BA-C679-1245-9966-7D52D2A5AC55}">
  <dimension ref="B1:AC110"/>
  <sheetViews>
    <sheetView topLeftCell="A57" workbookViewId="0">
      <selection activeCell="M10" sqref="M10"/>
    </sheetView>
  </sheetViews>
  <sheetFormatPr baseColWidth="10" defaultColWidth="10.83203125" defaultRowHeight="16" x14ac:dyDescent="0.2"/>
  <cols>
    <col min="3" max="3" width="14.5" customWidth="1"/>
    <col min="4" max="4" width="20.1640625" customWidth="1"/>
    <col min="5" max="5" width="20.1640625" hidden="1" customWidth="1"/>
    <col min="6" max="6" width="14.5" style="15" customWidth="1"/>
    <col min="7" max="7" width="14.5" style="15" hidden="1" customWidth="1"/>
    <col min="8" max="8" width="14" style="15" customWidth="1"/>
    <col min="9" max="10" width="19.1640625" style="15" customWidth="1"/>
    <col min="11" max="11" width="17.6640625" style="15" customWidth="1"/>
    <col min="12" max="12" width="10.83203125" style="15"/>
    <col min="14" max="14" width="10.83203125" style="15"/>
    <col min="18" max="18" width="12.5" customWidth="1"/>
    <col min="19" max="19" width="13.5" customWidth="1"/>
    <col min="22" max="22" width="1.83203125" customWidth="1"/>
    <col min="23" max="23" width="15.83203125" customWidth="1"/>
    <col min="24" max="24" width="11" customWidth="1"/>
  </cols>
  <sheetData>
    <row r="1" spans="2:29" ht="8" customHeight="1" x14ac:dyDescent="0.2"/>
    <row r="2" spans="2:29" ht="8" customHeight="1" x14ac:dyDescent="0.2"/>
    <row r="5" spans="2:29" ht="26" x14ac:dyDescent="0.3">
      <c r="B5" s="21" t="s">
        <v>211</v>
      </c>
      <c r="C5" s="245" t="s">
        <v>382</v>
      </c>
      <c r="F5" s="667"/>
      <c r="G5" s="667"/>
      <c r="H5" s="671" t="s">
        <v>189</v>
      </c>
      <c r="I5" s="670">
        <f>'Løp 11'!I5+7</f>
        <v>46014</v>
      </c>
    </row>
    <row r="6" spans="2:29" ht="17" thickBot="1" x14ac:dyDescent="0.25">
      <c r="B6" s="15"/>
    </row>
    <row r="7" spans="2:29" ht="59" customHeight="1" thickBot="1" x14ac:dyDescent="0.35">
      <c r="B7" s="12" t="s">
        <v>194</v>
      </c>
      <c r="C7" s="662" t="s">
        <v>57</v>
      </c>
      <c r="D7" s="391" t="s">
        <v>58</v>
      </c>
      <c r="E7" s="663"/>
      <c r="F7" s="663" t="s">
        <v>234</v>
      </c>
      <c r="G7" s="391" t="s">
        <v>280</v>
      </c>
      <c r="H7" s="391" t="s">
        <v>235</v>
      </c>
      <c r="I7" s="391" t="s">
        <v>302</v>
      </c>
      <c r="J7" s="391" t="s">
        <v>303</v>
      </c>
      <c r="K7" s="391" t="s">
        <v>192</v>
      </c>
      <c r="L7" s="194" t="s">
        <v>209</v>
      </c>
      <c r="M7" s="392" t="s">
        <v>55</v>
      </c>
      <c r="N7" s="393" t="s">
        <v>242</v>
      </c>
      <c r="O7" s="393" t="s">
        <v>240</v>
      </c>
      <c r="Q7" s="319"/>
      <c r="R7" s="319"/>
      <c r="S7" s="755" t="str">
        <f>B5</f>
        <v>Løp 12</v>
      </c>
      <c r="T7" s="754" t="str">
        <f>C5</f>
        <v>Rotvoll</v>
      </c>
      <c r="U7" s="730"/>
      <c r="V7" s="730"/>
      <c r="W7" s="941"/>
      <c r="X7" s="941"/>
    </row>
    <row r="8" spans="2:29" ht="23" customHeight="1" thickTop="1" thickBot="1" x14ac:dyDescent="0.35">
      <c r="B8" s="22"/>
      <c r="C8" s="394"/>
      <c r="D8" s="395"/>
      <c r="E8" s="597"/>
      <c r="F8" s="668"/>
      <c r="G8" s="668"/>
      <c r="H8" s="664"/>
      <c r="I8" s="391">
        <v>1.8</v>
      </c>
      <c r="J8" s="789">
        <v>2.8</v>
      </c>
      <c r="K8" s="391"/>
      <c r="N8" s="720"/>
      <c r="O8" s="390"/>
      <c r="S8" s="942" t="s">
        <v>312</v>
      </c>
      <c r="T8" s="943"/>
      <c r="U8" s="944"/>
      <c r="V8" s="779"/>
      <c r="W8" s="945" t="s">
        <v>313</v>
      </c>
      <c r="X8" s="940"/>
      <c r="AB8" s="836" t="s">
        <v>361</v>
      </c>
      <c r="AC8" s="827"/>
    </row>
    <row r="9" spans="2:29" ht="21" thickBot="1" x14ac:dyDescent="0.3">
      <c r="B9" s="22"/>
      <c r="C9" s="109"/>
      <c r="D9" s="105"/>
      <c r="E9" s="598"/>
      <c r="F9" s="669"/>
      <c r="G9" s="669"/>
      <c r="H9" s="665"/>
      <c r="I9" s="12"/>
      <c r="J9" s="12"/>
      <c r="K9" s="12"/>
      <c r="N9" s="722"/>
      <c r="O9" s="200"/>
      <c r="Q9" s="110"/>
      <c r="S9" s="731"/>
      <c r="T9" s="727" t="s">
        <v>311</v>
      </c>
      <c r="U9" s="750" t="s">
        <v>55</v>
      </c>
      <c r="V9" s="780"/>
      <c r="W9" s="774"/>
      <c r="X9" s="732" t="s">
        <v>55</v>
      </c>
      <c r="AB9" s="834" t="s">
        <v>234</v>
      </c>
      <c r="AC9" s="835" t="s">
        <v>362</v>
      </c>
    </row>
    <row r="10" spans="2:29" ht="21" thickBot="1" x14ac:dyDescent="0.3">
      <c r="B10" s="16">
        <f t="shared" ref="B10:B41" si="0">B9+1</f>
        <v>1</v>
      </c>
      <c r="C10" s="106" t="s">
        <v>78</v>
      </c>
      <c r="D10" s="107" t="s">
        <v>79</v>
      </c>
      <c r="E10" s="599" t="str">
        <f t="shared" ref="E10:E41" si="1">_xlfn.CONCAT(C10:D10)</f>
        <v>LeifEngen</v>
      </c>
      <c r="F10" s="192">
        <f>YEAR(I$5)-_xlfn.XLOOKUP(E10,Deltakerliste!E$5:E$98,Deltakerliste!I$5:I$98)</f>
        <v>84</v>
      </c>
      <c r="G10" s="192">
        <f>_xlfn.XLOOKUP(E10,Deltakerliste!E$5:E$98,Deltakerliste!H$5:H$98)</f>
        <v>2</v>
      </c>
      <c r="H10" s="592">
        <f>VLOOKUP(F10,Deltakerliste!P$6:T$84,G10,FALSE)</f>
        <v>2.1509999999999998</v>
      </c>
      <c r="I10" s="86">
        <v>1.4490740740740742E-2</v>
      </c>
      <c r="J10" s="86"/>
      <c r="K10" s="13"/>
      <c r="L10" s="600">
        <f t="shared" ref="L10:L44" si="2">IF(OR(I10="Arr",J10="Arr",K10="Arr"),"Arr",IF(OR(I10="Brutt",J10="Brutt",K10="Brutt"),"Brutt",IF(OR(I10="Løype",J10="Løype",K10="Løype"),"Løype",IF(I10&gt;0,I10/I$8,J10/J$8))))</f>
        <v>8.0504115226337457E-3</v>
      </c>
      <c r="M10" s="594">
        <f>IF(L10="Løype",Poengsammendrag!$F$2,IF(L10="Arr",Poengsammendrag!$F$3,IF(L10="Brutt",50,IF(L10="Disk",50,ROUND(MAXA(100*(MIN(L$10:L$91)/L10),50),0)))))</f>
        <v>69</v>
      </c>
      <c r="N10" s="724">
        <f t="shared" ref="N10:N44" si="3">IF(L10="Arr","Arr",IF(L10="Brutt","Brutt",IF(L10="Løype","Løype",L10/H10)))</f>
        <v>3.7426366911360977E-3</v>
      </c>
      <c r="O10" s="596">
        <f>IF(N10="Løype",Poengsammendrag!$F$2,IF(N10="Arr",Poengsammendrag!$F$3,IF(N10="Brutt",50,IF(N10="Disk",50,ROUND(MAXA(100*(MIN(N$10:N$91)/N10),50),0)))))</f>
        <v>100</v>
      </c>
      <c r="Q10" s="672"/>
      <c r="R10" s="672"/>
      <c r="S10" s="802" t="s">
        <v>384</v>
      </c>
      <c r="T10" s="734">
        <v>5.5431547619047622E-3</v>
      </c>
      <c r="U10" s="751">
        <v>100</v>
      </c>
      <c r="V10" s="781"/>
      <c r="W10" s="775" t="s">
        <v>338</v>
      </c>
      <c r="X10" s="739">
        <v>100</v>
      </c>
      <c r="AB10" s="832">
        <v>55</v>
      </c>
      <c r="AC10" s="833">
        <f t="shared" ref="AC10:AC50" si="4">COUNTIFS(F$10:F$95,AB10,M$10:M$95,"&gt;0")</f>
        <v>0</v>
      </c>
    </row>
    <row r="11" spans="2:29" ht="21" customHeight="1" thickBot="1" x14ac:dyDescent="0.3">
      <c r="B11" s="16">
        <f t="shared" si="0"/>
        <v>2</v>
      </c>
      <c r="C11" s="106" t="s">
        <v>138</v>
      </c>
      <c r="D11" s="107" t="s">
        <v>137</v>
      </c>
      <c r="E11" s="599" t="str">
        <f t="shared" si="1"/>
        <v>GunnhildOftedal</v>
      </c>
      <c r="F11" s="192">
        <f>YEAR(I$5)-_xlfn.XLOOKUP(E11,Deltakerliste!E$5:E$98,Deltakerliste!I$5:I$98)</f>
        <v>72</v>
      </c>
      <c r="G11" s="192">
        <f>_xlfn.XLOOKUP(E11,Deltakerliste!E$5:E$98,Deltakerliste!H$5:H$98)</f>
        <v>4</v>
      </c>
      <c r="H11" s="592">
        <f>VLOOKUP(F11,Deltakerliste!P$6:T$84,G11,FALSE)</f>
        <v>2.0362000000000013</v>
      </c>
      <c r="I11" s="13"/>
      <c r="J11" s="13">
        <v>2.252314814814815E-2</v>
      </c>
      <c r="K11" s="13"/>
      <c r="L11" s="600">
        <f t="shared" si="2"/>
        <v>8.0439814814814818E-3</v>
      </c>
      <c r="M11" s="594">
        <f>IF(L11="Løype",Poengsammendrag!$F$2,IF(L11="Arr",Poengsammendrag!$F$3,IF(L11="Brutt",50,IF(L11="Disk",50,ROUND(MAXA(100*(MIN(L$10:L$91)/L11),50),0)))))</f>
        <v>69</v>
      </c>
      <c r="N11" s="724">
        <f t="shared" si="3"/>
        <v>3.9504869273556016E-3</v>
      </c>
      <c r="O11" s="596">
        <f>IF(N11="Løype",Poengsammendrag!$F$2,IF(N11="Arr",Poengsammendrag!$F$3,IF(N11="Brutt",50,IF(N11="Disk",50,ROUND(MAXA(100*(MIN(N$10:N$91)/N11),50),0)))))</f>
        <v>95</v>
      </c>
      <c r="Q11" s="672"/>
      <c r="R11" s="672"/>
      <c r="S11" s="803" t="s">
        <v>385</v>
      </c>
      <c r="T11" s="736">
        <v>6.0391865079365082E-3</v>
      </c>
      <c r="U11" s="752">
        <v>92</v>
      </c>
      <c r="V11" s="781"/>
      <c r="W11" s="776" t="s">
        <v>138</v>
      </c>
      <c r="X11" s="740">
        <v>95</v>
      </c>
      <c r="AB11" s="828">
        <f>AB10+1</f>
        <v>56</v>
      </c>
      <c r="AC11" s="829">
        <f t="shared" si="4"/>
        <v>0</v>
      </c>
    </row>
    <row r="12" spans="2:29" ht="21" customHeight="1" thickBot="1" x14ac:dyDescent="0.3">
      <c r="B12" s="16">
        <f t="shared" si="0"/>
        <v>3</v>
      </c>
      <c r="C12" s="106" t="s">
        <v>88</v>
      </c>
      <c r="D12" s="107" t="s">
        <v>89</v>
      </c>
      <c r="E12" s="599" t="str">
        <f t="shared" si="1"/>
        <v>EdgarFuruholt</v>
      </c>
      <c r="F12" s="192">
        <f>YEAR(I$5)-_xlfn.XLOOKUP(E12,Deltakerliste!E$5:E$98,Deltakerliste!I$5:I$98)</f>
        <v>78</v>
      </c>
      <c r="G12" s="192">
        <f>_xlfn.XLOOKUP(E12,Deltakerliste!E$5:E$98,Deltakerliste!H$5:H$98)</f>
        <v>2</v>
      </c>
      <c r="H12" s="592">
        <f>VLOOKUP(F12,Deltakerliste!P$6:T$84,G12,FALSE)</f>
        <v>1.7550000000000001</v>
      </c>
      <c r="I12" s="18"/>
      <c r="J12" s="132">
        <v>2.0787037037037038E-2</v>
      </c>
      <c r="K12" s="18"/>
      <c r="L12" s="600">
        <f t="shared" si="2"/>
        <v>7.4239417989417997E-3</v>
      </c>
      <c r="M12" s="594">
        <f>IF(L12="Løype",Poengsammendrag!$F$2,IF(L12="Arr",Poengsammendrag!$F$3,IF(L12="Brutt",50,IF(L12="Disk",50,ROUND(MAXA(100*(MIN(L$10:L$91)/L12),50),0)))))</f>
        <v>75</v>
      </c>
      <c r="N12" s="724">
        <f t="shared" si="3"/>
        <v>4.2301662672033042E-3</v>
      </c>
      <c r="O12" s="596">
        <f>IF(N12="Løype",Poengsammendrag!$F$2,IF(N12="Arr",Poengsammendrag!$F$3,IF(N12="Brutt",50,IF(N12="Disk",50,ROUND(MAXA(100*(MIN(N$10:N$91)/N12),50),0)))))</f>
        <v>88</v>
      </c>
      <c r="Q12" s="672"/>
      <c r="R12" s="672"/>
      <c r="S12" s="803" t="s">
        <v>368</v>
      </c>
      <c r="T12" s="736">
        <v>6.1755952380952387E-3</v>
      </c>
      <c r="U12" s="752">
        <v>90</v>
      </c>
      <c r="V12" s="781"/>
      <c r="W12" s="776" t="s">
        <v>88</v>
      </c>
      <c r="X12" s="740">
        <v>88</v>
      </c>
      <c r="AB12" s="828">
        <f t="shared" ref="AB12:AB50" si="5">AB11+1</f>
        <v>57</v>
      </c>
      <c r="AC12" s="829">
        <f t="shared" si="4"/>
        <v>0</v>
      </c>
    </row>
    <row r="13" spans="2:29" ht="21" customHeight="1" thickBot="1" x14ac:dyDescent="0.3">
      <c r="B13" s="16">
        <f t="shared" si="0"/>
        <v>4</v>
      </c>
      <c r="C13" s="106" t="s">
        <v>149</v>
      </c>
      <c r="D13" s="107" t="s">
        <v>150</v>
      </c>
      <c r="E13" s="599" t="str">
        <f t="shared" si="1"/>
        <v>BenteSkorge</v>
      </c>
      <c r="F13" s="192">
        <f>YEAR(I$5)-_xlfn.XLOOKUP(E13,Deltakerliste!E$5:E$98,Deltakerliste!I$5:I$98)</f>
        <v>66</v>
      </c>
      <c r="G13" s="192">
        <f>_xlfn.XLOOKUP(E13,Deltakerliste!E$5:E$98,Deltakerliste!H$5:H$98)</f>
        <v>4</v>
      </c>
      <c r="H13" s="592">
        <f>VLOOKUP(F13,Deltakerliste!P$6:T$84,G13,FALSE)</f>
        <v>1.8066000000000009</v>
      </c>
      <c r="I13" s="132">
        <v>1.3969907407407407E-2</v>
      </c>
      <c r="J13" s="132"/>
      <c r="K13" s="18"/>
      <c r="L13" s="600">
        <f t="shared" si="2"/>
        <v>7.7610596707818925E-3</v>
      </c>
      <c r="M13" s="594">
        <f>IF(L13="Løype",Poengsammendrag!$F$2,IF(L13="Arr",Poengsammendrag!$F$3,IF(L13="Brutt",50,IF(L13="Disk",50,ROUND(MAXA(100*(MIN(L$10:L$91)/L13),50),0)))))</f>
        <v>71</v>
      </c>
      <c r="N13" s="724">
        <f t="shared" si="3"/>
        <v>4.2959480077393386E-3</v>
      </c>
      <c r="O13" s="596">
        <f>IF(N13="Løype",Poengsammendrag!$F$2,IF(N13="Arr",Poengsammendrag!$F$3,IF(N13="Brutt",50,IF(N13="Disk",50,ROUND(MAXA(100*(MIN(N$10:N$91)/N13),50),0)))))</f>
        <v>87</v>
      </c>
      <c r="Q13" s="672"/>
      <c r="R13" s="672"/>
      <c r="S13" s="803" t="s">
        <v>222</v>
      </c>
      <c r="T13" s="736">
        <v>6.4525462962962974E-3</v>
      </c>
      <c r="U13" s="752">
        <v>86</v>
      </c>
      <c r="V13" s="781"/>
      <c r="W13" s="776" t="s">
        <v>149</v>
      </c>
      <c r="X13" s="740">
        <v>87</v>
      </c>
      <c r="AB13" s="828">
        <f t="shared" si="5"/>
        <v>58</v>
      </c>
      <c r="AC13" s="829">
        <f t="shared" si="4"/>
        <v>0</v>
      </c>
    </row>
    <row r="14" spans="2:29" ht="21" customHeight="1" thickBot="1" x14ac:dyDescent="0.3">
      <c r="B14" s="16">
        <f t="shared" si="0"/>
        <v>5</v>
      </c>
      <c r="C14" s="106" t="s">
        <v>118</v>
      </c>
      <c r="D14" s="107" t="s">
        <v>383</v>
      </c>
      <c r="E14" s="599" t="str">
        <f t="shared" si="1"/>
        <v>KnutHelland</v>
      </c>
      <c r="F14" s="192">
        <f>YEAR(I$5)-_xlfn.XLOOKUP(E14,Deltakerliste!E$5:E$98,Deltakerliste!I$5:I$98)</f>
        <v>63</v>
      </c>
      <c r="G14" s="192">
        <f>_xlfn.XLOOKUP(E14,Deltakerliste!E$5:E$98,Deltakerliste!H$5:H$98)</f>
        <v>2</v>
      </c>
      <c r="H14" s="592">
        <f>VLOOKUP(F14,Deltakerliste!P$6:T$84,G14,FALSE)</f>
        <v>1.2569999999999999</v>
      </c>
      <c r="I14" s="86"/>
      <c r="J14" s="86">
        <v>1.5520833333333333E-2</v>
      </c>
      <c r="K14" s="17"/>
      <c r="L14" s="600">
        <f t="shared" si="2"/>
        <v>5.5431547619047622E-3</v>
      </c>
      <c r="M14" s="594">
        <f>IF(L14="Løype",Poengsammendrag!$F$2,IF(L14="Arr",Poengsammendrag!$F$3,IF(L14="Brutt",50,IF(L14="Disk",50,ROUND(MAXA(100*(MIN(L$10:L$91)/L14),50),0)))))</f>
        <v>100</v>
      </c>
      <c r="N14" s="724">
        <f t="shared" si="3"/>
        <v>4.4098287684206545E-3</v>
      </c>
      <c r="O14" s="596">
        <f>IF(N14="Løype",Poengsammendrag!$F$2,IF(N14="Arr",Poengsammendrag!$F$3,IF(N14="Brutt",50,IF(N14="Disk",50,ROUND(MAXA(100*(MIN(N$10:N$91)/N14),50),0)))))</f>
        <v>85</v>
      </c>
      <c r="Q14" s="672"/>
      <c r="R14" s="672"/>
      <c r="S14" s="803" t="s">
        <v>134</v>
      </c>
      <c r="T14" s="736">
        <v>6.518683862433863E-3</v>
      </c>
      <c r="U14" s="752">
        <v>85</v>
      </c>
      <c r="V14" s="781"/>
      <c r="W14" s="776" t="s">
        <v>384</v>
      </c>
      <c r="X14" s="740">
        <v>85</v>
      </c>
      <c r="AB14" s="828">
        <f t="shared" si="5"/>
        <v>59</v>
      </c>
      <c r="AC14" s="829">
        <f t="shared" si="4"/>
        <v>2</v>
      </c>
    </row>
    <row r="15" spans="2:29" ht="21" customHeight="1" thickBot="1" x14ac:dyDescent="0.3">
      <c r="B15" s="16">
        <f t="shared" si="0"/>
        <v>6</v>
      </c>
      <c r="C15" s="106" t="s">
        <v>64</v>
      </c>
      <c r="D15" s="107" t="s">
        <v>65</v>
      </c>
      <c r="E15" s="599" t="str">
        <f t="shared" si="1"/>
        <v>BjørnBerger</v>
      </c>
      <c r="F15" s="192">
        <f>YEAR(I$5)-_xlfn.XLOOKUP(E15,Deltakerliste!E$5:E$98,Deltakerliste!I$5:I$98)</f>
        <v>74</v>
      </c>
      <c r="G15" s="192">
        <f>_xlfn.XLOOKUP(E15,Deltakerliste!E$5:E$98,Deltakerliste!H$5:H$98)</f>
        <v>2</v>
      </c>
      <c r="H15" s="592">
        <f>VLOOKUP(F15,Deltakerliste!P$6:T$84,G15,FALSE)</f>
        <v>1.569</v>
      </c>
      <c r="I15" s="13"/>
      <c r="J15" s="13">
        <v>1.9629629629629629E-2</v>
      </c>
      <c r="K15" s="19"/>
      <c r="L15" s="600">
        <f t="shared" si="2"/>
        <v>7.0105820105820105E-3</v>
      </c>
      <c r="M15" s="594">
        <f>IF(L15="Løype",Poengsammendrag!$F$2,IF(L15="Arr",Poengsammendrag!$F$3,IF(L15="Brutt",50,IF(L15="Disk",50,ROUND(MAXA(100*(MIN(L$10:L$91)/L15),50),0)))))</f>
        <v>79</v>
      </c>
      <c r="N15" s="724">
        <f t="shared" si="3"/>
        <v>4.4681848378470435E-3</v>
      </c>
      <c r="O15" s="596">
        <f>IF(N15="Løype",Poengsammendrag!$F$2,IF(N15="Arr",Poengsammendrag!$F$3,IF(N15="Brutt",50,IF(N15="Disk",50,ROUND(MAXA(100*(MIN(N$10:N$91)/N15),50),0)))))</f>
        <v>84</v>
      </c>
      <c r="Q15" s="672"/>
      <c r="R15" s="672"/>
      <c r="S15" s="803" t="s">
        <v>386</v>
      </c>
      <c r="T15" s="736">
        <v>6.9609788359788361E-3</v>
      </c>
      <c r="U15" s="752">
        <v>80</v>
      </c>
      <c r="V15" s="781"/>
      <c r="W15" s="776" t="s">
        <v>380</v>
      </c>
      <c r="X15" s="740">
        <v>84</v>
      </c>
      <c r="AB15" s="828">
        <f t="shared" si="5"/>
        <v>60</v>
      </c>
      <c r="AC15" s="829">
        <f t="shared" si="4"/>
        <v>1</v>
      </c>
    </row>
    <row r="16" spans="2:29" ht="21" customHeight="1" thickBot="1" x14ac:dyDescent="0.3">
      <c r="B16" s="16">
        <f t="shared" si="0"/>
        <v>7</v>
      </c>
      <c r="C16" s="106" t="s">
        <v>377</v>
      </c>
      <c r="D16" s="107" t="s">
        <v>83</v>
      </c>
      <c r="E16" s="599" t="str">
        <f t="shared" si="1"/>
        <v>HildeForbord</v>
      </c>
      <c r="F16" s="192">
        <f>YEAR(I$5)-_xlfn.XLOOKUP(E16,Deltakerliste!E$5:E$98,Deltakerliste!I$5:I$98)</f>
        <v>59</v>
      </c>
      <c r="G16" s="192">
        <f>_xlfn.XLOOKUP(E16,Deltakerliste!E$5:E$98,Deltakerliste!H$5:H$98)</f>
        <v>4</v>
      </c>
      <c r="H16" s="592">
        <f>VLOOKUP(F16,Deltakerliste!P$6:T$84,G16,FALSE)</f>
        <v>1.6020000000000001</v>
      </c>
      <c r="I16" s="14"/>
      <c r="J16" s="14">
        <v>2.0069444444444445E-2</v>
      </c>
      <c r="K16" s="13"/>
      <c r="L16" s="600">
        <f t="shared" si="2"/>
        <v>7.1676587301587307E-3</v>
      </c>
      <c r="M16" s="594">
        <f>IF(L16="Løype",Poengsammendrag!$F$2,IF(L16="Arr",Poengsammendrag!$F$3,IF(L16="Brutt",50,IF(L16="Disk",50,ROUND(MAXA(100*(MIN(L$10:L$91)/L16),50),0)))))</f>
        <v>77</v>
      </c>
      <c r="N16" s="724">
        <f t="shared" si="3"/>
        <v>4.4741939638943389E-3</v>
      </c>
      <c r="O16" s="596">
        <f>IF(N16="Løype",Poengsammendrag!$F$2,IF(N16="Arr",Poengsammendrag!$F$3,IF(N16="Brutt",50,IF(N16="Disk",50,ROUND(MAXA(100*(MIN(N$10:N$91)/N16),50),0)))))</f>
        <v>84</v>
      </c>
      <c r="Q16" s="672"/>
      <c r="R16" s="672"/>
      <c r="S16" s="803" t="s">
        <v>380</v>
      </c>
      <c r="T16" s="736">
        <v>7.0105820105820105E-3</v>
      </c>
      <c r="U16" s="752">
        <v>79</v>
      </c>
      <c r="V16" s="781"/>
      <c r="W16" s="776" t="s">
        <v>377</v>
      </c>
      <c r="X16" s="740">
        <v>82</v>
      </c>
      <c r="AB16" s="828">
        <f t="shared" si="5"/>
        <v>61</v>
      </c>
      <c r="AC16" s="829">
        <f t="shared" si="4"/>
        <v>0</v>
      </c>
    </row>
    <row r="17" spans="2:29" ht="21" customHeight="1" thickBot="1" x14ac:dyDescent="0.3">
      <c r="B17" s="16">
        <f t="shared" si="0"/>
        <v>8</v>
      </c>
      <c r="C17" s="106" t="s">
        <v>222</v>
      </c>
      <c r="D17" s="107" t="s">
        <v>221</v>
      </c>
      <c r="E17" s="599" t="str">
        <f t="shared" si="1"/>
        <v>Kjell Maroni</v>
      </c>
      <c r="F17" s="192">
        <f>YEAR(I$5)-_xlfn.XLOOKUP(E17,Deltakerliste!E$5:E$98,Deltakerliste!I$5:I$98)</f>
        <v>69</v>
      </c>
      <c r="G17" s="192">
        <f>_xlfn.XLOOKUP(E17,Deltakerliste!E$5:E$98,Deltakerliste!H$5:H$98)</f>
        <v>2</v>
      </c>
      <c r="H17" s="592">
        <f>VLOOKUP(F17,Deltakerliste!P$6:T$84,G17,FALSE)</f>
        <v>1.3989999999999998</v>
      </c>
      <c r="I17" s="13"/>
      <c r="J17" s="13">
        <v>1.8067129629629631E-2</v>
      </c>
      <c r="K17" s="13"/>
      <c r="L17" s="600">
        <f t="shared" si="2"/>
        <v>6.4525462962962974E-3</v>
      </c>
      <c r="M17" s="594">
        <f>IF(L17="Løype",Poengsammendrag!$F$2,IF(L17="Arr",Poengsammendrag!$F$3,IF(L17="Brutt",50,IF(L17="Disk",50,ROUND(MAXA(100*(MIN(L$10:L$91)/L17),50),0)))))</f>
        <v>86</v>
      </c>
      <c r="N17" s="724">
        <f t="shared" si="3"/>
        <v>4.6122561088608278E-3</v>
      </c>
      <c r="O17" s="596">
        <f>IF(N17="Løype",Poengsammendrag!$F$2,IF(N17="Arr",Poengsammendrag!$F$3,IF(N17="Brutt",50,IF(N17="Disk",50,ROUND(MAXA(100*(MIN(N$10:N$91)/N17),50),0)))))</f>
        <v>81</v>
      </c>
      <c r="Q17" s="672"/>
      <c r="R17" s="672"/>
      <c r="S17" s="803" t="s">
        <v>377</v>
      </c>
      <c r="T17" s="736">
        <v>7.1676587301587307E-3</v>
      </c>
      <c r="U17" s="752">
        <v>77</v>
      </c>
      <c r="V17" s="781"/>
      <c r="W17" s="776" t="s">
        <v>222</v>
      </c>
      <c r="X17" s="740">
        <v>81</v>
      </c>
      <c r="AB17" s="828">
        <f t="shared" si="5"/>
        <v>62</v>
      </c>
      <c r="AC17" s="829">
        <f t="shared" si="4"/>
        <v>0</v>
      </c>
    </row>
    <row r="18" spans="2:29" ht="21" customHeight="1" thickBot="1" x14ac:dyDescent="0.3">
      <c r="B18" s="16">
        <f t="shared" si="0"/>
        <v>9</v>
      </c>
      <c r="C18" s="106" t="s">
        <v>106</v>
      </c>
      <c r="D18" s="107" t="s">
        <v>107</v>
      </c>
      <c r="E18" s="599" t="str">
        <f t="shared" si="1"/>
        <v>Jon ArneKlemetsaune</v>
      </c>
      <c r="F18" s="192">
        <f>YEAR(I$5)-_xlfn.XLOOKUP(E18,Deltakerliste!E$5:E$98,Deltakerliste!I$5:I$98)</f>
        <v>76</v>
      </c>
      <c r="G18" s="192">
        <f>_xlfn.XLOOKUP(E18,Deltakerliste!E$5:E$98,Deltakerliste!H$5:H$98)</f>
        <v>2</v>
      </c>
      <c r="H18" s="592">
        <f>VLOOKUP(F18,Deltakerliste!P$6:T$84,G18,FALSE)</f>
        <v>1.655</v>
      </c>
      <c r="I18" s="86"/>
      <c r="J18" s="86">
        <v>2.1458333333333333E-2</v>
      </c>
      <c r="K18" s="17"/>
      <c r="L18" s="600">
        <f t="shared" si="2"/>
        <v>7.6636904761904767E-3</v>
      </c>
      <c r="M18" s="594">
        <f>IF(L18="Løype",Poengsammendrag!$F$2,IF(L18="Arr",Poengsammendrag!$F$3,IF(L18="Brutt",50,IF(L18="Disk",50,ROUND(MAXA(100*(MIN(L$10:L$91)/L18),50),0)))))</f>
        <v>72</v>
      </c>
      <c r="N18" s="724">
        <f t="shared" si="3"/>
        <v>4.6306286865199255E-3</v>
      </c>
      <c r="O18" s="596">
        <f>IF(N18="Løype",Poengsammendrag!$F$2,IF(N18="Arr",Poengsammendrag!$F$3,IF(N18="Brutt",50,IF(N18="Disk",50,ROUND(MAXA(100*(MIN(N$10:N$91)/N18),50),0)))))</f>
        <v>81</v>
      </c>
      <c r="Q18" s="672"/>
      <c r="R18" s="672"/>
      <c r="S18" s="803" t="s">
        <v>120</v>
      </c>
      <c r="T18" s="736">
        <v>7.3881172839506178E-3</v>
      </c>
      <c r="U18" s="752">
        <v>75</v>
      </c>
      <c r="V18" s="781"/>
      <c r="W18" s="776" t="s">
        <v>106</v>
      </c>
      <c r="X18" s="740">
        <v>81</v>
      </c>
      <c r="AB18" s="828">
        <f t="shared" si="5"/>
        <v>63</v>
      </c>
      <c r="AC18" s="829">
        <f t="shared" si="4"/>
        <v>1</v>
      </c>
    </row>
    <row r="19" spans="2:29" ht="21" thickBot="1" x14ac:dyDescent="0.3">
      <c r="B19" s="16">
        <f t="shared" si="0"/>
        <v>10</v>
      </c>
      <c r="C19" s="106" t="s">
        <v>126</v>
      </c>
      <c r="D19" s="107" t="s">
        <v>127</v>
      </c>
      <c r="E19" s="599" t="str">
        <f t="shared" si="1"/>
        <v>ArneMikkelsen</v>
      </c>
      <c r="F19" s="192">
        <f>YEAR(I$5)-_xlfn.XLOOKUP(E19,Deltakerliste!E$5:E$98,Deltakerliste!I$5:I$98)</f>
        <v>72</v>
      </c>
      <c r="G19" s="192">
        <f>_xlfn.XLOOKUP(E19,Deltakerliste!E$5:E$98,Deltakerliste!H$5:H$98)</f>
        <v>2</v>
      </c>
      <c r="H19" s="592">
        <f>VLOOKUP(F19,Deltakerliste!P$6:T$84,G19,FALSE)</f>
        <v>1.4969999999999999</v>
      </c>
      <c r="I19" s="13"/>
      <c r="J19" s="13">
        <v>1.9490740740740739E-2</v>
      </c>
      <c r="K19" s="13"/>
      <c r="L19" s="600">
        <f t="shared" si="2"/>
        <v>6.9609788359788361E-3</v>
      </c>
      <c r="M19" s="594">
        <f>IF(L19="Løype",Poengsammendrag!$F$2,IF(L19="Arr",Poengsammendrag!$F$3,IF(L19="Brutt",50,IF(L19="Disk",50,ROUND(MAXA(100*(MIN(L$10:L$91)/L19),50),0)))))</f>
        <v>80</v>
      </c>
      <c r="N19" s="724">
        <f t="shared" si="3"/>
        <v>4.6499524622437118E-3</v>
      </c>
      <c r="O19" s="596">
        <f>IF(N19="Løype",Poengsammendrag!$F$2,IF(N19="Arr",Poengsammendrag!$F$3,IF(N19="Brutt",50,IF(N19="Disk",50,ROUND(MAXA(100*(MIN(N$10:N$91)/N19),50),0)))))</f>
        <v>80</v>
      </c>
      <c r="Q19" s="672"/>
      <c r="R19" s="672"/>
      <c r="S19" s="803" t="s">
        <v>88</v>
      </c>
      <c r="T19" s="736">
        <v>7.4239417989417997E-3</v>
      </c>
      <c r="U19" s="752">
        <v>75</v>
      </c>
      <c r="V19" s="781"/>
      <c r="W19" s="776" t="s">
        <v>386</v>
      </c>
      <c r="X19" s="740">
        <v>80</v>
      </c>
      <c r="AB19" s="828">
        <f t="shared" si="5"/>
        <v>64</v>
      </c>
      <c r="AC19" s="829">
        <f t="shared" si="4"/>
        <v>0</v>
      </c>
    </row>
    <row r="20" spans="2:29" ht="21" thickBot="1" x14ac:dyDescent="0.3">
      <c r="B20" s="16">
        <f t="shared" si="0"/>
        <v>11</v>
      </c>
      <c r="C20" s="106" t="s">
        <v>134</v>
      </c>
      <c r="D20" s="107" t="s">
        <v>135</v>
      </c>
      <c r="E20" s="599" t="str">
        <f t="shared" si="1"/>
        <v>IngeNørstebø</v>
      </c>
      <c r="F20" s="192">
        <f>YEAR(I$5)-_xlfn.XLOOKUP(E20,Deltakerliste!E$5:E$98,Deltakerliste!I$5:I$98)</f>
        <v>69</v>
      </c>
      <c r="G20" s="192">
        <f>_xlfn.XLOOKUP(E20,Deltakerliste!E$5:E$98,Deltakerliste!H$5:H$98)</f>
        <v>2</v>
      </c>
      <c r="H20" s="592">
        <f>VLOOKUP(F20,Deltakerliste!P$6:T$84,G20,FALSE)</f>
        <v>1.3989999999999998</v>
      </c>
      <c r="I20" s="13"/>
      <c r="J20" s="13">
        <v>1.8252314814814815E-2</v>
      </c>
      <c r="K20" s="13"/>
      <c r="L20" s="600">
        <f t="shared" si="2"/>
        <v>6.518683862433863E-3</v>
      </c>
      <c r="M20" s="594">
        <f>IF(L20="Løype",Poengsammendrag!$F$2,IF(L20="Arr",Poengsammendrag!$F$3,IF(L20="Brutt",50,IF(L20="Disk",50,ROUND(MAXA(100*(MIN(L$10:L$91)/L20),50),0)))))</f>
        <v>85</v>
      </c>
      <c r="N20" s="724">
        <f t="shared" si="3"/>
        <v>4.6595309953065501E-3</v>
      </c>
      <c r="O20" s="596">
        <f>IF(N20="Løype",Poengsammendrag!$F$2,IF(N20="Arr",Poengsammendrag!$F$3,IF(N20="Brutt",50,IF(N20="Disk",50,ROUND(MAXA(100*(MIN(N$10:N$91)/N20),50),0)))))</f>
        <v>80</v>
      </c>
      <c r="Q20" s="672"/>
      <c r="R20" s="672"/>
      <c r="S20" s="803" t="s">
        <v>106</v>
      </c>
      <c r="T20" s="736">
        <v>7.6636904761904767E-3</v>
      </c>
      <c r="U20" s="752">
        <v>72</v>
      </c>
      <c r="V20" s="781"/>
      <c r="W20" s="776" t="s">
        <v>134</v>
      </c>
      <c r="X20" s="740">
        <v>80</v>
      </c>
      <c r="AB20" s="828">
        <f t="shared" si="5"/>
        <v>65</v>
      </c>
      <c r="AC20" s="829">
        <f t="shared" si="4"/>
        <v>1</v>
      </c>
    </row>
    <row r="21" spans="2:29" ht="21" customHeight="1" thickBot="1" x14ac:dyDescent="0.3">
      <c r="B21" s="16">
        <f t="shared" si="0"/>
        <v>12</v>
      </c>
      <c r="C21" s="106" t="s">
        <v>116</v>
      </c>
      <c r="D21" s="107" t="s">
        <v>165</v>
      </c>
      <c r="E21" s="599" t="str">
        <f t="shared" si="1"/>
        <v>AndersWaage</v>
      </c>
      <c r="F21" s="192">
        <f>YEAR(I$5)-_xlfn.XLOOKUP(E21,Deltakerliste!E$5:E$98,Deltakerliste!I$5:I$98)</f>
        <v>77</v>
      </c>
      <c r="G21" s="192">
        <f>_xlfn.XLOOKUP(E21,Deltakerliste!E$5:E$98,Deltakerliste!H$5:H$98)</f>
        <v>2</v>
      </c>
      <c r="H21" s="592">
        <f>VLOOKUP(F21,Deltakerliste!P$6:T$84,G21,FALSE)</f>
        <v>1.7050000000000001</v>
      </c>
      <c r="I21" s="18"/>
      <c r="J21" s="132">
        <v>2.2511574074074073E-2</v>
      </c>
      <c r="K21" s="18"/>
      <c r="L21" s="600">
        <f t="shared" si="2"/>
        <v>8.0398478835978834E-3</v>
      </c>
      <c r="M21" s="594">
        <f>IF(L21="Løype",Poengsammendrag!$F$2,IF(L21="Arr",Poengsammendrag!$F$3,IF(L21="Brutt",50,IF(L21="Disk",50,ROUND(MAXA(100*(MIN(L$10:L$91)/L21),50),0)))))</f>
        <v>69</v>
      </c>
      <c r="N21" s="724">
        <f t="shared" si="3"/>
        <v>4.7154533041629809E-3</v>
      </c>
      <c r="O21" s="596">
        <f>IF(N21="Løype",Poengsammendrag!$F$2,IF(N21="Arr",Poengsammendrag!$F$3,IF(N21="Brutt",50,IF(N21="Disk",50,ROUND(MAXA(100*(MIN(N$10:N$91)/N21),50),0)))))</f>
        <v>79</v>
      </c>
      <c r="Q21" s="672"/>
      <c r="R21" s="672"/>
      <c r="S21" s="803" t="s">
        <v>149</v>
      </c>
      <c r="T21" s="736">
        <v>7.7610596707818925E-3</v>
      </c>
      <c r="U21" s="752">
        <v>71</v>
      </c>
      <c r="V21" s="781"/>
      <c r="W21" s="776" t="s">
        <v>314</v>
      </c>
      <c r="X21" s="740">
        <v>79</v>
      </c>
      <c r="AB21" s="828">
        <f t="shared" si="5"/>
        <v>66</v>
      </c>
      <c r="AC21" s="829">
        <f t="shared" si="4"/>
        <v>1</v>
      </c>
    </row>
    <row r="22" spans="2:29" ht="21" customHeight="1" thickBot="1" x14ac:dyDescent="0.3">
      <c r="B22" s="16">
        <f t="shared" si="0"/>
        <v>13</v>
      </c>
      <c r="C22" s="106" t="s">
        <v>124</v>
      </c>
      <c r="D22" s="107" t="s">
        <v>125</v>
      </c>
      <c r="E22" s="599" t="str">
        <f t="shared" si="1"/>
        <v>Heidi Midttun</v>
      </c>
      <c r="F22" s="192">
        <f>YEAR(I$5)-_xlfn.XLOOKUP(E22,Deltakerliste!E$5:E$98,Deltakerliste!I$5:I$98)</f>
        <v>70</v>
      </c>
      <c r="G22" s="192">
        <f>_xlfn.XLOOKUP(E22,Deltakerliste!E$5:E$98,Deltakerliste!H$5:H$98)</f>
        <v>4</v>
      </c>
      <c r="H22" s="592">
        <f>VLOOKUP(F22,Deltakerliste!P$6:T$84,G22,FALSE)</f>
        <v>1.9490000000000012</v>
      </c>
      <c r="I22" s="13">
        <v>1.6770833333333332E-2</v>
      </c>
      <c r="J22" s="13"/>
      <c r="K22" s="13"/>
      <c r="L22" s="600">
        <f t="shared" si="2"/>
        <v>9.3171296296296283E-3</v>
      </c>
      <c r="M22" s="594">
        <f>IF(L22="Løype",Poengsammendrag!$F$2,IF(L22="Arr",Poengsammendrag!$F$3,IF(L22="Brutt",50,IF(L22="Disk",50,ROUND(MAXA(100*(MIN(L$10:L$91)/L22),50),0)))))</f>
        <v>59</v>
      </c>
      <c r="N22" s="724">
        <f t="shared" si="3"/>
        <v>4.7804667160747166E-3</v>
      </c>
      <c r="O22" s="596">
        <f>IF(N22="Løype",Poengsammendrag!$F$2,IF(N22="Arr",Poengsammendrag!$F$3,IF(N22="Brutt",50,IF(N22="Disk",50,ROUND(MAXA(100*(MIN(N$10:N$91)/N22),50),0)))))</f>
        <v>78</v>
      </c>
      <c r="Q22" s="672"/>
      <c r="R22" s="672"/>
      <c r="S22" s="803" t="s">
        <v>314</v>
      </c>
      <c r="T22" s="736">
        <v>8.0398478835978834E-3</v>
      </c>
      <c r="U22" s="752">
        <v>69</v>
      </c>
      <c r="V22" s="781"/>
      <c r="W22" s="776" t="s">
        <v>124</v>
      </c>
      <c r="X22" s="740">
        <v>78</v>
      </c>
      <c r="AB22" s="828">
        <f t="shared" si="5"/>
        <v>67</v>
      </c>
      <c r="AC22" s="829">
        <f t="shared" si="4"/>
        <v>0</v>
      </c>
    </row>
    <row r="23" spans="2:29" ht="21" customHeight="1" thickBot="1" x14ac:dyDescent="0.3">
      <c r="B23" s="16">
        <f t="shared" si="0"/>
        <v>14</v>
      </c>
      <c r="C23" s="106" t="s">
        <v>103</v>
      </c>
      <c r="D23" s="107" t="s">
        <v>104</v>
      </c>
      <c r="E23" s="599" t="str">
        <f t="shared" si="1"/>
        <v>SveinHove</v>
      </c>
      <c r="F23" s="192">
        <f>YEAR(I$5)-_xlfn.XLOOKUP(E23,Deltakerliste!E$5:E$98,Deltakerliste!I$5:I$98)</f>
        <v>78</v>
      </c>
      <c r="G23" s="192">
        <f>_xlfn.XLOOKUP(E23,Deltakerliste!E$5:E$98,Deltakerliste!H$5:H$98)</f>
        <v>2</v>
      </c>
      <c r="H23" s="592">
        <f>VLOOKUP(F23,Deltakerliste!P$6:T$84,G23,FALSE)</f>
        <v>1.7550000000000001</v>
      </c>
      <c r="I23" s="86">
        <v>1.5462962962962963E-2</v>
      </c>
      <c r="J23" s="86"/>
      <c r="K23" s="17"/>
      <c r="L23" s="600">
        <f t="shared" si="2"/>
        <v>8.5905349794238688E-3</v>
      </c>
      <c r="M23" s="594">
        <f>IF(L23="Løype",Poengsammendrag!$F$2,IF(L23="Arr",Poengsammendrag!$F$3,IF(L23="Brutt",50,IF(L23="Disk",50,ROUND(MAXA(100*(MIN(L$10:L$91)/L23),50),0)))))</f>
        <v>65</v>
      </c>
      <c r="N23" s="724">
        <f t="shared" si="3"/>
        <v>4.8948917261674467E-3</v>
      </c>
      <c r="O23" s="596">
        <f>IF(N23="Løype",Poengsammendrag!$F$2,IF(N23="Arr",Poengsammendrag!$F$3,IF(N23="Brutt",50,IF(N23="Disk",50,ROUND(MAXA(100*(MIN(N$10:N$91)/N23),50),0)))))</f>
        <v>76</v>
      </c>
      <c r="Q23" s="672"/>
      <c r="R23" s="672"/>
      <c r="S23" s="803" t="s">
        <v>138</v>
      </c>
      <c r="T23" s="736">
        <v>8.0439814814814818E-3</v>
      </c>
      <c r="U23" s="752">
        <v>69</v>
      </c>
      <c r="V23" s="781"/>
      <c r="W23" s="776" t="s">
        <v>103</v>
      </c>
      <c r="X23" s="740">
        <v>76</v>
      </c>
      <c r="AB23" s="828">
        <f t="shared" si="5"/>
        <v>68</v>
      </c>
      <c r="AC23" s="829">
        <f t="shared" si="4"/>
        <v>0</v>
      </c>
    </row>
    <row r="24" spans="2:29" ht="21" thickBot="1" x14ac:dyDescent="0.3">
      <c r="B24" s="16">
        <f t="shared" si="0"/>
        <v>15</v>
      </c>
      <c r="C24" s="106" t="s">
        <v>126</v>
      </c>
      <c r="D24" s="107" t="s">
        <v>383</v>
      </c>
      <c r="E24" s="599" t="str">
        <f t="shared" si="1"/>
        <v>ArneHelland</v>
      </c>
      <c r="F24" s="192">
        <f>YEAR(I$5)-_xlfn.XLOOKUP(E24,Deltakerliste!E$5:E$98,Deltakerliste!I$5:I$98)</f>
        <v>60</v>
      </c>
      <c r="G24" s="192">
        <f>_xlfn.XLOOKUP(E24,Deltakerliste!E$5:E$98,Deltakerliste!H$5:H$98)</f>
        <v>2</v>
      </c>
      <c r="H24" s="592">
        <f>VLOOKUP(F24,Deltakerliste!P$6:T$84,G24,FALSE)</f>
        <v>1.2000000000000002</v>
      </c>
      <c r="I24" s="86"/>
      <c r="J24" s="86">
        <v>1.6909722222222222E-2</v>
      </c>
      <c r="K24" s="17"/>
      <c r="L24" s="600">
        <f t="shared" si="2"/>
        <v>6.0391865079365082E-3</v>
      </c>
      <c r="M24" s="594">
        <f>IF(L24="Løype",Poengsammendrag!$F$2,IF(L24="Arr",Poengsammendrag!$F$3,IF(L24="Brutt",50,IF(L24="Disk",50,ROUND(MAXA(100*(MIN(L$10:L$91)/L24),50),0)))))</f>
        <v>92</v>
      </c>
      <c r="N24" s="724">
        <f t="shared" si="3"/>
        <v>5.0326554232804225E-3</v>
      </c>
      <c r="O24" s="596">
        <f>IF(N24="Løype",Poengsammendrag!$F$2,IF(N24="Arr",Poengsammendrag!$F$3,IF(N24="Brutt",50,IF(N24="Disk",50,ROUND(MAXA(100*(MIN(N$10:N$91)/N24),50),0)))))</f>
        <v>74</v>
      </c>
      <c r="Q24" s="672"/>
      <c r="R24" s="672"/>
      <c r="S24" s="803" t="s">
        <v>338</v>
      </c>
      <c r="T24" s="736">
        <v>8.0504115226337457E-3</v>
      </c>
      <c r="U24" s="752">
        <v>69</v>
      </c>
      <c r="V24" s="781"/>
      <c r="W24" s="776" t="s">
        <v>385</v>
      </c>
      <c r="X24" s="740">
        <v>74</v>
      </c>
      <c r="AB24" s="828">
        <f t="shared" si="5"/>
        <v>69</v>
      </c>
      <c r="AC24" s="829">
        <f t="shared" si="4"/>
        <v>2</v>
      </c>
    </row>
    <row r="25" spans="2:29" ht="21" thickBot="1" x14ac:dyDescent="0.3">
      <c r="B25" s="16">
        <f t="shared" si="0"/>
        <v>16</v>
      </c>
      <c r="C25" s="106" t="s">
        <v>120</v>
      </c>
      <c r="D25" s="107" t="s">
        <v>121</v>
      </c>
      <c r="E25" s="599" t="str">
        <f t="shared" si="1"/>
        <v>KlausLivik</v>
      </c>
      <c r="F25" s="192">
        <f>YEAR(I$5)-_xlfn.XLOOKUP(E25,Deltakerliste!E$5:E$98,Deltakerliste!I$5:I$98)</f>
        <v>71</v>
      </c>
      <c r="G25" s="192">
        <f>_xlfn.XLOOKUP(E25,Deltakerliste!E$5:E$98,Deltakerliste!H$5:H$98)</f>
        <v>2</v>
      </c>
      <c r="H25" s="592">
        <f>VLOOKUP(F25,Deltakerliste!P$6:T$84,G25,FALSE)</f>
        <v>1.4609999999999999</v>
      </c>
      <c r="I25" s="13">
        <v>1.3298611111111112E-2</v>
      </c>
      <c r="J25" s="13"/>
      <c r="K25" s="17"/>
      <c r="L25" s="600">
        <f t="shared" si="2"/>
        <v>7.3881172839506178E-3</v>
      </c>
      <c r="M25" s="594">
        <f>IF(L25="Løype",Poengsammendrag!$F$2,IF(L25="Arr",Poengsammendrag!$F$3,IF(L25="Brutt",50,IF(L25="Disk",50,ROUND(MAXA(100*(MIN(L$10:L$91)/L25),50),0)))))</f>
        <v>75</v>
      </c>
      <c r="N25" s="724">
        <f t="shared" si="3"/>
        <v>5.0568906803221212E-3</v>
      </c>
      <c r="O25" s="596">
        <f>IF(N25="Løype",Poengsammendrag!$F$2,IF(N25="Arr",Poengsammendrag!$F$3,IF(N25="Brutt",50,IF(N25="Disk",50,ROUND(MAXA(100*(MIN(N$10:N$91)/N25),50),0)))))</f>
        <v>74</v>
      </c>
      <c r="Q25" s="672"/>
      <c r="R25" s="672"/>
      <c r="S25" s="803" t="s">
        <v>101</v>
      </c>
      <c r="T25" s="736">
        <v>8.1307870370370388E-3</v>
      </c>
      <c r="U25" s="752">
        <v>68</v>
      </c>
      <c r="V25" s="781"/>
      <c r="W25" s="776" t="s">
        <v>120</v>
      </c>
      <c r="X25" s="740">
        <v>74</v>
      </c>
      <c r="AB25" s="828">
        <f t="shared" si="5"/>
        <v>70</v>
      </c>
      <c r="AC25" s="829">
        <f t="shared" si="4"/>
        <v>1</v>
      </c>
    </row>
    <row r="26" spans="2:29" ht="21" customHeight="1" thickBot="1" x14ac:dyDescent="0.3">
      <c r="B26" s="16">
        <f t="shared" si="0"/>
        <v>17</v>
      </c>
      <c r="C26" s="106" t="s">
        <v>170</v>
      </c>
      <c r="D26" s="107" t="s">
        <v>171</v>
      </c>
      <c r="E26" s="599" t="str">
        <f t="shared" si="1"/>
        <v>ØisteinÅsmul</v>
      </c>
      <c r="F26" s="192">
        <f>YEAR(I$5)-_xlfn.XLOOKUP(E26,Deltakerliste!E$5:E$98,Deltakerliste!I$5:I$98)</f>
        <v>80</v>
      </c>
      <c r="G26" s="192">
        <f>_xlfn.XLOOKUP(E26,Deltakerliste!E$5:E$98,Deltakerliste!H$5:H$98)</f>
        <v>2</v>
      </c>
      <c r="H26" s="592">
        <f>VLOOKUP(F26,Deltakerliste!P$6:T$84,G26,FALSE)</f>
        <v>1.8550000000000002</v>
      </c>
      <c r="I26" s="132">
        <v>1.7083333333333332E-2</v>
      </c>
      <c r="J26" s="132"/>
      <c r="K26" s="18"/>
      <c r="L26" s="600">
        <f t="shared" si="2"/>
        <v>9.4907407407407406E-3</v>
      </c>
      <c r="M26" s="594">
        <f>IF(L26="Løype",Poengsammendrag!$F$2,IF(L26="Arr",Poengsammendrag!$F$3,IF(L26="Brutt",50,IF(L26="Disk",50,ROUND(MAXA(100*(MIN(L$10:L$91)/L26),50),0)))))</f>
        <v>58</v>
      </c>
      <c r="N26" s="724">
        <f t="shared" si="3"/>
        <v>5.1163022861136064E-3</v>
      </c>
      <c r="O26" s="596">
        <f>IF(N26="Løype",Poengsammendrag!$F$2,IF(N26="Arr",Poengsammendrag!$F$3,IF(N26="Brutt",50,IF(N26="Disk",50,ROUND(MAXA(100*(MIN(N$10:N$91)/N26),50),0)))))</f>
        <v>73</v>
      </c>
      <c r="Q26" s="672"/>
      <c r="R26" s="672"/>
      <c r="S26" s="803" t="s">
        <v>163</v>
      </c>
      <c r="T26" s="736">
        <v>8.217592592592594E-3</v>
      </c>
      <c r="U26" s="752">
        <v>67</v>
      </c>
      <c r="V26" s="781"/>
      <c r="W26" s="776" t="s">
        <v>347</v>
      </c>
      <c r="X26" s="740">
        <v>73</v>
      </c>
      <c r="AB26" s="828">
        <f t="shared" si="5"/>
        <v>71</v>
      </c>
      <c r="AC26" s="829">
        <f t="shared" si="4"/>
        <v>2</v>
      </c>
    </row>
    <row r="27" spans="2:29" ht="21" thickBot="1" x14ac:dyDescent="0.3">
      <c r="B27" s="16">
        <f t="shared" si="0"/>
        <v>18</v>
      </c>
      <c r="C27" s="106" t="s">
        <v>207</v>
      </c>
      <c r="D27" s="107" t="s">
        <v>89</v>
      </c>
      <c r="E27" s="599" t="str">
        <f t="shared" si="1"/>
        <v>AnneFuruholt</v>
      </c>
      <c r="F27" s="192">
        <f>YEAR(I$5)-_xlfn.XLOOKUP(E27,Deltakerliste!E$5:E$98,Deltakerliste!I$5:I$98)</f>
        <v>78</v>
      </c>
      <c r="G27" s="192">
        <f>_xlfn.XLOOKUP(E27,Deltakerliste!E$5:E$98,Deltakerliste!H$5:H$98)</f>
        <v>4</v>
      </c>
      <c r="H27" s="592">
        <f>VLOOKUP(F27,Deltakerliste!P$6:T$84,G27,FALSE)</f>
        <v>2.3398000000000012</v>
      </c>
      <c r="I27" s="13">
        <v>2.1909722222222223E-2</v>
      </c>
      <c r="J27" s="13"/>
      <c r="K27" s="13"/>
      <c r="L27" s="600">
        <f t="shared" si="2"/>
        <v>1.2172067901234568E-2</v>
      </c>
      <c r="M27" s="594">
        <f>IF(L27="Løype",Poengsammendrag!$F$2,IF(L27="Arr",Poengsammendrag!$F$3,IF(L27="Brutt",50,IF(L27="Disk",50,ROUND(MAXA(100*(MIN(L$10:L$91)/L27),50),0)))))</f>
        <v>50</v>
      </c>
      <c r="N27" s="724">
        <f t="shared" si="3"/>
        <v>5.202183050360955E-3</v>
      </c>
      <c r="O27" s="596">
        <f>IF(N27="Løype",Poengsammendrag!$F$2,IF(N27="Arr",Poengsammendrag!$F$3,IF(N27="Brutt",50,IF(N27="Disk",50,ROUND(MAXA(100*(MIN(N$10:N$91)/N27),50),0)))))</f>
        <v>72</v>
      </c>
      <c r="Q27" s="672"/>
      <c r="R27" s="672"/>
      <c r="S27" s="803" t="s">
        <v>68</v>
      </c>
      <c r="T27" s="736">
        <v>8.354001322751322E-3</v>
      </c>
      <c r="U27" s="752">
        <v>66</v>
      </c>
      <c r="V27" s="781"/>
      <c r="W27" s="776" t="s">
        <v>207</v>
      </c>
      <c r="X27" s="740">
        <v>72</v>
      </c>
      <c r="AB27" s="828">
        <f t="shared" si="5"/>
        <v>72</v>
      </c>
      <c r="AC27" s="829">
        <f t="shared" si="4"/>
        <v>4</v>
      </c>
    </row>
    <row r="28" spans="2:29" ht="21" customHeight="1" thickBot="1" x14ac:dyDescent="0.3">
      <c r="B28" s="16">
        <f t="shared" si="0"/>
        <v>19</v>
      </c>
      <c r="C28" s="106" t="s">
        <v>265</v>
      </c>
      <c r="D28" s="107" t="s">
        <v>266</v>
      </c>
      <c r="E28" s="599" t="str">
        <f t="shared" si="1"/>
        <v>ØysteinWiggen</v>
      </c>
      <c r="F28" s="192">
        <f>YEAR(I$5)-_xlfn.XLOOKUP(E28,Deltakerliste!E$5:E$98,Deltakerliste!I$5:I$98)</f>
        <v>59</v>
      </c>
      <c r="G28" s="192">
        <f>_xlfn.XLOOKUP(E28,Deltakerliste!E$5:E$98,Deltakerliste!H$5:H$98)</f>
        <v>2</v>
      </c>
      <c r="H28" s="592">
        <f>VLOOKUP(F28,Deltakerliste!P$6:T$84,G28,FALSE)</f>
        <v>1.1860000000000002</v>
      </c>
      <c r="I28" s="134"/>
      <c r="J28" s="132">
        <v>1.7291666666666667E-2</v>
      </c>
      <c r="K28" s="18"/>
      <c r="L28" s="600">
        <f t="shared" si="2"/>
        <v>6.1755952380952387E-3</v>
      </c>
      <c r="M28" s="594">
        <f>IF(L28="Løype",Poengsammendrag!$F$2,IF(L28="Arr",Poengsammendrag!$F$3,IF(L28="Brutt",50,IF(L28="Disk",50,ROUND(MAXA(100*(MIN(L$10:L$91)/L28),50),0)))))</f>
        <v>90</v>
      </c>
      <c r="N28" s="724">
        <f t="shared" si="3"/>
        <v>5.2070786155946356E-3</v>
      </c>
      <c r="O28" s="596">
        <f>IF(N28="Løype",Poengsammendrag!$F$2,IF(N28="Arr",Poengsammendrag!$F$3,IF(N28="Brutt",50,IF(N28="Disk",50,ROUND(MAXA(100*(MIN(N$10:N$91)/N28),50),0)))))</f>
        <v>72</v>
      </c>
      <c r="Q28" s="672"/>
      <c r="R28" s="672"/>
      <c r="S28" s="803" t="s">
        <v>345</v>
      </c>
      <c r="T28" s="736">
        <v>8.5854828042328055E-3</v>
      </c>
      <c r="U28" s="752">
        <v>65</v>
      </c>
      <c r="V28" s="781"/>
      <c r="W28" s="776" t="s">
        <v>368</v>
      </c>
      <c r="X28" s="740">
        <v>72</v>
      </c>
      <c r="AB28" s="828">
        <f t="shared" si="5"/>
        <v>73</v>
      </c>
      <c r="AC28" s="829">
        <f t="shared" si="4"/>
        <v>3</v>
      </c>
    </row>
    <row r="29" spans="2:29" ht="21" thickBot="1" x14ac:dyDescent="0.3">
      <c r="B29" s="16">
        <f t="shared" si="0"/>
        <v>20</v>
      </c>
      <c r="C29" s="106" t="s">
        <v>108</v>
      </c>
      <c r="D29" s="107" t="s">
        <v>109</v>
      </c>
      <c r="E29" s="599" t="str">
        <f t="shared" si="1"/>
        <v>Finn FayeKnudsen</v>
      </c>
      <c r="F29" s="192">
        <f>YEAR(I$5)-_xlfn.XLOOKUP(E29,Deltakerliste!E$5:E$98,Deltakerliste!I$5:I$98)</f>
        <v>83</v>
      </c>
      <c r="G29" s="192">
        <f>_xlfn.XLOOKUP(E29,Deltakerliste!E$5:E$98,Deltakerliste!H$5:H$98)</f>
        <v>2</v>
      </c>
      <c r="H29" s="592">
        <f>VLOOKUP(F29,Deltakerliste!P$6:T$84,G29,FALSE)</f>
        <v>2.077</v>
      </c>
      <c r="I29" s="86">
        <v>2.0034722222222221E-2</v>
      </c>
      <c r="J29" s="86"/>
      <c r="K29" s="13"/>
      <c r="L29" s="600">
        <f t="shared" si="2"/>
        <v>1.11304012345679E-2</v>
      </c>
      <c r="M29" s="594">
        <f>IF(L29="Løype",Poengsammendrag!$F$2,IF(L29="Arr",Poengsammendrag!$F$3,IF(L29="Brutt",50,IF(L29="Disk",50,ROUND(MAXA(100*(MIN(L$10:L$91)/L29),50),0)))))</f>
        <v>50</v>
      </c>
      <c r="N29" s="724">
        <f t="shared" si="3"/>
        <v>5.3588835987327397E-3</v>
      </c>
      <c r="O29" s="596">
        <f>IF(N29="Løype",Poengsammendrag!$F$2,IF(N29="Arr",Poengsammendrag!$F$3,IF(N29="Brutt",50,IF(N29="Disk",50,ROUND(MAXA(100*(MIN(N$10:N$91)/N29),50),0)))))</f>
        <v>70</v>
      </c>
      <c r="Q29" s="672"/>
      <c r="R29" s="672"/>
      <c r="S29" s="803" t="s">
        <v>103</v>
      </c>
      <c r="T29" s="736">
        <v>8.5905349794238688E-3</v>
      </c>
      <c r="U29" s="752">
        <v>65</v>
      </c>
      <c r="V29" s="781"/>
      <c r="W29" s="776" t="s">
        <v>108</v>
      </c>
      <c r="X29" s="740">
        <v>70</v>
      </c>
      <c r="AB29" s="828">
        <f t="shared" si="5"/>
        <v>74</v>
      </c>
      <c r="AC29" s="829">
        <f t="shared" si="4"/>
        <v>5</v>
      </c>
    </row>
    <row r="30" spans="2:29" ht="21" thickBot="1" x14ac:dyDescent="0.3">
      <c r="B30" s="16">
        <f t="shared" si="0"/>
        <v>21</v>
      </c>
      <c r="C30" s="106" t="s">
        <v>122</v>
      </c>
      <c r="D30" s="107" t="s">
        <v>123</v>
      </c>
      <c r="E30" s="599" t="str">
        <f t="shared" si="1"/>
        <v>MartinMelhuus</v>
      </c>
      <c r="F30" s="192">
        <f>YEAR(I$5)-_xlfn.XLOOKUP(E30,Deltakerliste!E$5:E$98,Deltakerliste!I$5:I$98)</f>
        <v>81</v>
      </c>
      <c r="G30" s="192">
        <f>_xlfn.XLOOKUP(E30,Deltakerliste!E$5:E$98,Deltakerliste!H$5:H$98)</f>
        <v>2</v>
      </c>
      <c r="H30" s="592">
        <f>VLOOKUP(F30,Deltakerliste!P$6:T$84,G30,FALSE)</f>
        <v>1.9290000000000003</v>
      </c>
      <c r="I30" s="13">
        <v>1.8888888888888889E-2</v>
      </c>
      <c r="J30" s="13"/>
      <c r="K30" s="13"/>
      <c r="L30" s="600">
        <f t="shared" si="2"/>
        <v>1.0493827160493827E-2</v>
      </c>
      <c r="M30" s="594">
        <f>IF(L30="Løype",Poengsammendrag!$F$2,IF(L30="Arr",Poengsammendrag!$F$3,IF(L30="Brutt",50,IF(L30="Disk",50,ROUND(MAXA(100*(MIN(L$10:L$91)/L30),50),0)))))</f>
        <v>53</v>
      </c>
      <c r="N30" s="724">
        <f t="shared" si="3"/>
        <v>5.4400348162228235E-3</v>
      </c>
      <c r="O30" s="596">
        <f>IF(N30="Løype",Poengsammendrag!$F$2,IF(N30="Arr",Poengsammendrag!$F$3,IF(N30="Brutt",50,IF(N30="Disk",50,ROUND(MAXA(100*(MIN(N$10:N$91)/N30),50),0)))))</f>
        <v>69</v>
      </c>
      <c r="Q30" s="672"/>
      <c r="R30" s="672"/>
      <c r="S30" s="803" t="s">
        <v>168</v>
      </c>
      <c r="T30" s="736">
        <v>8.8748346560846569E-3</v>
      </c>
      <c r="U30" s="752">
        <v>62</v>
      </c>
      <c r="V30" s="781"/>
      <c r="W30" s="776" t="s">
        <v>122</v>
      </c>
      <c r="X30" s="740">
        <v>69</v>
      </c>
      <c r="AB30" s="828">
        <f t="shared" si="5"/>
        <v>75</v>
      </c>
      <c r="AC30" s="829">
        <f t="shared" si="4"/>
        <v>1</v>
      </c>
    </row>
    <row r="31" spans="2:29" ht="21" customHeight="1" thickBot="1" x14ac:dyDescent="0.3">
      <c r="B31" s="16">
        <f t="shared" si="0"/>
        <v>22</v>
      </c>
      <c r="C31" s="106" t="s">
        <v>68</v>
      </c>
      <c r="D31" s="107" t="s">
        <v>69</v>
      </c>
      <c r="E31" s="599" t="str">
        <f t="shared" si="1"/>
        <v>JanBøhle</v>
      </c>
      <c r="F31" s="192">
        <f>YEAR(I$5)-_xlfn.XLOOKUP(E31,Deltakerliste!E$5:E$98,Deltakerliste!I$5:I$98)</f>
        <v>73</v>
      </c>
      <c r="G31" s="192">
        <f>_xlfn.XLOOKUP(E31,Deltakerliste!E$5:E$98,Deltakerliste!H$5:H$98)</f>
        <v>2</v>
      </c>
      <c r="H31" s="592">
        <f>VLOOKUP(F31,Deltakerliste!P$6:T$84,G31,FALSE)</f>
        <v>1.5329999999999999</v>
      </c>
      <c r="I31" s="86"/>
      <c r="J31" s="86">
        <v>2.3391203703703702E-2</v>
      </c>
      <c r="K31" s="13"/>
      <c r="L31" s="600">
        <f t="shared" si="2"/>
        <v>8.354001322751322E-3</v>
      </c>
      <c r="M31" s="594">
        <f>IF(L31="Løype",Poengsammendrag!$F$2,IF(L31="Arr",Poengsammendrag!$F$3,IF(L31="Brutt",50,IF(L31="Disk",50,ROUND(MAXA(100*(MIN(L$10:L$91)/L31),50),0)))))</f>
        <v>66</v>
      </c>
      <c r="N31" s="724">
        <f t="shared" si="3"/>
        <v>5.4494463944887951E-3</v>
      </c>
      <c r="O31" s="596">
        <f>IF(N31="Løype",Poengsammendrag!$F$2,IF(N31="Arr",Poengsammendrag!$F$3,IF(N31="Brutt",50,IF(N31="Disk",50,ROUND(MAXA(100*(MIN(N$10:N$91)/N31),50),0)))))</f>
        <v>69</v>
      </c>
      <c r="Q31" s="672"/>
      <c r="R31" s="672"/>
      <c r="S31" s="803" t="s">
        <v>66</v>
      </c>
      <c r="T31" s="736">
        <v>9.2675264550264556E-3</v>
      </c>
      <c r="U31" s="752">
        <v>60</v>
      </c>
      <c r="V31" s="781"/>
      <c r="W31" s="776" t="s">
        <v>68</v>
      </c>
      <c r="X31" s="740">
        <v>69</v>
      </c>
      <c r="AB31" s="828">
        <f t="shared" si="5"/>
        <v>76</v>
      </c>
      <c r="AC31" s="829">
        <f t="shared" si="4"/>
        <v>1</v>
      </c>
    </row>
    <row r="32" spans="2:29" ht="21" customHeight="1" thickBot="1" x14ac:dyDescent="0.3">
      <c r="B32" s="16">
        <f t="shared" si="0"/>
        <v>23</v>
      </c>
      <c r="C32" s="106" t="s">
        <v>163</v>
      </c>
      <c r="D32" s="107" t="s">
        <v>164</v>
      </c>
      <c r="E32" s="599" t="str">
        <f t="shared" si="1"/>
        <v>ArnulfVilmo</v>
      </c>
      <c r="F32" s="192">
        <f>YEAR(I$5)-_xlfn.XLOOKUP(E32,Deltakerliste!E$5:E$98,Deltakerliste!I$5:I$98)</f>
        <v>72</v>
      </c>
      <c r="G32" s="192">
        <f>_xlfn.XLOOKUP(E32,Deltakerliste!E$5:E$98,Deltakerliste!H$5:H$98)</f>
        <v>2</v>
      </c>
      <c r="H32" s="592">
        <f>VLOOKUP(F32,Deltakerliste!P$6:T$84,G32,FALSE)</f>
        <v>1.4969999999999999</v>
      </c>
      <c r="I32" s="18"/>
      <c r="J32" s="132">
        <v>2.3009259259259261E-2</v>
      </c>
      <c r="K32" s="18"/>
      <c r="L32" s="600">
        <f t="shared" si="2"/>
        <v>8.217592592592594E-3</v>
      </c>
      <c r="M32" s="594">
        <f>IF(L32="Løype",Poengsammendrag!$F$2,IF(L32="Arr",Poengsammendrag!$F$3,IF(L32="Brutt",50,IF(L32="Disk",50,ROUND(MAXA(100*(MIN(L$10:L$91)/L32),50),0)))))</f>
        <v>67</v>
      </c>
      <c r="N32" s="724">
        <f t="shared" si="3"/>
        <v>5.4893738093470907E-3</v>
      </c>
      <c r="O32" s="596">
        <f>IF(N32="Løype",Poengsammendrag!$F$2,IF(N32="Arr",Poengsammendrag!$F$3,IF(N32="Brutt",50,IF(N32="Disk",50,ROUND(MAXA(100*(MIN(N$10:N$91)/N32),50),0)))))</f>
        <v>68</v>
      </c>
      <c r="S32" s="803" t="s">
        <v>124</v>
      </c>
      <c r="T32" s="736">
        <v>9.3171296296296283E-3</v>
      </c>
      <c r="U32" s="752">
        <v>59</v>
      </c>
      <c r="V32" s="781"/>
      <c r="W32" s="776" t="s">
        <v>163</v>
      </c>
      <c r="X32" s="740">
        <v>68</v>
      </c>
      <c r="AB32" s="828">
        <f t="shared" si="5"/>
        <v>77</v>
      </c>
      <c r="AC32" s="829">
        <f t="shared" si="4"/>
        <v>2</v>
      </c>
    </row>
    <row r="33" spans="2:29" ht="21" customHeight="1" thickBot="1" x14ac:dyDescent="0.3">
      <c r="B33" s="16">
        <f t="shared" si="0"/>
        <v>24</v>
      </c>
      <c r="C33" s="106" t="s">
        <v>101</v>
      </c>
      <c r="D33" s="107" t="s">
        <v>102</v>
      </c>
      <c r="E33" s="599" t="str">
        <f t="shared" si="1"/>
        <v>EvenHofstad</v>
      </c>
      <c r="F33" s="192">
        <f>YEAR(I$5)-_xlfn.XLOOKUP(E33,Deltakerliste!E$5:E$98,Deltakerliste!I$5:I$98)</f>
        <v>71</v>
      </c>
      <c r="G33" s="192">
        <f>_xlfn.XLOOKUP(E33,Deltakerliste!E$5:E$98,Deltakerliste!H$5:H$98)</f>
        <v>2</v>
      </c>
      <c r="H33" s="592">
        <f>VLOOKUP(F33,Deltakerliste!P$6:T$84,G33,FALSE)</f>
        <v>1.4609999999999999</v>
      </c>
      <c r="I33" s="86"/>
      <c r="J33" s="86">
        <v>2.2766203703703705E-2</v>
      </c>
      <c r="K33" s="13"/>
      <c r="L33" s="600">
        <f t="shared" si="2"/>
        <v>8.1307870370370388E-3</v>
      </c>
      <c r="M33" s="594">
        <f>IF(L33="Løype",Poengsammendrag!$F$2,IF(L33="Arr",Poengsammendrag!$F$3,IF(L33="Brutt",50,IF(L33="Disk",50,ROUND(MAXA(100*(MIN(L$10:L$91)/L33),50),0)))))</f>
        <v>68</v>
      </c>
      <c r="N33" s="724">
        <f t="shared" si="3"/>
        <v>5.5652204223388358E-3</v>
      </c>
      <c r="O33" s="596">
        <f>IF(N33="Løype",Poengsammendrag!$F$2,IF(N33="Arr",Poengsammendrag!$F$3,IF(N33="Brutt",50,IF(N33="Disk",50,ROUND(MAXA(100*(MIN(N$10:N$91)/N33),50),0)))))</f>
        <v>67</v>
      </c>
      <c r="S33" s="803" t="s">
        <v>347</v>
      </c>
      <c r="T33" s="736">
        <v>9.4907407407407406E-3</v>
      </c>
      <c r="U33" s="752">
        <v>58</v>
      </c>
      <c r="V33" s="781"/>
      <c r="W33" s="776" t="s">
        <v>101</v>
      </c>
      <c r="X33" s="740">
        <v>67</v>
      </c>
      <c r="AB33" s="828">
        <f t="shared" si="5"/>
        <v>78</v>
      </c>
      <c r="AC33" s="829">
        <f t="shared" si="4"/>
        <v>3</v>
      </c>
    </row>
    <row r="34" spans="2:29" ht="21" customHeight="1" thickBot="1" x14ac:dyDescent="0.3">
      <c r="B34" s="16">
        <f t="shared" si="0"/>
        <v>25</v>
      </c>
      <c r="C34" s="106" t="s">
        <v>168</v>
      </c>
      <c r="D34" s="107" t="s">
        <v>169</v>
      </c>
      <c r="E34" s="599" t="str">
        <f t="shared" si="1"/>
        <v>SteinØvstedal</v>
      </c>
      <c r="F34" s="192">
        <f>YEAR(I$5)-_xlfn.XLOOKUP(E34,Deltakerliste!E$5:E$98,Deltakerliste!I$5:I$98)</f>
        <v>74</v>
      </c>
      <c r="G34" s="192">
        <f>_xlfn.XLOOKUP(E34,Deltakerliste!E$5:E$98,Deltakerliste!H$5:H$98)</f>
        <v>2</v>
      </c>
      <c r="H34" s="592">
        <f>VLOOKUP(F34,Deltakerliste!P$6:T$84,G34,FALSE)</f>
        <v>1.569</v>
      </c>
      <c r="I34" s="132"/>
      <c r="J34" s="132">
        <v>2.4849537037037038E-2</v>
      </c>
      <c r="K34" s="18"/>
      <c r="L34" s="600">
        <f t="shared" si="2"/>
        <v>8.8748346560846569E-3</v>
      </c>
      <c r="M34" s="594">
        <f>IF(L34="Løype",Poengsammendrag!$F$2,IF(L34="Arr",Poengsammendrag!$F$3,IF(L34="Brutt",50,IF(L34="Disk",50,ROUND(MAXA(100*(MIN(L$10:L$91)/L34),50),0)))))</f>
        <v>62</v>
      </c>
      <c r="N34" s="724">
        <f t="shared" si="3"/>
        <v>5.6563637068735868E-3</v>
      </c>
      <c r="O34" s="596">
        <f>IF(N34="Løype",Poengsammendrag!$F$2,IF(N34="Arr",Poengsammendrag!$F$3,IF(N34="Brutt",50,IF(N34="Disk",50,ROUND(MAXA(100*(MIN(N$10:N$91)/N34),50),0)))))</f>
        <v>66</v>
      </c>
      <c r="S34" s="803" t="s">
        <v>263</v>
      </c>
      <c r="T34" s="736">
        <v>9.6000514403292176E-3</v>
      </c>
      <c r="U34" s="752">
        <v>58</v>
      </c>
      <c r="V34" s="781"/>
      <c r="W34" s="776" t="s">
        <v>168</v>
      </c>
      <c r="X34" s="740">
        <v>66</v>
      </c>
      <c r="AB34" s="828">
        <f t="shared" si="5"/>
        <v>79</v>
      </c>
      <c r="AC34" s="829">
        <f t="shared" si="4"/>
        <v>0</v>
      </c>
    </row>
    <row r="35" spans="2:29" ht="21" customHeight="1" thickBot="1" x14ac:dyDescent="0.3">
      <c r="B35" s="16">
        <f t="shared" si="0"/>
        <v>26</v>
      </c>
      <c r="C35" s="106" t="s">
        <v>161</v>
      </c>
      <c r="D35" s="107" t="s">
        <v>162</v>
      </c>
      <c r="E35" s="599" t="str">
        <f t="shared" si="1"/>
        <v>Nils OlavVennevik</v>
      </c>
      <c r="F35" s="192">
        <f>YEAR(I$5)-_xlfn.XLOOKUP(E35,Deltakerliste!E$5:E$98,Deltakerliste!I$5:I$98)</f>
        <v>77</v>
      </c>
      <c r="G35" s="192">
        <f>_xlfn.XLOOKUP(E35,Deltakerliste!E$5:E$98,Deltakerliste!H$5:H$98)</f>
        <v>2</v>
      </c>
      <c r="H35" s="592">
        <f>VLOOKUP(F35,Deltakerliste!P$6:T$84,G35,FALSE)</f>
        <v>1.7050000000000001</v>
      </c>
      <c r="I35" s="132">
        <v>1.8379629629629631E-2</v>
      </c>
      <c r="J35" s="18"/>
      <c r="K35" s="18"/>
      <c r="L35" s="600">
        <f t="shared" si="2"/>
        <v>1.021090534979424E-2</v>
      </c>
      <c r="M35" s="594">
        <f>IF(L35="Løype",Poengsammendrag!$F$2,IF(L35="Arr",Poengsammendrag!$F$3,IF(L35="Brutt",50,IF(L35="Disk",50,ROUND(MAXA(100*(MIN(L$10:L$91)/L35),50),0)))))</f>
        <v>54</v>
      </c>
      <c r="N35" s="724">
        <f t="shared" si="3"/>
        <v>5.9888007916681753E-3</v>
      </c>
      <c r="O35" s="596">
        <f>IF(N35="Løype",Poengsammendrag!$F$2,IF(N35="Arr",Poengsammendrag!$F$3,IF(N35="Brutt",50,IF(N35="Disk",50,ROUND(MAXA(100*(MIN(N$10:N$91)/N35),50),0)))))</f>
        <v>62</v>
      </c>
      <c r="S35" s="803" t="s">
        <v>350</v>
      </c>
      <c r="T35" s="736">
        <v>9.9578373015873026E-3</v>
      </c>
      <c r="U35" s="752">
        <v>56</v>
      </c>
      <c r="V35" s="781"/>
      <c r="W35" s="776" t="s">
        <v>161</v>
      </c>
      <c r="X35" s="740">
        <v>62</v>
      </c>
      <c r="AB35" s="828">
        <f t="shared" si="5"/>
        <v>80</v>
      </c>
      <c r="AC35" s="829">
        <f t="shared" si="4"/>
        <v>1</v>
      </c>
    </row>
    <row r="36" spans="2:29" ht="21" thickBot="1" x14ac:dyDescent="0.3">
      <c r="B36" s="16">
        <f t="shared" si="0"/>
        <v>27</v>
      </c>
      <c r="C36" s="106" t="s">
        <v>66</v>
      </c>
      <c r="D36" s="107" t="s">
        <v>67</v>
      </c>
      <c r="E36" s="599" t="str">
        <f t="shared" si="1"/>
        <v>FrankBjarkø</v>
      </c>
      <c r="F36" s="192">
        <f>YEAR(I$5)-_xlfn.XLOOKUP(E36,Deltakerliste!E$5:E$98,Deltakerliste!I$5:I$98)</f>
        <v>73</v>
      </c>
      <c r="G36" s="192">
        <f>_xlfn.XLOOKUP(E36,Deltakerliste!E$5:E$98,Deltakerliste!H$5:H$98)</f>
        <v>2</v>
      </c>
      <c r="H36" s="592">
        <f>VLOOKUP(F36,Deltakerliste!P$6:T$84,G36,FALSE)</f>
        <v>1.5329999999999999</v>
      </c>
      <c r="I36" s="13"/>
      <c r="J36" s="13">
        <v>2.5949074074074076E-2</v>
      </c>
      <c r="K36" s="13"/>
      <c r="L36" s="600">
        <f t="shared" si="2"/>
        <v>9.2675264550264556E-3</v>
      </c>
      <c r="M36" s="594">
        <f>IF(L36="Løype",Poengsammendrag!$F$2,IF(L36="Arr",Poengsammendrag!$F$3,IF(L36="Brutt",50,IF(L36="Disk",50,ROUND(MAXA(100*(MIN(L$10:L$91)/L36),50),0)))))</f>
        <v>60</v>
      </c>
      <c r="N36" s="724">
        <f t="shared" si="3"/>
        <v>6.0453531996258686E-3</v>
      </c>
      <c r="O36" s="596">
        <f>IF(N36="Løype",Poengsammendrag!$F$2,IF(N36="Arr",Poengsammendrag!$F$3,IF(N36="Brutt",50,IF(N36="Disk",50,ROUND(MAXA(100*(MIN(N$10:N$91)/N36),50),0)))))</f>
        <v>62</v>
      </c>
      <c r="S36" s="803" t="s">
        <v>161</v>
      </c>
      <c r="T36" s="736">
        <v>1.021090534979424E-2</v>
      </c>
      <c r="U36" s="752">
        <v>54</v>
      </c>
      <c r="V36" s="781"/>
      <c r="W36" s="776" t="s">
        <v>66</v>
      </c>
      <c r="X36" s="740">
        <v>62</v>
      </c>
      <c r="AB36" s="828">
        <f t="shared" si="5"/>
        <v>81</v>
      </c>
      <c r="AC36" s="829">
        <f t="shared" si="4"/>
        <v>1</v>
      </c>
    </row>
    <row r="37" spans="2:29" ht="21" customHeight="1" thickBot="1" x14ac:dyDescent="0.3">
      <c r="B37" s="16">
        <f t="shared" si="0"/>
        <v>28</v>
      </c>
      <c r="C37" s="106" t="s">
        <v>72</v>
      </c>
      <c r="D37" s="107" t="s">
        <v>73</v>
      </c>
      <c r="E37" s="599" t="str">
        <f t="shared" si="1"/>
        <v>KåreEggereide</v>
      </c>
      <c r="F37" s="192">
        <f>YEAR(I$5)-_xlfn.XLOOKUP(E37,Deltakerliste!E$5:E$98,Deltakerliste!I$5:I$98)</f>
        <v>74</v>
      </c>
      <c r="G37" s="192">
        <f>_xlfn.XLOOKUP(E37,Deltakerliste!E$5:E$98,Deltakerliste!H$5:H$98)</f>
        <v>2</v>
      </c>
      <c r="H37" s="592">
        <f>VLOOKUP(F37,Deltakerliste!P$6:T$84,G37,FALSE)</f>
        <v>1.569</v>
      </c>
      <c r="I37" s="854"/>
      <c r="J37" s="13">
        <v>2.7881944444444445E-2</v>
      </c>
      <c r="K37" s="13"/>
      <c r="L37" s="600">
        <f t="shared" si="2"/>
        <v>9.9578373015873026E-3</v>
      </c>
      <c r="M37" s="594">
        <f>IF(L37="Løype",Poengsammendrag!$F$2,IF(L37="Arr",Poengsammendrag!$F$3,IF(L37="Brutt",50,IF(L37="Disk",50,ROUND(MAXA(100*(MIN(L$10:L$91)/L37),50),0)))))</f>
        <v>56</v>
      </c>
      <c r="N37" s="724">
        <f t="shared" si="3"/>
        <v>6.3466139589466557E-3</v>
      </c>
      <c r="O37" s="596">
        <f>IF(N37="Løype",Poengsammendrag!$F$2,IF(N37="Arr",Poengsammendrag!$F$3,IF(N37="Brutt",50,IF(N37="Disk",50,ROUND(MAXA(100*(MIN(N$10:N$91)/N37),50),0)))))</f>
        <v>59</v>
      </c>
      <c r="S37" s="803" t="s">
        <v>122</v>
      </c>
      <c r="T37" s="736">
        <v>1.0493827160493827E-2</v>
      </c>
      <c r="U37" s="752">
        <v>53</v>
      </c>
      <c r="V37" s="781"/>
      <c r="W37" s="776" t="s">
        <v>350</v>
      </c>
      <c r="X37" s="740">
        <v>59</v>
      </c>
      <c r="AB37" s="828">
        <f t="shared" si="5"/>
        <v>82</v>
      </c>
      <c r="AC37" s="829">
        <f t="shared" si="4"/>
        <v>1</v>
      </c>
    </row>
    <row r="38" spans="2:29" ht="21" customHeight="1" thickBot="1" x14ac:dyDescent="0.3">
      <c r="B38" s="16">
        <f t="shared" si="0"/>
        <v>29</v>
      </c>
      <c r="C38" s="106" t="s">
        <v>263</v>
      </c>
      <c r="D38" s="107" t="s">
        <v>264</v>
      </c>
      <c r="E38" s="599" t="str">
        <f t="shared" si="1"/>
        <v>RuneHolt</v>
      </c>
      <c r="F38" s="192">
        <f>YEAR(I$5)-_xlfn.XLOOKUP(E38,Deltakerliste!E$5:E$98,Deltakerliste!I$5:I$98)</f>
        <v>72</v>
      </c>
      <c r="G38" s="192">
        <f>_xlfn.XLOOKUP(E38,Deltakerliste!E$5:E$98,Deltakerliste!H$5:H$98)</f>
        <v>2</v>
      </c>
      <c r="H38" s="592">
        <f>VLOOKUP(F38,Deltakerliste!P$6:T$84,G38,FALSE)</f>
        <v>1.4969999999999999</v>
      </c>
      <c r="I38" s="86">
        <v>1.7280092592592593E-2</v>
      </c>
      <c r="J38" s="86"/>
      <c r="K38" s="17"/>
      <c r="L38" s="600">
        <f t="shared" si="2"/>
        <v>9.6000514403292176E-3</v>
      </c>
      <c r="M38" s="594">
        <f>IF(L38="Løype",Poengsammendrag!$F$2,IF(L38="Arr",Poengsammendrag!$F$3,IF(L38="Brutt",50,IF(L38="Disk",50,ROUND(MAXA(100*(MIN(L$10:L$91)/L38),50),0)))))</f>
        <v>58</v>
      </c>
      <c r="N38" s="724">
        <f t="shared" si="3"/>
        <v>6.4128600135799725E-3</v>
      </c>
      <c r="O38" s="596">
        <f>IF(N38="Løype",Poengsammendrag!$F$2,IF(N38="Arr",Poengsammendrag!$F$3,IF(N38="Brutt",50,IF(N38="Disk",50,ROUND(MAXA(100*(MIN(N$10:N$91)/N38),50),0)))))</f>
        <v>58</v>
      </c>
      <c r="S38" s="803" t="s">
        <v>76</v>
      </c>
      <c r="T38" s="736">
        <v>1.0545267489711933E-2</v>
      </c>
      <c r="U38" s="752">
        <v>53</v>
      </c>
      <c r="V38" s="781"/>
      <c r="W38" s="776" t="s">
        <v>263</v>
      </c>
      <c r="X38" s="740">
        <v>58</v>
      </c>
      <c r="AB38" s="828">
        <f t="shared" si="5"/>
        <v>83</v>
      </c>
      <c r="AC38" s="829">
        <f t="shared" si="4"/>
        <v>1</v>
      </c>
    </row>
    <row r="39" spans="2:29" ht="21" customHeight="1" thickBot="1" x14ac:dyDescent="0.3">
      <c r="B39" s="16">
        <f t="shared" si="0"/>
        <v>30</v>
      </c>
      <c r="C39" s="106" t="s">
        <v>265</v>
      </c>
      <c r="D39" s="107" t="s">
        <v>344</v>
      </c>
      <c r="E39" s="599" t="str">
        <f t="shared" si="1"/>
        <v>ØysteinNytrø</v>
      </c>
      <c r="F39" s="192">
        <f>YEAR(I$5)-_xlfn.XLOOKUP(E39,Deltakerliste!E$5:E$98,Deltakerliste!I$5:I$98)</f>
        <v>65</v>
      </c>
      <c r="G39" s="192">
        <f>_xlfn.XLOOKUP(E39,Deltakerliste!E$5:E$98,Deltakerliste!H$5:H$98)</f>
        <v>2</v>
      </c>
      <c r="H39" s="592">
        <f>VLOOKUP(F39,Deltakerliste!P$6:T$84,G39,FALSE)</f>
        <v>1.2949999999999997</v>
      </c>
      <c r="I39" s="18"/>
      <c r="J39" s="132">
        <v>2.4039351851851853E-2</v>
      </c>
      <c r="K39" s="18"/>
      <c r="L39" s="600">
        <f t="shared" si="2"/>
        <v>8.5854828042328055E-3</v>
      </c>
      <c r="M39" s="594">
        <f>IF(L39="Løype",Poengsammendrag!$F$2,IF(L39="Arr",Poengsammendrag!$F$3,IF(L39="Brutt",50,IF(L39="Disk",50,ROUND(MAXA(100*(MIN(L$10:L$91)/L39),50),0)))))</f>
        <v>65</v>
      </c>
      <c r="N39" s="724">
        <f t="shared" si="3"/>
        <v>6.6297164511450249E-3</v>
      </c>
      <c r="O39" s="596">
        <f>IF(N39="Løype",Poengsammendrag!$F$2,IF(N39="Arr",Poengsammendrag!$F$3,IF(N39="Brutt",50,IF(N39="Disk",50,ROUND(MAXA(100*(MIN(N$10:N$91)/N39),50),0)))))</f>
        <v>56</v>
      </c>
      <c r="S39" s="803" t="s">
        <v>108</v>
      </c>
      <c r="T39" s="736">
        <v>1.11304012345679E-2</v>
      </c>
      <c r="U39" s="752">
        <v>50</v>
      </c>
      <c r="V39" s="781"/>
      <c r="W39" s="776" t="s">
        <v>345</v>
      </c>
      <c r="X39" s="740">
        <v>56</v>
      </c>
      <c r="AB39" s="828">
        <f t="shared" si="5"/>
        <v>84</v>
      </c>
      <c r="AC39" s="829">
        <f t="shared" si="4"/>
        <v>1</v>
      </c>
    </row>
    <row r="40" spans="2:29" ht="21" thickBot="1" x14ac:dyDescent="0.3">
      <c r="B40" s="16">
        <f t="shared" si="0"/>
        <v>31</v>
      </c>
      <c r="C40" s="106" t="s">
        <v>76</v>
      </c>
      <c r="D40" s="107" t="s">
        <v>77</v>
      </c>
      <c r="E40" s="599" t="str">
        <f t="shared" si="1"/>
        <v>ReinoldEllingsen</v>
      </c>
      <c r="F40" s="192">
        <f>YEAR(I$5)-_xlfn.XLOOKUP(E40,Deltakerliste!E$5:E$98,Deltakerliste!I$5:I$98)</f>
        <v>74</v>
      </c>
      <c r="G40" s="192">
        <f>_xlfn.XLOOKUP(E40,Deltakerliste!E$5:E$98,Deltakerliste!H$5:H$98)</f>
        <v>2</v>
      </c>
      <c r="H40" s="592">
        <f>VLOOKUP(F40,Deltakerliste!P$6:T$84,G40,FALSE)</f>
        <v>1.569</v>
      </c>
      <c r="I40" s="13">
        <v>1.8981481481481481E-2</v>
      </c>
      <c r="J40" s="13"/>
      <c r="K40" s="13"/>
      <c r="L40" s="600">
        <f t="shared" si="2"/>
        <v>1.0545267489711933E-2</v>
      </c>
      <c r="M40" s="594">
        <f>IF(L40="Løype",Poengsammendrag!$F$2,IF(L40="Arr",Poengsammendrag!$F$3,IF(L40="Brutt",50,IF(L40="Disk",50,ROUND(MAXA(100*(MIN(L$10:L$91)/L40),50),0)))))</f>
        <v>53</v>
      </c>
      <c r="N40" s="724">
        <f t="shared" si="3"/>
        <v>6.7210117843925646E-3</v>
      </c>
      <c r="O40" s="596">
        <f>IF(N40="Løype",Poengsammendrag!$F$2,IF(N40="Arr",Poengsammendrag!$F$3,IF(N40="Brutt",50,IF(N40="Disk",50,ROUND(MAXA(100*(MIN(N$10:N$91)/N40),50),0)))))</f>
        <v>56</v>
      </c>
      <c r="S40" s="803" t="s">
        <v>373</v>
      </c>
      <c r="T40" s="736">
        <v>1.1207561728395061E-2</v>
      </c>
      <c r="U40" s="752">
        <v>50</v>
      </c>
      <c r="V40" s="781"/>
      <c r="W40" s="776" t="s">
        <v>76</v>
      </c>
      <c r="X40" s="740">
        <v>56</v>
      </c>
      <c r="AB40" s="828">
        <f t="shared" si="5"/>
        <v>85</v>
      </c>
      <c r="AC40" s="829">
        <f t="shared" si="4"/>
        <v>0</v>
      </c>
    </row>
    <row r="41" spans="2:29" ht="21" thickBot="1" x14ac:dyDescent="0.3">
      <c r="B41" s="16">
        <f t="shared" si="0"/>
        <v>32</v>
      </c>
      <c r="C41" s="106" t="s">
        <v>60</v>
      </c>
      <c r="D41" s="107" t="s">
        <v>372</v>
      </c>
      <c r="E41" s="599" t="str">
        <f t="shared" si="1"/>
        <v>JosteinGrepstad</v>
      </c>
      <c r="F41" s="192">
        <f>YEAR(I$5)-_xlfn.XLOOKUP(E41,Deltakerliste!E$5:E$98,Deltakerliste!I$5:I$98)</f>
        <v>74</v>
      </c>
      <c r="G41" s="192">
        <f>_xlfn.XLOOKUP(E41,Deltakerliste!E$5:E$98,Deltakerliste!H$5:H$98)</f>
        <v>2</v>
      </c>
      <c r="H41" s="592">
        <f>VLOOKUP(F41,Deltakerliste!P$6:T$84,G41,FALSE)</f>
        <v>1.569</v>
      </c>
      <c r="I41" s="14">
        <v>2.0173611111111111E-2</v>
      </c>
      <c r="J41" s="14"/>
      <c r="K41" s="18"/>
      <c r="L41" s="600">
        <f t="shared" si="2"/>
        <v>1.1207561728395061E-2</v>
      </c>
      <c r="M41" s="594">
        <f>IF(L41="Løype",Poengsammendrag!$F$2,IF(L41="Arr",Poengsammendrag!$F$3,IF(L41="Brutt",50,IF(L41="Disk",50,ROUND(MAXA(100*(MIN(L$10:L$91)/L41),50),0)))))</f>
        <v>50</v>
      </c>
      <c r="N41" s="724">
        <f t="shared" si="3"/>
        <v>7.1431241098757559E-3</v>
      </c>
      <c r="O41" s="596">
        <f>IF(N41="Løype",Poengsammendrag!$F$2,IF(N41="Arr",Poengsammendrag!$F$3,IF(N41="Brutt",50,IF(N41="Disk",50,ROUND(MAXA(100*(MIN(N$10:N$91)/N41),50),0)))))</f>
        <v>52</v>
      </c>
      <c r="S41" s="803" t="s">
        <v>207</v>
      </c>
      <c r="T41" s="736">
        <v>1.2172067901234568E-2</v>
      </c>
      <c r="U41" s="752">
        <v>50</v>
      </c>
      <c r="V41" s="781"/>
      <c r="W41" s="776" t="s">
        <v>373</v>
      </c>
      <c r="X41" s="740">
        <v>52</v>
      </c>
      <c r="AB41" s="828">
        <f t="shared" si="5"/>
        <v>86</v>
      </c>
      <c r="AC41" s="829">
        <f t="shared" si="4"/>
        <v>0</v>
      </c>
    </row>
    <row r="42" spans="2:29" ht="21" customHeight="1" thickBot="1" x14ac:dyDescent="0.3">
      <c r="B42" s="16">
        <f t="shared" ref="B42:B73" si="6">B41+1</f>
        <v>33</v>
      </c>
      <c r="C42" s="106" t="s">
        <v>82</v>
      </c>
      <c r="D42" s="107" t="s">
        <v>83</v>
      </c>
      <c r="E42" s="599" t="str">
        <f t="shared" ref="E42:E73" si="7">_xlfn.CONCAT(C42:D42)</f>
        <v>RoarForbord</v>
      </c>
      <c r="F42" s="192">
        <f>YEAR(I$5)-_xlfn.XLOOKUP(E42,Deltakerliste!E$5:E$98,Deltakerliste!I$5:I$98)</f>
        <v>82</v>
      </c>
      <c r="G42" s="192">
        <f>_xlfn.XLOOKUP(E42,Deltakerliste!E$5:E$98,Deltakerliste!H$5:H$98)</f>
        <v>2</v>
      </c>
      <c r="H42" s="592">
        <f>VLOOKUP(F42,Deltakerliste!P$6:T$84,G42,FALSE)</f>
        <v>2.0030000000000001</v>
      </c>
      <c r="I42" s="86">
        <v>3.1493055555555559E-2</v>
      </c>
      <c r="J42" s="86"/>
      <c r="K42" s="13"/>
      <c r="L42" s="600">
        <f t="shared" si="2"/>
        <v>1.7496141975308643E-2</v>
      </c>
      <c r="M42" s="594">
        <f>IF(L42="Løype",Poengsammendrag!$F$2,IF(L42="Arr",Poengsammendrag!$F$3,IF(L42="Brutt",50,IF(L42="Disk",50,ROUND(MAXA(100*(MIN(L$10:L$91)/L42),50),0)))))</f>
        <v>50</v>
      </c>
      <c r="N42" s="724">
        <f t="shared" si="3"/>
        <v>8.7349685348520421E-3</v>
      </c>
      <c r="O42" s="596">
        <f>IF(N42="Løype",Poengsammendrag!$F$2,IF(N42="Arr",Poengsammendrag!$F$3,IF(N42="Brutt",50,IF(N42="Disk",50,ROUND(MAXA(100*(MIN(N$10:N$91)/N42),50),0)))))</f>
        <v>50</v>
      </c>
      <c r="S42" s="803" t="s">
        <v>82</v>
      </c>
      <c r="T42" s="796">
        <v>1.7496141975308643E-2</v>
      </c>
      <c r="U42" s="765">
        <v>50</v>
      </c>
      <c r="V42" s="782"/>
      <c r="W42" s="777" t="s">
        <v>82</v>
      </c>
      <c r="X42" s="762">
        <v>50</v>
      </c>
      <c r="AB42" s="828">
        <f t="shared" si="5"/>
        <v>87</v>
      </c>
      <c r="AC42" s="829">
        <f t="shared" si="4"/>
        <v>0</v>
      </c>
    </row>
    <row r="43" spans="2:29" ht="21" thickBot="1" x14ac:dyDescent="0.3">
      <c r="B43" s="16">
        <f t="shared" si="6"/>
        <v>34</v>
      </c>
      <c r="C43" s="106" t="s">
        <v>86</v>
      </c>
      <c r="D43" s="107" t="s">
        <v>87</v>
      </c>
      <c r="E43" s="599" t="str">
        <f t="shared" si="7"/>
        <v>KristianFougner</v>
      </c>
      <c r="F43" s="192">
        <f>YEAR(I$5)-_xlfn.XLOOKUP(E43,Deltakerliste!E$5:E$98,Deltakerliste!I$5:I$98)</f>
        <v>75</v>
      </c>
      <c r="G43" s="192">
        <f>_xlfn.XLOOKUP(E43,Deltakerliste!E$5:E$98,Deltakerliste!H$5:H$98)</f>
        <v>2</v>
      </c>
      <c r="H43" s="592">
        <f>VLOOKUP(F43,Deltakerliste!P$6:T$84,G43,FALSE)</f>
        <v>1.605</v>
      </c>
      <c r="I43" s="86"/>
      <c r="J43" s="86" t="s">
        <v>7</v>
      </c>
      <c r="K43" s="13"/>
      <c r="L43" s="600" t="str">
        <f t="shared" si="2"/>
        <v>Arr</v>
      </c>
      <c r="M43" s="594">
        <f>IF(L43="Løype",Poengsammendrag!$F$2,IF(L43="Arr",Poengsammendrag!$F$3,IF(L43="Brutt",50,IF(L43="Disk",50,ROUND(MAXA(100*(MIN(L$10:L$91)/L43),50),0)))))</f>
        <v>94</v>
      </c>
      <c r="N43" s="724" t="str">
        <f t="shared" si="3"/>
        <v>Arr</v>
      </c>
      <c r="O43" s="596">
        <f>IF(N43="Løype",Poengsammendrag!$F$2,IF(N43="Arr",Poengsammendrag!$F$3,IF(N43="Brutt",50,IF(N43="Disk",50,ROUND(MAXA(100*(MIN(N$10:N$91)/N43),50),0)))))</f>
        <v>94</v>
      </c>
      <c r="S43" s="803" t="s">
        <v>86</v>
      </c>
      <c r="T43" s="797" t="s">
        <v>7</v>
      </c>
      <c r="U43" s="770">
        <v>94</v>
      </c>
      <c r="V43" s="778"/>
      <c r="W43" s="783" t="s">
        <v>86</v>
      </c>
      <c r="X43" s="740">
        <v>94</v>
      </c>
      <c r="AB43" s="828">
        <f t="shared" si="5"/>
        <v>88</v>
      </c>
      <c r="AC43" s="829">
        <f t="shared" si="4"/>
        <v>0</v>
      </c>
    </row>
    <row r="44" spans="2:29" ht="21" customHeight="1" thickBot="1" x14ac:dyDescent="0.3">
      <c r="B44" s="16">
        <f t="shared" si="6"/>
        <v>35</v>
      </c>
      <c r="C44" s="106" t="s">
        <v>136</v>
      </c>
      <c r="D44" s="107" t="s">
        <v>137</v>
      </c>
      <c r="E44" s="599" t="str">
        <f t="shared" si="7"/>
        <v>HaraldOftedal</v>
      </c>
      <c r="F44" s="192">
        <f>YEAR(I$5)-_xlfn.XLOOKUP(E44,Deltakerliste!E$5:E$98,Deltakerliste!I$5:I$98)</f>
        <v>73</v>
      </c>
      <c r="G44" s="192">
        <f>_xlfn.XLOOKUP(E44,Deltakerliste!E$5:E$98,Deltakerliste!H$5:H$98)</f>
        <v>2</v>
      </c>
      <c r="H44" s="592">
        <f>VLOOKUP(F44,Deltakerliste!P$6:T$84,G44,FALSE)</f>
        <v>1.5329999999999999</v>
      </c>
      <c r="I44" s="132"/>
      <c r="J44" s="132" t="s">
        <v>62</v>
      </c>
      <c r="K44" s="134"/>
      <c r="L44" s="600" t="str">
        <f t="shared" si="2"/>
        <v>Løype</v>
      </c>
      <c r="M44" s="594">
        <f>IF(L44="Løype",Poengsammendrag!$F$2,IF(L44="Arr",Poengsammendrag!$F$3,IF(L44="Brutt",50,IF(L44="Disk",50,ROUND(MAXA(100*(MIN(L$10:L$91)/L44),50),0)))))</f>
        <v>100</v>
      </c>
      <c r="N44" s="724" t="str">
        <f t="shared" si="3"/>
        <v>Løype</v>
      </c>
      <c r="O44" s="596">
        <f>IF(N44="Løype",Poengsammendrag!$F$2,IF(N44="Arr",Poengsammendrag!$F$3,IF(N44="Brutt",50,IF(N44="Disk",50,ROUND(MAXA(100*(MIN(N$10:N$91)/N44),50),0)))))</f>
        <v>100</v>
      </c>
      <c r="S44" s="803" t="s">
        <v>136</v>
      </c>
      <c r="T44" s="797" t="s">
        <v>62</v>
      </c>
      <c r="U44" s="770">
        <v>100</v>
      </c>
      <c r="V44" s="772"/>
      <c r="W44" s="783" t="s">
        <v>136</v>
      </c>
      <c r="X44" s="740">
        <v>100</v>
      </c>
      <c r="AB44" s="828">
        <f t="shared" si="5"/>
        <v>89</v>
      </c>
      <c r="AC44" s="829">
        <f t="shared" si="4"/>
        <v>0</v>
      </c>
    </row>
    <row r="45" spans="2:29" ht="21" thickBot="1" x14ac:dyDescent="0.3">
      <c r="B45" s="16">
        <f t="shared" si="6"/>
        <v>36</v>
      </c>
      <c r="C45" s="106" t="s">
        <v>60</v>
      </c>
      <c r="D45" s="107" t="s">
        <v>61</v>
      </c>
      <c r="E45" s="599" t="str">
        <f t="shared" si="7"/>
        <v>JosteinAlvestad</v>
      </c>
      <c r="F45" s="192">
        <f>YEAR(I$5)-_xlfn.XLOOKUP(E45,Deltakerliste!E$5:E$98,Deltakerliste!I$5:I$98)</f>
        <v>70</v>
      </c>
      <c r="G45" s="192">
        <f>_xlfn.XLOOKUP(E45,Deltakerliste!E$5:E$98,Deltakerliste!H$5:H$98)</f>
        <v>2</v>
      </c>
      <c r="H45" s="592">
        <f>VLOOKUP(F45,Deltakerliste!P$6:T$84,G45,FALSE)</f>
        <v>1.4249999999999998</v>
      </c>
      <c r="I45" s="13"/>
      <c r="J45" s="13"/>
      <c r="K45" s="17"/>
      <c r="L45" s="600"/>
      <c r="M45" s="594"/>
      <c r="N45" s="724"/>
      <c r="O45" s="596"/>
      <c r="S45" s="803"/>
      <c r="T45" s="797"/>
      <c r="U45" s="770"/>
      <c r="V45" s="772"/>
      <c r="W45" s="783"/>
      <c r="X45" s="740"/>
      <c r="AB45" s="828">
        <f t="shared" si="5"/>
        <v>90</v>
      </c>
      <c r="AC45" s="829">
        <f t="shared" si="4"/>
        <v>0</v>
      </c>
    </row>
    <row r="46" spans="2:29" ht="21" thickBot="1" x14ac:dyDescent="0.3">
      <c r="B46" s="16">
        <f t="shared" si="6"/>
        <v>37</v>
      </c>
      <c r="C46" s="106" t="s">
        <v>364</v>
      </c>
      <c r="D46" s="107" t="s">
        <v>365</v>
      </c>
      <c r="E46" s="599" t="str">
        <f t="shared" si="7"/>
        <v>GerdBjørset</v>
      </c>
      <c r="F46" s="192">
        <f>YEAR(I$5)-_xlfn.XLOOKUP(E46,Deltakerliste!E$5:E$98,Deltakerliste!I$5:I$98)</f>
        <v>71</v>
      </c>
      <c r="G46" s="192">
        <f>_xlfn.XLOOKUP(E46,Deltakerliste!E$5:E$98,Deltakerliste!H$5:H$98)</f>
        <v>4</v>
      </c>
      <c r="H46" s="592">
        <f>VLOOKUP(F46,Deltakerliste!P$6:T$84,G46,FALSE)</f>
        <v>1.9926000000000013</v>
      </c>
      <c r="I46" s="13"/>
      <c r="J46" s="13"/>
      <c r="K46" s="13"/>
      <c r="L46" s="600"/>
      <c r="M46" s="594"/>
      <c r="N46" s="724"/>
      <c r="O46" s="596"/>
      <c r="S46" s="803"/>
      <c r="T46" s="797"/>
      <c r="U46" s="770"/>
      <c r="V46" s="772"/>
      <c r="W46" s="783"/>
      <c r="X46" s="740"/>
      <c r="AB46" s="828">
        <f t="shared" si="5"/>
        <v>91</v>
      </c>
      <c r="AC46" s="829">
        <f t="shared" si="4"/>
        <v>0</v>
      </c>
    </row>
    <row r="47" spans="2:29" ht="21" customHeight="1" thickBot="1" x14ac:dyDescent="0.3">
      <c r="B47" s="16">
        <f t="shared" si="6"/>
        <v>38</v>
      </c>
      <c r="C47" s="106" t="s">
        <v>64</v>
      </c>
      <c r="D47" s="107" t="s">
        <v>267</v>
      </c>
      <c r="E47" s="599" t="str">
        <f t="shared" si="7"/>
        <v>BjørnBrenne</v>
      </c>
      <c r="F47" s="192">
        <f>YEAR(I$5)-_xlfn.XLOOKUP(E47,Deltakerliste!E$5:E$98,Deltakerliste!I$5:I$98)</f>
        <v>80</v>
      </c>
      <c r="G47" s="192">
        <f>_xlfn.XLOOKUP(E47,Deltakerliste!E$5:E$98,Deltakerliste!H$5:H$98)</f>
        <v>2</v>
      </c>
      <c r="H47" s="592">
        <f>VLOOKUP(F47,Deltakerliste!P$6:T$84,G47,FALSE)</f>
        <v>1.8550000000000002</v>
      </c>
      <c r="I47" s="86"/>
      <c r="J47" s="86"/>
      <c r="K47" s="13"/>
      <c r="L47" s="600"/>
      <c r="M47" s="594"/>
      <c r="N47" s="724"/>
      <c r="O47" s="596"/>
      <c r="S47" s="803"/>
      <c r="T47" s="797"/>
      <c r="U47" s="770"/>
      <c r="V47" s="772"/>
      <c r="W47" s="783"/>
      <c r="X47" s="740"/>
      <c r="AB47" s="828">
        <f t="shared" si="5"/>
        <v>92</v>
      </c>
      <c r="AC47" s="829">
        <f t="shared" si="4"/>
        <v>0</v>
      </c>
    </row>
    <row r="48" spans="2:29" ht="21" customHeight="1" thickBot="1" x14ac:dyDescent="0.3">
      <c r="B48" s="16">
        <f t="shared" si="6"/>
        <v>39</v>
      </c>
      <c r="C48" s="106" t="s">
        <v>70</v>
      </c>
      <c r="D48" s="107" t="s">
        <v>71</v>
      </c>
      <c r="E48" s="599" t="str">
        <f t="shared" si="7"/>
        <v>TrondDamås</v>
      </c>
      <c r="F48" s="192">
        <f>YEAR(I$5)-_xlfn.XLOOKUP(E48,Deltakerliste!E$5:E$98,Deltakerliste!I$5:I$98)</f>
        <v>75</v>
      </c>
      <c r="G48" s="192">
        <f>_xlfn.XLOOKUP(E48,Deltakerliste!E$5:E$98,Deltakerliste!H$5:H$98)</f>
        <v>2</v>
      </c>
      <c r="H48" s="592">
        <f>VLOOKUP(F48,Deltakerliste!P$6:T$84,G48,FALSE)</f>
        <v>1.605</v>
      </c>
      <c r="I48" s="13"/>
      <c r="J48" s="13"/>
      <c r="K48" s="13"/>
      <c r="L48" s="600"/>
      <c r="M48" s="594"/>
      <c r="N48" s="724"/>
      <c r="O48" s="596"/>
      <c r="S48" s="803"/>
      <c r="T48" s="797"/>
      <c r="U48" s="770"/>
      <c r="V48" s="772"/>
      <c r="W48" s="783"/>
      <c r="X48" s="740"/>
      <c r="AB48" s="828">
        <f t="shared" si="5"/>
        <v>93</v>
      </c>
      <c r="AC48" s="829">
        <f t="shared" si="4"/>
        <v>0</v>
      </c>
    </row>
    <row r="49" spans="2:29" ht="21" customHeight="1" thickBot="1" x14ac:dyDescent="0.3">
      <c r="B49" s="16">
        <f t="shared" si="6"/>
        <v>40</v>
      </c>
      <c r="C49" s="106" t="s">
        <v>74</v>
      </c>
      <c r="D49" s="107" t="s">
        <v>75</v>
      </c>
      <c r="E49" s="599" t="str">
        <f t="shared" si="7"/>
        <v>StinaElfving</v>
      </c>
      <c r="F49" s="192">
        <f>YEAR(I$5)-_xlfn.XLOOKUP(E49,Deltakerliste!E$5:E$98,Deltakerliste!I$5:I$98)</f>
        <v>75</v>
      </c>
      <c r="G49" s="192">
        <f>_xlfn.XLOOKUP(E49,Deltakerliste!E$5:E$98,Deltakerliste!H$5:H$98)</f>
        <v>4</v>
      </c>
      <c r="H49" s="592">
        <f>VLOOKUP(F49,Deltakerliste!P$6:T$84,G49,FALSE)</f>
        <v>2.1670000000000016</v>
      </c>
      <c r="I49" s="13"/>
      <c r="J49" s="13"/>
      <c r="K49" s="17"/>
      <c r="L49" s="600"/>
      <c r="M49" s="594"/>
      <c r="N49" s="724"/>
      <c r="O49" s="596"/>
      <c r="S49" s="803"/>
      <c r="T49" s="796"/>
      <c r="U49" s="793"/>
      <c r="V49" s="794"/>
      <c r="W49" s="795"/>
      <c r="X49" s="762"/>
      <c r="AB49" s="828">
        <f t="shared" si="5"/>
        <v>94</v>
      </c>
      <c r="AC49" s="829">
        <f t="shared" si="4"/>
        <v>0</v>
      </c>
    </row>
    <row r="50" spans="2:29" ht="21" thickBot="1" x14ac:dyDescent="0.3">
      <c r="B50" s="16">
        <f t="shared" si="6"/>
        <v>41</v>
      </c>
      <c r="C50" s="106" t="s">
        <v>216</v>
      </c>
      <c r="D50" s="107" t="s">
        <v>77</v>
      </c>
      <c r="E50" s="599" t="str">
        <f t="shared" si="7"/>
        <v>Åse RitaEllingsen</v>
      </c>
      <c r="F50" s="192">
        <f>YEAR(I$5)-_xlfn.XLOOKUP(E50,Deltakerliste!E$5:E$98,Deltakerliste!I$5:I$98)</f>
        <v>61</v>
      </c>
      <c r="G50" s="192">
        <f>_xlfn.XLOOKUP(E50,Deltakerliste!E$5:E$98,Deltakerliste!H$5:H$98)</f>
        <v>4</v>
      </c>
      <c r="H50" s="592">
        <f>VLOOKUP(F50,Deltakerliste!P$6:T$84,G50,FALSE)</f>
        <v>1.6542000000000003</v>
      </c>
      <c r="I50" s="593"/>
      <c r="J50" s="14"/>
      <c r="K50" s="13"/>
      <c r="L50" s="600"/>
      <c r="M50" s="594"/>
      <c r="N50" s="724"/>
      <c r="O50" s="596"/>
      <c r="S50" s="803"/>
      <c r="T50" s="851"/>
      <c r="U50" s="770"/>
      <c r="V50" s="772"/>
      <c r="W50" s="783"/>
      <c r="X50" s="740"/>
      <c r="AB50" s="830">
        <f t="shared" si="5"/>
        <v>95</v>
      </c>
      <c r="AC50" s="831">
        <f t="shared" si="4"/>
        <v>0</v>
      </c>
    </row>
    <row r="51" spans="2:29" ht="21" customHeight="1" thickBot="1" x14ac:dyDescent="0.3">
      <c r="B51" s="16">
        <f t="shared" si="6"/>
        <v>42</v>
      </c>
      <c r="C51" s="106" t="s">
        <v>80</v>
      </c>
      <c r="D51" s="107" t="s">
        <v>81</v>
      </c>
      <c r="E51" s="599" t="str">
        <f t="shared" si="7"/>
        <v>HalvorFlatberg</v>
      </c>
      <c r="F51" s="192">
        <f>YEAR(I$5)-_xlfn.XLOOKUP(E51,Deltakerliste!E$5:E$98,Deltakerliste!I$5:I$98)</f>
        <v>79</v>
      </c>
      <c r="G51" s="192">
        <f>_xlfn.XLOOKUP(E51,Deltakerliste!E$5:E$98,Deltakerliste!H$5:H$98)</f>
        <v>2</v>
      </c>
      <c r="H51" s="592">
        <f>VLOOKUP(F51,Deltakerliste!P$6:T$84,G51,FALSE)</f>
        <v>1.8050000000000002</v>
      </c>
      <c r="I51" s="86"/>
      <c r="J51" s="86"/>
      <c r="K51" s="13"/>
      <c r="L51" s="600"/>
      <c r="M51" s="594"/>
      <c r="N51" s="724"/>
      <c r="O51" s="596"/>
      <c r="S51" s="803"/>
      <c r="T51" s="797"/>
      <c r="U51" s="770"/>
      <c r="V51" s="772"/>
      <c r="W51" s="783"/>
      <c r="X51" s="740"/>
    </row>
    <row r="52" spans="2:29" ht="21" thickBot="1" x14ac:dyDescent="0.3">
      <c r="B52" s="16">
        <f t="shared" si="6"/>
        <v>43</v>
      </c>
      <c r="C52" s="106" t="s">
        <v>271</v>
      </c>
      <c r="D52" s="107" t="s">
        <v>272</v>
      </c>
      <c r="E52" s="599" t="str">
        <f t="shared" si="7"/>
        <v>Arne KjellFoldvik</v>
      </c>
      <c r="F52" s="192">
        <f>YEAR(I$5)-_xlfn.XLOOKUP(E52,Deltakerliste!E$5:E$98,Deltakerliste!I$5:I$98)</f>
        <v>91</v>
      </c>
      <c r="G52" s="192">
        <f>_xlfn.XLOOKUP(E52,Deltakerliste!E$5:E$98,Deltakerliste!H$5:H$98)</f>
        <v>2</v>
      </c>
      <c r="H52" s="592">
        <f>VLOOKUP(F52,Deltakerliste!P$6:T$84,G52,FALSE)</f>
        <v>2.7290000000000001</v>
      </c>
      <c r="I52" s="14"/>
      <c r="J52" s="14"/>
      <c r="K52" s="13"/>
      <c r="L52" s="600"/>
      <c r="M52" s="594"/>
      <c r="N52" s="724"/>
      <c r="O52" s="596"/>
      <c r="S52" s="803"/>
      <c r="T52" s="798"/>
      <c r="U52" s="770"/>
      <c r="V52" s="772"/>
      <c r="W52" s="783"/>
      <c r="X52" s="740"/>
      <c r="AC52" s="651">
        <f>SUM(AC10:AC50)</f>
        <v>35</v>
      </c>
    </row>
    <row r="53" spans="2:29" ht="21" thickBot="1" x14ac:dyDescent="0.3">
      <c r="B53" s="16">
        <f t="shared" si="6"/>
        <v>44</v>
      </c>
      <c r="C53" s="106" t="s">
        <v>63</v>
      </c>
      <c r="D53" s="107" t="s">
        <v>336</v>
      </c>
      <c r="E53" s="599" t="str">
        <f t="shared" si="7"/>
        <v>ToreFornes</v>
      </c>
      <c r="F53" s="192">
        <f>YEAR(I$5)-_xlfn.XLOOKUP(E53,Deltakerliste!E$5:E$98,Deltakerliste!I$5:I$98)</f>
        <v>66</v>
      </c>
      <c r="G53" s="192">
        <f>_xlfn.XLOOKUP(E53,Deltakerliste!E$5:E$98,Deltakerliste!H$5:H$98)</f>
        <v>2</v>
      </c>
      <c r="H53" s="592">
        <f>VLOOKUP(F53,Deltakerliste!P$6:T$84,G53,FALSE)</f>
        <v>1.3209999999999997</v>
      </c>
      <c r="I53" s="86"/>
      <c r="J53" s="86"/>
      <c r="K53" s="13"/>
      <c r="L53" s="600"/>
      <c r="M53" s="594"/>
      <c r="N53" s="724"/>
      <c r="O53" s="596"/>
      <c r="S53" s="803"/>
      <c r="T53" s="798"/>
      <c r="U53" s="770"/>
      <c r="V53" s="772"/>
      <c r="W53" s="783"/>
      <c r="X53" s="740"/>
    </row>
    <row r="54" spans="2:29" ht="21" thickBot="1" x14ac:dyDescent="0.3">
      <c r="B54" s="16">
        <f t="shared" si="6"/>
        <v>45</v>
      </c>
      <c r="C54" s="106" t="s">
        <v>84</v>
      </c>
      <c r="D54" s="107" t="s">
        <v>85</v>
      </c>
      <c r="E54" s="599" t="str">
        <f t="shared" si="7"/>
        <v>PaulForseth</v>
      </c>
      <c r="F54" s="192">
        <f>YEAR(I$5)-_xlfn.XLOOKUP(E54,Deltakerliste!E$5:E$98,Deltakerliste!I$5:I$98)</f>
        <v>93</v>
      </c>
      <c r="G54" s="192">
        <f>_xlfn.XLOOKUP(E54,Deltakerliste!E$5:E$98,Deltakerliste!H$5:H$98)</f>
        <v>2</v>
      </c>
      <c r="H54" s="592">
        <f>VLOOKUP(F54,Deltakerliste!P$6:T$84,G54,FALSE)</f>
        <v>2.8970000000000002</v>
      </c>
      <c r="I54" s="86"/>
      <c r="J54" s="86"/>
      <c r="K54" s="17"/>
      <c r="L54" s="600"/>
      <c r="M54" s="594"/>
      <c r="N54" s="724"/>
      <c r="O54" s="596"/>
      <c r="S54" s="846"/>
      <c r="T54" s="847"/>
      <c r="U54" s="848"/>
      <c r="V54" s="778"/>
      <c r="W54" s="849"/>
      <c r="X54" s="850"/>
    </row>
    <row r="55" spans="2:29" ht="21" customHeight="1" thickBot="1" x14ac:dyDescent="0.3">
      <c r="B55" s="16">
        <f t="shared" si="6"/>
        <v>46</v>
      </c>
      <c r="C55" s="106" t="s">
        <v>116</v>
      </c>
      <c r="D55" s="107" t="s">
        <v>353</v>
      </c>
      <c r="E55" s="599" t="str">
        <f t="shared" si="7"/>
        <v>AndersGjermo</v>
      </c>
      <c r="F55" s="192">
        <f>YEAR(I$5)-_xlfn.XLOOKUP(E55,Deltakerliste!E$5:E$98,Deltakerliste!I$5:I$98)</f>
        <v>67</v>
      </c>
      <c r="G55" s="192">
        <f>_xlfn.XLOOKUP(E55,Deltakerliste!E$5:E$98,Deltakerliste!H$5:H$98)</f>
        <v>2</v>
      </c>
      <c r="H55" s="592">
        <f>VLOOKUP(F55,Deltakerliste!P$6:T$84,G55,FALSE)</f>
        <v>1.3469999999999998</v>
      </c>
      <c r="I55" s="132"/>
      <c r="J55" s="132"/>
      <c r="K55" s="18"/>
      <c r="L55" s="600"/>
      <c r="M55" s="594"/>
      <c r="N55" s="724"/>
      <c r="O55" s="596"/>
      <c r="S55" s="803"/>
      <c r="T55" s="798"/>
      <c r="U55" s="770"/>
      <c r="V55" s="772"/>
      <c r="W55" s="783"/>
      <c r="X55" s="740"/>
    </row>
    <row r="56" spans="2:29" ht="21" thickBot="1" x14ac:dyDescent="0.3">
      <c r="B56" s="16">
        <f t="shared" si="6"/>
        <v>47</v>
      </c>
      <c r="C56" s="106" t="s">
        <v>90</v>
      </c>
      <c r="D56" s="107" t="s">
        <v>91</v>
      </c>
      <c r="E56" s="599" t="str">
        <f t="shared" si="7"/>
        <v>TorGjermstad</v>
      </c>
      <c r="F56" s="192">
        <f>YEAR(I$5)-_xlfn.XLOOKUP(E56,Deltakerliste!E$5:E$98,Deltakerliste!I$5:I$98)</f>
        <v>75</v>
      </c>
      <c r="G56" s="192">
        <f>_xlfn.XLOOKUP(E56,Deltakerliste!E$5:E$98,Deltakerliste!H$5:H$98)</f>
        <v>2</v>
      </c>
      <c r="H56" s="592">
        <f>VLOOKUP(F56,Deltakerliste!P$6:T$84,G56,FALSE)</f>
        <v>1.605</v>
      </c>
      <c r="I56" s="86"/>
      <c r="J56" s="86"/>
      <c r="K56" s="13"/>
      <c r="L56" s="600"/>
      <c r="M56" s="594"/>
      <c r="N56" s="724"/>
      <c r="O56" s="596"/>
      <c r="S56" s="803"/>
      <c r="T56" s="798"/>
      <c r="U56" s="770"/>
      <c r="V56" s="772"/>
      <c r="W56" s="783"/>
      <c r="X56" s="740"/>
    </row>
    <row r="57" spans="2:29" ht="21" thickBot="1" x14ac:dyDescent="0.3">
      <c r="B57" s="16">
        <f t="shared" si="6"/>
        <v>48</v>
      </c>
      <c r="C57" s="106" t="s">
        <v>92</v>
      </c>
      <c r="D57" s="107" t="s">
        <v>93</v>
      </c>
      <c r="E57" s="599" t="str">
        <f t="shared" si="7"/>
        <v>Jens ØysteinGjersvold</v>
      </c>
      <c r="F57" s="192">
        <f>YEAR(I$5)-_xlfn.XLOOKUP(E57,Deltakerliste!E$5:E$98,Deltakerliste!I$5:I$98)</f>
        <v>73</v>
      </c>
      <c r="G57" s="192">
        <f>_xlfn.XLOOKUP(E57,Deltakerliste!E$5:E$98,Deltakerliste!H$5:H$98)</f>
        <v>2</v>
      </c>
      <c r="H57" s="592">
        <f>VLOOKUP(F57,Deltakerliste!P$6:T$84,G57,FALSE)</f>
        <v>1.5329999999999999</v>
      </c>
      <c r="I57" s="14"/>
      <c r="J57" s="14"/>
      <c r="K57" s="18"/>
      <c r="L57" s="600"/>
      <c r="M57" s="594"/>
      <c r="N57" s="724"/>
      <c r="O57" s="596"/>
      <c r="S57" s="804"/>
      <c r="T57" s="801"/>
      <c r="U57" s="771"/>
      <c r="V57" s="773"/>
      <c r="W57" s="784"/>
      <c r="X57" s="741"/>
    </row>
    <row r="58" spans="2:29" ht="20" customHeight="1" thickBot="1" x14ac:dyDescent="0.3">
      <c r="B58" s="16">
        <f t="shared" si="6"/>
        <v>49</v>
      </c>
      <c r="C58" s="106" t="s">
        <v>64</v>
      </c>
      <c r="D58" s="107" t="s">
        <v>366</v>
      </c>
      <c r="E58" s="599" t="str">
        <f t="shared" si="7"/>
        <v>BjørnHafskjold</v>
      </c>
      <c r="F58" s="192">
        <f>YEAR(I$5)-_xlfn.XLOOKUP(E58,Deltakerliste!E$5:E$98,Deltakerliste!I$5:I$98)</f>
        <v>78</v>
      </c>
      <c r="G58" s="192">
        <f>_xlfn.XLOOKUP(E58,Deltakerliste!E$5:E$98,Deltakerliste!H$5:H$98)</f>
        <v>2</v>
      </c>
      <c r="H58" s="592">
        <f>VLOOKUP(F58,Deltakerliste!P$6:T$84,G58,FALSE)</f>
        <v>1.7550000000000001</v>
      </c>
      <c r="I58" s="14"/>
      <c r="J58" s="14"/>
      <c r="K58" s="18"/>
      <c r="L58" s="600"/>
      <c r="M58" s="594"/>
      <c r="N58" s="724"/>
      <c r="O58" s="596"/>
    </row>
    <row r="59" spans="2:29" ht="21" thickBot="1" x14ac:dyDescent="0.3">
      <c r="B59" s="16">
        <f t="shared" si="6"/>
        <v>50</v>
      </c>
      <c r="C59" s="106" t="s">
        <v>94</v>
      </c>
      <c r="D59" s="107" t="s">
        <v>95</v>
      </c>
      <c r="E59" s="599" t="str">
        <f t="shared" si="7"/>
        <v>TerjeHanssen</v>
      </c>
      <c r="F59" s="192">
        <f>YEAR(I$5)-_xlfn.XLOOKUP(E59,Deltakerliste!E$5:E$98,Deltakerliste!I$5:I$98)</f>
        <v>77</v>
      </c>
      <c r="G59" s="192">
        <f>_xlfn.XLOOKUP(E59,Deltakerliste!E$5:E$98,Deltakerliste!H$5:H$98)</f>
        <v>2</v>
      </c>
      <c r="H59" s="592">
        <f>VLOOKUP(F59,Deltakerliste!P$6:T$84,G59,FALSE)</f>
        <v>1.7050000000000001</v>
      </c>
      <c r="I59" s="86"/>
      <c r="J59" s="86"/>
      <c r="K59" s="17"/>
      <c r="L59" s="600"/>
      <c r="M59" s="594"/>
      <c r="N59" s="724"/>
      <c r="O59" s="596"/>
    </row>
    <row r="60" spans="2:29" ht="21" customHeight="1" thickBot="1" x14ac:dyDescent="0.3">
      <c r="B60" s="16">
        <f t="shared" si="6"/>
        <v>51</v>
      </c>
      <c r="C60" s="106" t="s">
        <v>96</v>
      </c>
      <c r="D60" s="107" t="s">
        <v>97</v>
      </c>
      <c r="E60" s="599" t="str">
        <f t="shared" si="7"/>
        <v>StigHaugskott</v>
      </c>
      <c r="F60" s="192">
        <f>YEAR(I$5)-_xlfn.XLOOKUP(E60,Deltakerliste!E$5:E$98,Deltakerliste!I$5:I$98)</f>
        <v>86</v>
      </c>
      <c r="G60" s="192">
        <f>_xlfn.XLOOKUP(E60,Deltakerliste!E$5:E$98,Deltakerliste!H$5:H$98)</f>
        <v>2</v>
      </c>
      <c r="H60" s="592">
        <f>VLOOKUP(F60,Deltakerliste!P$6:T$84,G60,FALSE)</f>
        <v>2.3089999999999997</v>
      </c>
      <c r="I60" s="86"/>
      <c r="J60" s="86"/>
      <c r="K60" s="86"/>
      <c r="L60" s="600"/>
      <c r="M60" s="594"/>
      <c r="N60" s="724"/>
      <c r="O60" s="596"/>
    </row>
    <row r="61" spans="2:29" ht="21" customHeight="1" thickBot="1" x14ac:dyDescent="0.3">
      <c r="B61" s="16">
        <f t="shared" si="6"/>
        <v>52</v>
      </c>
      <c r="C61" s="106" t="s">
        <v>63</v>
      </c>
      <c r="D61" s="107" t="s">
        <v>98</v>
      </c>
      <c r="E61" s="599" t="str">
        <f t="shared" si="7"/>
        <v>ToreHeggem</v>
      </c>
      <c r="F61" s="192">
        <f>YEAR(I$5)-_xlfn.XLOOKUP(E61,Deltakerliste!E$5:E$98,Deltakerliste!I$5:I$98)</f>
        <v>72</v>
      </c>
      <c r="G61" s="192">
        <f>_xlfn.XLOOKUP(E61,Deltakerliste!E$5:E$98,Deltakerliste!H$5:H$98)</f>
        <v>2</v>
      </c>
      <c r="H61" s="592">
        <f>VLOOKUP(F61,Deltakerliste!P$6:T$84,G61,FALSE)</f>
        <v>1.4969999999999999</v>
      </c>
      <c r="I61" s="86"/>
      <c r="J61" s="86"/>
      <c r="K61" s="13"/>
      <c r="L61" s="600"/>
      <c r="M61" s="594"/>
      <c r="N61" s="724"/>
      <c r="O61" s="596"/>
    </row>
    <row r="62" spans="2:29" ht="21" customHeight="1" thickBot="1" x14ac:dyDescent="0.3">
      <c r="B62" s="16">
        <f t="shared" si="6"/>
        <v>53</v>
      </c>
      <c r="C62" s="106" t="s">
        <v>342</v>
      </c>
      <c r="D62" s="107" t="s">
        <v>343</v>
      </c>
      <c r="E62" s="599" t="str">
        <f t="shared" si="7"/>
        <v>ArildHeggeset</v>
      </c>
      <c r="F62" s="192">
        <f>YEAR(I$5)-_xlfn.XLOOKUP(E62,Deltakerliste!E$5:E$98,Deltakerliste!I$5:I$98)</f>
        <v>58</v>
      </c>
      <c r="G62" s="192">
        <f>_xlfn.XLOOKUP(E62,Deltakerliste!E$5:E$98,Deltakerliste!H$5:H$98)</f>
        <v>2</v>
      </c>
      <c r="H62" s="592">
        <f>VLOOKUP(F62,Deltakerliste!P$6:T$84,G62,FALSE)</f>
        <v>1.1720000000000002</v>
      </c>
      <c r="I62" s="86"/>
      <c r="J62" s="86"/>
      <c r="K62" s="13"/>
      <c r="L62" s="600"/>
      <c r="M62" s="594"/>
      <c r="N62" s="724"/>
      <c r="O62" s="596"/>
    </row>
    <row r="63" spans="2:29" ht="21" thickBot="1" x14ac:dyDescent="0.3">
      <c r="B63" s="16">
        <f t="shared" si="6"/>
        <v>54</v>
      </c>
      <c r="C63" s="106" t="s">
        <v>309</v>
      </c>
      <c r="D63" s="107" t="s">
        <v>310</v>
      </c>
      <c r="E63" s="599" t="str">
        <f t="shared" si="7"/>
        <v>VigdisHeimly</v>
      </c>
      <c r="F63" s="192">
        <f>YEAR(I$5)-_xlfn.XLOOKUP(E63,Deltakerliste!E$5:E$98,Deltakerliste!I$5:I$98)</f>
        <v>66</v>
      </c>
      <c r="G63" s="192">
        <f>_xlfn.XLOOKUP(E63,Deltakerliste!E$5:E$98,Deltakerliste!H$5:H$98)</f>
        <v>4</v>
      </c>
      <c r="H63" s="592">
        <f>VLOOKUP(F63,Deltakerliste!P$6:T$84,G63,FALSE)</f>
        <v>1.8066000000000009</v>
      </c>
      <c r="I63" s="86"/>
      <c r="J63" s="86"/>
      <c r="K63" s="17"/>
      <c r="L63" s="600"/>
      <c r="M63" s="594"/>
      <c r="N63" s="724"/>
      <c r="O63" s="596"/>
    </row>
    <row r="64" spans="2:29" ht="21" thickBot="1" x14ac:dyDescent="0.3">
      <c r="B64" s="16">
        <f t="shared" si="6"/>
        <v>55</v>
      </c>
      <c r="C64" s="106" t="s">
        <v>99</v>
      </c>
      <c r="D64" s="107" t="s">
        <v>100</v>
      </c>
      <c r="E64" s="599" t="str">
        <f t="shared" si="7"/>
        <v>RobertHirsch</v>
      </c>
      <c r="F64" s="192">
        <f>YEAR(I$5)-_xlfn.XLOOKUP(E64,Deltakerliste!E$5:E$98,Deltakerliste!I$5:I$98)</f>
        <v>68</v>
      </c>
      <c r="G64" s="192">
        <f>_xlfn.XLOOKUP(E64,Deltakerliste!E$5:E$98,Deltakerliste!H$5:H$98)</f>
        <v>2</v>
      </c>
      <c r="H64" s="592">
        <f>VLOOKUP(F64,Deltakerliste!P$6:T$84,G64,FALSE)</f>
        <v>1.3729999999999998</v>
      </c>
      <c r="I64" s="86"/>
      <c r="J64" s="86"/>
      <c r="K64" s="13"/>
      <c r="L64" s="600"/>
      <c r="M64" s="594"/>
      <c r="N64" s="724"/>
      <c r="O64" s="596"/>
    </row>
    <row r="65" spans="2:17" ht="21" thickBot="1" x14ac:dyDescent="0.3">
      <c r="B65" s="16">
        <f t="shared" si="6"/>
        <v>56</v>
      </c>
      <c r="C65" s="106" t="s">
        <v>269</v>
      </c>
      <c r="D65" s="107" t="s">
        <v>270</v>
      </c>
      <c r="E65" s="599" t="str">
        <f t="shared" si="7"/>
        <v>Per OlavJohansen</v>
      </c>
      <c r="F65" s="192">
        <f>YEAR(I$5)-_xlfn.XLOOKUP(E65,Deltakerliste!E$5:E$98,Deltakerliste!I$5:I$98)</f>
        <v>67</v>
      </c>
      <c r="G65" s="192">
        <f>_xlfn.XLOOKUP(E65,Deltakerliste!E$5:E$98,Deltakerliste!H$5:H$98)</f>
        <v>2</v>
      </c>
      <c r="H65" s="592">
        <f>VLOOKUP(F65,Deltakerliste!P$6:T$84,G65,FALSE)</f>
        <v>1.3469999999999998</v>
      </c>
      <c r="I65" s="132"/>
      <c r="J65" s="132"/>
      <c r="K65" s="134"/>
      <c r="L65" s="600"/>
      <c r="M65" s="594"/>
      <c r="N65" s="724"/>
      <c r="O65" s="596"/>
    </row>
    <row r="66" spans="2:17" ht="21" thickBot="1" x14ac:dyDescent="0.3">
      <c r="B66" s="16">
        <f t="shared" si="6"/>
        <v>57</v>
      </c>
      <c r="C66" s="106" t="s">
        <v>63</v>
      </c>
      <c r="D66" s="107" t="s">
        <v>105</v>
      </c>
      <c r="E66" s="599" t="str">
        <f t="shared" si="7"/>
        <v>ToreKiste</v>
      </c>
      <c r="F66" s="192">
        <f>YEAR(I$5)-_xlfn.XLOOKUP(E66,Deltakerliste!E$5:E$98,Deltakerliste!I$5:I$98)</f>
        <v>80</v>
      </c>
      <c r="G66" s="192">
        <f>_xlfn.XLOOKUP(E66,Deltakerliste!E$5:E$98,Deltakerliste!H$5:H$98)</f>
        <v>2</v>
      </c>
      <c r="H66" s="592">
        <f>VLOOKUP(F66,Deltakerliste!P$6:T$84,G66,FALSE)</f>
        <v>1.8550000000000002</v>
      </c>
      <c r="I66" s="86"/>
      <c r="J66" s="86"/>
      <c r="K66" s="13"/>
      <c r="L66" s="600"/>
      <c r="M66" s="594"/>
      <c r="N66" s="724"/>
      <c r="O66" s="596"/>
    </row>
    <row r="67" spans="2:17" ht="21" thickBot="1" x14ac:dyDescent="0.3">
      <c r="B67" s="16">
        <f t="shared" si="6"/>
        <v>58</v>
      </c>
      <c r="C67" s="106" t="s">
        <v>110</v>
      </c>
      <c r="D67" s="107" t="s">
        <v>111</v>
      </c>
      <c r="E67" s="599" t="str">
        <f t="shared" si="7"/>
        <v>Jan ErikKofoed</v>
      </c>
      <c r="F67" s="192">
        <f>YEAR(I$5)-_xlfn.XLOOKUP(E67,Deltakerliste!E$5:E$98,Deltakerliste!I$5:I$98)</f>
        <v>71</v>
      </c>
      <c r="G67" s="192">
        <f>_xlfn.XLOOKUP(E67,Deltakerliste!E$5:E$98,Deltakerliste!H$5:H$98)</f>
        <v>2</v>
      </c>
      <c r="H67" s="592">
        <f>VLOOKUP(F67,Deltakerliste!P$6:T$84,G67,FALSE)</f>
        <v>1.4609999999999999</v>
      </c>
      <c r="I67" s="86"/>
      <c r="J67" s="86"/>
      <c r="K67" s="13"/>
      <c r="L67" s="600"/>
      <c r="M67" s="594"/>
      <c r="N67" s="724"/>
      <c r="O67" s="596"/>
    </row>
    <row r="68" spans="2:17" ht="21" thickBot="1" x14ac:dyDescent="0.3">
      <c r="B68" s="16">
        <f t="shared" si="6"/>
        <v>59</v>
      </c>
      <c r="C68" s="106" t="s">
        <v>251</v>
      </c>
      <c r="D68" s="107" t="s">
        <v>252</v>
      </c>
      <c r="E68" s="599" t="str">
        <f t="shared" si="7"/>
        <v>OttarKristiansen</v>
      </c>
      <c r="F68" s="192">
        <f>YEAR(I$5)-_xlfn.XLOOKUP(E68,Deltakerliste!E$5:E$98,Deltakerliste!I$5:I$98)</f>
        <v>76</v>
      </c>
      <c r="G68" s="192">
        <f>_xlfn.XLOOKUP(E68,Deltakerliste!E$5:E$98,Deltakerliste!H$5:H$98)</f>
        <v>2</v>
      </c>
      <c r="H68" s="592">
        <f>VLOOKUP(F68,Deltakerliste!P$6:T$84,G68,FALSE)</f>
        <v>1.655</v>
      </c>
      <c r="I68" s="86"/>
      <c r="J68" s="86"/>
      <c r="K68" s="17"/>
      <c r="L68" s="600"/>
      <c r="M68" s="594"/>
      <c r="N68" s="724"/>
      <c r="O68" s="596"/>
    </row>
    <row r="69" spans="2:17" ht="21" thickBot="1" x14ac:dyDescent="0.3">
      <c r="B69" s="16">
        <f t="shared" si="6"/>
        <v>60</v>
      </c>
      <c r="C69" s="106" t="s">
        <v>299</v>
      </c>
      <c r="D69" s="107" t="s">
        <v>300</v>
      </c>
      <c r="E69" s="599" t="str">
        <f t="shared" si="7"/>
        <v>OlavKvittem</v>
      </c>
      <c r="F69" s="192">
        <f>YEAR(I$5)-_xlfn.XLOOKUP(E69,Deltakerliste!E$5:E$98,Deltakerliste!I$5:I$98)</f>
        <v>70</v>
      </c>
      <c r="G69" s="192">
        <f>_xlfn.XLOOKUP(E69,Deltakerliste!E$5:E$98,Deltakerliste!H$5:H$98)</f>
        <v>2</v>
      </c>
      <c r="H69" s="592">
        <f>VLOOKUP(F69,Deltakerliste!P$6:T$84,G69,FALSE)</f>
        <v>1.4249999999999998</v>
      </c>
      <c r="I69" s="86"/>
      <c r="J69" s="86"/>
      <c r="K69" s="13"/>
      <c r="L69" s="600"/>
      <c r="M69" s="594"/>
      <c r="N69" s="724"/>
      <c r="O69" s="596"/>
    </row>
    <row r="70" spans="2:17" ht="21" thickBot="1" x14ac:dyDescent="0.3">
      <c r="B70" s="16">
        <f t="shared" si="6"/>
        <v>61</v>
      </c>
      <c r="C70" s="106" t="s">
        <v>112</v>
      </c>
      <c r="D70" s="107" t="s">
        <v>113</v>
      </c>
      <c r="E70" s="599" t="str">
        <f t="shared" si="7"/>
        <v>ToridKvaal</v>
      </c>
      <c r="F70" s="192">
        <f>YEAR(I$5)-_xlfn.XLOOKUP(E70,Deltakerliste!E$5:E$98,Deltakerliste!I$5:I$98)</f>
        <v>83</v>
      </c>
      <c r="G70" s="192">
        <f>_xlfn.XLOOKUP(E70,Deltakerliste!E$5:E$98,Deltakerliste!H$5:H$98)</f>
        <v>4</v>
      </c>
      <c r="H70" s="592">
        <f>VLOOKUP(F70,Deltakerliste!P$6:T$84,G70,FALSE)</f>
        <v>2.6998000000000006</v>
      </c>
      <c r="I70" s="86"/>
      <c r="J70" s="86"/>
      <c r="K70" s="13"/>
      <c r="L70" s="600"/>
      <c r="M70" s="594"/>
      <c r="N70" s="724"/>
      <c r="O70" s="596"/>
    </row>
    <row r="71" spans="2:17" ht="21" thickBot="1" x14ac:dyDescent="0.3">
      <c r="B71" s="16">
        <f t="shared" si="6"/>
        <v>62</v>
      </c>
      <c r="C71" s="106" t="s">
        <v>114</v>
      </c>
      <c r="D71" s="107" t="s">
        <v>115</v>
      </c>
      <c r="E71" s="599" t="str">
        <f t="shared" si="7"/>
        <v>MagnusLandstad</v>
      </c>
      <c r="F71" s="192">
        <f>YEAR(I$5)-_xlfn.XLOOKUP(E71,Deltakerliste!E$5:E$98,Deltakerliste!I$5:I$98)</f>
        <v>82</v>
      </c>
      <c r="G71" s="192">
        <f>_xlfn.XLOOKUP(E71,Deltakerliste!E$5:E$98,Deltakerliste!H$5:H$98)</f>
        <v>2</v>
      </c>
      <c r="H71" s="592">
        <f>VLOOKUP(F71,Deltakerliste!P$6:T$84,G71,FALSE)</f>
        <v>2.0030000000000001</v>
      </c>
      <c r="I71" s="86"/>
      <c r="J71" s="86"/>
      <c r="K71" s="13"/>
      <c r="L71" s="600"/>
      <c r="M71" s="594"/>
      <c r="N71" s="724"/>
      <c r="O71" s="596"/>
    </row>
    <row r="72" spans="2:17" ht="21" thickBot="1" x14ac:dyDescent="0.3">
      <c r="B72" s="16">
        <f t="shared" si="6"/>
        <v>63</v>
      </c>
      <c r="C72" s="106" t="s">
        <v>254</v>
      </c>
      <c r="D72" s="107" t="s">
        <v>255</v>
      </c>
      <c r="E72" s="599" t="str">
        <f t="shared" si="7"/>
        <v>ArnfinnLangeland</v>
      </c>
      <c r="F72" s="192">
        <f>YEAR(I$5)-_xlfn.XLOOKUP(E72,Deltakerliste!E$5:E$98,Deltakerliste!I$5:I$98)</f>
        <v>89</v>
      </c>
      <c r="G72" s="192">
        <f>_xlfn.XLOOKUP(E72,Deltakerliste!E$5:E$98,Deltakerliste!H$5:H$98)</f>
        <v>2</v>
      </c>
      <c r="H72" s="592">
        <f>VLOOKUP(F72,Deltakerliste!P$6:T$84,G72,FALSE)</f>
        <v>2.5609999999999999</v>
      </c>
      <c r="I72" s="86"/>
      <c r="J72" s="86"/>
      <c r="K72" s="13"/>
      <c r="L72" s="600"/>
      <c r="M72" s="594"/>
      <c r="N72" s="724"/>
      <c r="O72" s="596"/>
    </row>
    <row r="73" spans="2:17" ht="21" thickBot="1" x14ac:dyDescent="0.3">
      <c r="B73" s="16">
        <f t="shared" si="6"/>
        <v>64</v>
      </c>
      <c r="C73" s="106" t="s">
        <v>116</v>
      </c>
      <c r="D73" s="107" t="s">
        <v>117</v>
      </c>
      <c r="E73" s="599" t="str">
        <f t="shared" si="7"/>
        <v>AndersLauglo</v>
      </c>
      <c r="F73" s="192">
        <f>YEAR(I$5)-_xlfn.XLOOKUP(E73,Deltakerliste!E$5:E$98,Deltakerliste!I$5:I$98)</f>
        <v>86</v>
      </c>
      <c r="G73" s="192">
        <f>_xlfn.XLOOKUP(E73,Deltakerliste!E$5:E$98,Deltakerliste!H$5:H$98)</f>
        <v>2</v>
      </c>
      <c r="H73" s="592">
        <f>VLOOKUP(F73,Deltakerliste!P$6:T$84,G73,FALSE)</f>
        <v>2.3089999999999997</v>
      </c>
      <c r="I73" s="13"/>
      <c r="J73" s="13"/>
      <c r="K73" s="86"/>
      <c r="L73" s="600"/>
      <c r="M73" s="594"/>
      <c r="N73" s="724"/>
      <c r="O73" s="596"/>
    </row>
    <row r="74" spans="2:17" ht="21" thickBot="1" x14ac:dyDescent="0.3">
      <c r="B74" s="16">
        <f t="shared" ref="B74:B93" si="8">B73+1</f>
        <v>65</v>
      </c>
      <c r="C74" s="106" t="s">
        <v>118</v>
      </c>
      <c r="D74" s="107" t="s">
        <v>119</v>
      </c>
      <c r="E74" s="599" t="str">
        <f t="shared" ref="E74:E93" si="9">_xlfn.CONCAT(C74:D74)</f>
        <v>KnutLillealtern</v>
      </c>
      <c r="F74" s="192">
        <f>YEAR(I$5)-_xlfn.XLOOKUP(E74,Deltakerliste!E$5:E$98,Deltakerliste!I$5:I$98)</f>
        <v>76</v>
      </c>
      <c r="G74" s="192">
        <f>_xlfn.XLOOKUP(E74,Deltakerliste!E$5:E$98,Deltakerliste!H$5:H$98)</f>
        <v>2</v>
      </c>
      <c r="H74" s="592">
        <f>VLOOKUP(F74,Deltakerliste!P$6:T$84,G74,FALSE)</f>
        <v>1.655</v>
      </c>
      <c r="I74" s="13"/>
      <c r="J74" s="13"/>
      <c r="K74" s="17"/>
      <c r="L74" s="600"/>
      <c r="M74" s="594"/>
      <c r="N74" s="724"/>
      <c r="O74" s="596"/>
    </row>
    <row r="75" spans="2:17" ht="21" thickBot="1" x14ac:dyDescent="0.3">
      <c r="B75" s="16">
        <f t="shared" si="8"/>
        <v>66</v>
      </c>
      <c r="C75" s="106" t="s">
        <v>248</v>
      </c>
      <c r="D75" s="107" t="s">
        <v>249</v>
      </c>
      <c r="E75" s="599" t="str">
        <f t="shared" si="9"/>
        <v>ErikLund</v>
      </c>
      <c r="F75" s="192">
        <f>YEAR(I$5)-_xlfn.XLOOKUP(E75,Deltakerliste!E$5:E$98,Deltakerliste!I$5:I$98)</f>
        <v>78</v>
      </c>
      <c r="G75" s="192">
        <f>_xlfn.XLOOKUP(E75,Deltakerliste!E$5:E$98,Deltakerliste!H$5:H$98)</f>
        <v>2</v>
      </c>
      <c r="H75" s="592">
        <f>VLOOKUP(F75,Deltakerliste!P$6:T$84,G75,FALSE)</f>
        <v>1.7550000000000001</v>
      </c>
      <c r="I75" s="13"/>
      <c r="J75" s="13"/>
      <c r="K75" s="17"/>
      <c r="L75" s="600"/>
      <c r="M75" s="594"/>
      <c r="N75" s="724"/>
      <c r="O75" s="596"/>
      <c r="Q75" s="112"/>
    </row>
    <row r="76" spans="2:17" ht="21" thickBot="1" x14ac:dyDescent="0.3">
      <c r="B76" s="16">
        <f t="shared" si="8"/>
        <v>67</v>
      </c>
      <c r="C76" s="106" t="s">
        <v>128</v>
      </c>
      <c r="D76" s="107" t="s">
        <v>129</v>
      </c>
      <c r="E76" s="599" t="str">
        <f t="shared" si="9"/>
        <v>OddMusum</v>
      </c>
      <c r="F76" s="192">
        <f>YEAR(I$5)-_xlfn.XLOOKUP(E76,Deltakerliste!E$5:E$98,Deltakerliste!I$5:I$98)</f>
        <v>83</v>
      </c>
      <c r="G76" s="192">
        <f>_xlfn.XLOOKUP(E76,Deltakerliste!E$5:E$98,Deltakerliste!H$5:H$98)</f>
        <v>2</v>
      </c>
      <c r="H76" s="592">
        <f>VLOOKUP(F76,Deltakerliste!P$6:T$84,G76,FALSE)</f>
        <v>2.077</v>
      </c>
      <c r="I76" s="13"/>
      <c r="J76" s="13"/>
      <c r="K76" s="13"/>
      <c r="L76" s="600"/>
      <c r="M76" s="594"/>
      <c r="N76" s="724"/>
      <c r="O76" s="596"/>
    </row>
    <row r="77" spans="2:17" ht="21" thickBot="1" x14ac:dyDescent="0.3">
      <c r="B77" s="16">
        <f t="shared" si="8"/>
        <v>68</v>
      </c>
      <c r="C77" s="106" t="s">
        <v>130</v>
      </c>
      <c r="D77" s="107" t="s">
        <v>131</v>
      </c>
      <c r="E77" s="599" t="str">
        <f t="shared" si="9"/>
        <v>AtleMørk</v>
      </c>
      <c r="F77" s="192">
        <f>YEAR(I$5)-_xlfn.XLOOKUP(E77,Deltakerliste!E$5:E$98,Deltakerliste!I$5:I$98)</f>
        <v>76</v>
      </c>
      <c r="G77" s="192">
        <f>_xlfn.XLOOKUP(E77,Deltakerliste!E$5:E$98,Deltakerliste!H$5:H$98)</f>
        <v>2</v>
      </c>
      <c r="H77" s="592">
        <f>VLOOKUP(F77,Deltakerliste!P$6:T$84,G77,FALSE)</f>
        <v>1.655</v>
      </c>
      <c r="I77" s="132"/>
      <c r="J77" s="132"/>
      <c r="K77" s="132"/>
      <c r="L77" s="600"/>
      <c r="M77" s="594"/>
      <c r="N77" s="724"/>
      <c r="O77" s="596"/>
    </row>
    <row r="78" spans="2:17" ht="21" thickBot="1" x14ac:dyDescent="0.3">
      <c r="B78" s="16">
        <f t="shared" si="8"/>
        <v>69</v>
      </c>
      <c r="C78" s="106" t="s">
        <v>132</v>
      </c>
      <c r="D78" s="107" t="s">
        <v>133</v>
      </c>
      <c r="E78" s="599" t="str">
        <f t="shared" si="9"/>
        <v>JarleNestvold</v>
      </c>
      <c r="F78" s="192">
        <f>YEAR(I$5)-_xlfn.XLOOKUP(E78,Deltakerliste!E$5:E$98,Deltakerliste!I$5:I$98)</f>
        <v>88</v>
      </c>
      <c r="G78" s="192">
        <f>_xlfn.XLOOKUP(E78,Deltakerliste!E$5:E$98,Deltakerliste!H$5:H$98)</f>
        <v>2</v>
      </c>
      <c r="H78" s="592">
        <f>VLOOKUP(F78,Deltakerliste!P$6:T$84,G78,FALSE)</f>
        <v>2.4769999999999999</v>
      </c>
      <c r="I78" s="132"/>
      <c r="J78" s="18"/>
      <c r="K78" s="18"/>
      <c r="L78" s="600"/>
      <c r="M78" s="594"/>
      <c r="N78" s="724"/>
      <c r="O78" s="596"/>
    </row>
    <row r="79" spans="2:17" ht="21" thickBot="1" x14ac:dyDescent="0.3">
      <c r="B79" s="16">
        <f t="shared" si="8"/>
        <v>70</v>
      </c>
      <c r="C79" s="106" t="s">
        <v>72</v>
      </c>
      <c r="D79" s="107" t="s">
        <v>139</v>
      </c>
      <c r="E79" s="599" t="str">
        <f t="shared" si="9"/>
        <v>KåreOnsøyen</v>
      </c>
      <c r="F79" s="192">
        <f>YEAR(I$5)-_xlfn.XLOOKUP(E79,Deltakerliste!E$5:E$98,Deltakerliste!I$5:I$98)</f>
        <v>77</v>
      </c>
      <c r="G79" s="192">
        <f>_xlfn.XLOOKUP(E79,Deltakerliste!E$5:E$98,Deltakerliste!H$5:H$98)</f>
        <v>2</v>
      </c>
      <c r="H79" s="592">
        <f>VLOOKUP(F79,Deltakerliste!P$6:T$84,G79,FALSE)</f>
        <v>1.7050000000000001</v>
      </c>
      <c r="I79" s="13"/>
      <c r="J79" s="13"/>
      <c r="K79" s="13"/>
      <c r="L79" s="600"/>
      <c r="M79" s="594"/>
      <c r="N79" s="724"/>
      <c r="O79" s="596"/>
    </row>
    <row r="80" spans="2:17" ht="21" thickBot="1" x14ac:dyDescent="0.3">
      <c r="B80" s="16">
        <f t="shared" si="8"/>
        <v>71</v>
      </c>
      <c r="C80" s="106" t="s">
        <v>140</v>
      </c>
      <c r="D80" s="107" t="s">
        <v>141</v>
      </c>
      <c r="E80" s="599" t="str">
        <f t="shared" si="9"/>
        <v>Grete BergeOwren</v>
      </c>
      <c r="F80" s="192">
        <f>YEAR(I$5)-_xlfn.XLOOKUP(E80,Deltakerliste!E$5:E$98,Deltakerliste!I$5:I$98)</f>
        <v>67</v>
      </c>
      <c r="G80" s="192">
        <f>_xlfn.XLOOKUP(E80,Deltakerliste!E$5:E$98,Deltakerliste!H$5:H$98)</f>
        <v>4</v>
      </c>
      <c r="H80" s="592">
        <f>VLOOKUP(F80,Deltakerliste!P$6:T$84,G80,FALSE)</f>
        <v>1.8422000000000009</v>
      </c>
      <c r="I80" s="18"/>
      <c r="J80" s="18"/>
      <c r="K80" s="18"/>
      <c r="L80" s="600"/>
      <c r="M80" s="594"/>
      <c r="N80" s="724"/>
      <c r="O80" s="596"/>
    </row>
    <row r="81" spans="2:15" ht="21" thickBot="1" x14ac:dyDescent="0.3">
      <c r="B81" s="16">
        <f t="shared" si="8"/>
        <v>72</v>
      </c>
      <c r="C81" s="106" t="s">
        <v>142</v>
      </c>
      <c r="D81" s="107" t="s">
        <v>143</v>
      </c>
      <c r="E81" s="599" t="str">
        <f t="shared" si="9"/>
        <v>EgilRepvik</v>
      </c>
      <c r="F81" s="192">
        <f>YEAR(I$5)-_xlfn.XLOOKUP(E81,Deltakerliste!E$5:E$98,Deltakerliste!I$5:I$98)</f>
        <v>79</v>
      </c>
      <c r="G81" s="192">
        <f>_xlfn.XLOOKUP(E81,Deltakerliste!E$5:E$98,Deltakerliste!H$5:H$98)</f>
        <v>2</v>
      </c>
      <c r="H81" s="592">
        <f>VLOOKUP(F81,Deltakerliste!P$6:T$84,G81,FALSE)</f>
        <v>1.8050000000000002</v>
      </c>
      <c r="I81" s="132"/>
      <c r="J81" s="18"/>
      <c r="K81" s="18"/>
      <c r="L81" s="600"/>
      <c r="M81" s="594"/>
      <c r="N81" s="724"/>
      <c r="O81" s="596"/>
    </row>
    <row r="82" spans="2:15" ht="21" thickBot="1" x14ac:dyDescent="0.3">
      <c r="B82" s="16">
        <f t="shared" si="8"/>
        <v>73</v>
      </c>
      <c r="C82" s="111" t="s">
        <v>144</v>
      </c>
      <c r="D82" s="193" t="s">
        <v>145</v>
      </c>
      <c r="E82" s="599" t="str">
        <f t="shared" si="9"/>
        <v>Bjørn Rindstad</v>
      </c>
      <c r="F82" s="192">
        <f>YEAR(I$5)-_xlfn.XLOOKUP(E82,Deltakerliste!E$5:E$98,Deltakerliste!I$5:I$98)</f>
        <v>74</v>
      </c>
      <c r="G82" s="192">
        <f>_xlfn.XLOOKUP(E82,Deltakerliste!E$5:E$98,Deltakerliste!H$5:H$98)</f>
        <v>2</v>
      </c>
      <c r="H82" s="592">
        <f>VLOOKUP(F82,Deltakerliste!P$6:T$84,G82,FALSE)</f>
        <v>1.569</v>
      </c>
      <c r="I82" s="18"/>
      <c r="J82" s="18"/>
      <c r="K82" s="18"/>
      <c r="L82" s="600"/>
      <c r="M82" s="594"/>
      <c r="N82" s="724"/>
      <c r="O82" s="596"/>
    </row>
    <row r="83" spans="2:15" ht="21" thickBot="1" x14ac:dyDescent="0.3">
      <c r="B83" s="16">
        <f t="shared" si="8"/>
        <v>74</v>
      </c>
      <c r="C83" s="111" t="s">
        <v>78</v>
      </c>
      <c r="D83" s="193" t="s">
        <v>146</v>
      </c>
      <c r="E83" s="599" t="str">
        <f t="shared" si="9"/>
        <v>LeifRøhjell</v>
      </c>
      <c r="F83" s="192">
        <f>YEAR(I$5)-_xlfn.XLOOKUP(E83,Deltakerliste!E$5:E$98,Deltakerliste!I$5:I$98)</f>
        <v>81</v>
      </c>
      <c r="G83" s="192">
        <f>_xlfn.XLOOKUP(E83,Deltakerliste!E$5:E$98,Deltakerliste!H$5:H$98)</f>
        <v>2</v>
      </c>
      <c r="H83" s="592">
        <f>VLOOKUP(F83,Deltakerliste!P$6:T$84,G83,FALSE)</f>
        <v>1.9290000000000003</v>
      </c>
      <c r="I83" s="132"/>
      <c r="J83" s="18"/>
      <c r="K83" s="18"/>
      <c r="L83" s="600"/>
      <c r="M83" s="594"/>
      <c r="N83" s="724"/>
      <c r="O83" s="596"/>
    </row>
    <row r="84" spans="2:15" ht="21" thickBot="1" x14ac:dyDescent="0.3">
      <c r="B84" s="16">
        <f t="shared" si="8"/>
        <v>75</v>
      </c>
      <c r="C84" s="111" t="s">
        <v>228</v>
      </c>
      <c r="D84" s="108" t="s">
        <v>229</v>
      </c>
      <c r="E84" s="599" t="str">
        <f t="shared" si="9"/>
        <v>May-LisRønning</v>
      </c>
      <c r="F84" s="192">
        <f>YEAR(I$5)-_xlfn.XLOOKUP(E84,Deltakerliste!E$5:E$98,Deltakerliste!I$5:I$98)</f>
        <v>55</v>
      </c>
      <c r="G84" s="192">
        <f>_xlfn.XLOOKUP(E84,Deltakerliste!E$5:E$98,Deltakerliste!H$5:H$98)</f>
        <v>4</v>
      </c>
      <c r="H84" s="592">
        <f>VLOOKUP(F84,Deltakerliste!P$6:T$84,G84,FALSE)</f>
        <v>1.5099999999999996</v>
      </c>
      <c r="I84" s="18"/>
      <c r="J84" s="18"/>
      <c r="K84" s="18"/>
      <c r="L84" s="600"/>
      <c r="M84" s="594"/>
      <c r="N84" s="724"/>
      <c r="O84" s="596"/>
    </row>
    <row r="85" spans="2:15" ht="21" thickBot="1" x14ac:dyDescent="0.3">
      <c r="B85" s="16">
        <f t="shared" si="8"/>
        <v>76</v>
      </c>
      <c r="C85" s="111" t="s">
        <v>147</v>
      </c>
      <c r="D85" s="193" t="s">
        <v>148</v>
      </c>
      <c r="E85" s="599" t="str">
        <f t="shared" si="9"/>
        <v>ViggoSchei</v>
      </c>
      <c r="F85" s="192">
        <f>YEAR(I$5)-_xlfn.XLOOKUP(E85,Deltakerliste!E$5:E$98,Deltakerliste!I$5:I$98)</f>
        <v>74</v>
      </c>
      <c r="G85" s="192">
        <f>_xlfn.XLOOKUP(E85,Deltakerliste!E$5:E$98,Deltakerliste!H$5:H$98)</f>
        <v>2</v>
      </c>
      <c r="H85" s="592">
        <f>VLOOKUP(F85,Deltakerliste!P$6:T$84,G85,FALSE)</f>
        <v>1.569</v>
      </c>
      <c r="I85" s="18"/>
      <c r="J85" s="132"/>
      <c r="K85" s="18"/>
      <c r="L85" s="600"/>
      <c r="M85" s="594"/>
      <c r="N85" s="724"/>
      <c r="O85" s="596"/>
    </row>
    <row r="86" spans="2:15" ht="21" thickBot="1" x14ac:dyDescent="0.3">
      <c r="B86" s="16">
        <f t="shared" si="8"/>
        <v>77</v>
      </c>
      <c r="C86" s="111" t="s">
        <v>298</v>
      </c>
      <c r="D86" s="193" t="s">
        <v>297</v>
      </c>
      <c r="E86" s="599" t="str">
        <f t="shared" si="9"/>
        <v>ØyvindSchjelderup</v>
      </c>
      <c r="F86" s="192">
        <f>YEAR(I$5)-_xlfn.XLOOKUP(E86,Deltakerliste!E$5:E$98,Deltakerliste!I$5:I$98)</f>
        <v>60</v>
      </c>
      <c r="G86" s="192">
        <f>_xlfn.XLOOKUP(E86,Deltakerliste!E$5:E$98,Deltakerliste!H$5:H$98)</f>
        <v>2</v>
      </c>
      <c r="H86" s="592">
        <f>VLOOKUP(F86,Deltakerliste!P$6:T$84,G86,FALSE)</f>
        <v>1.2000000000000002</v>
      </c>
      <c r="I86" s="18"/>
      <c r="J86" s="18"/>
      <c r="K86" s="18"/>
      <c r="L86" s="600"/>
      <c r="M86" s="594"/>
      <c r="N86" s="724"/>
      <c r="O86" s="596"/>
    </row>
    <row r="87" spans="2:15" ht="21" thickBot="1" x14ac:dyDescent="0.3">
      <c r="B87" s="16">
        <f t="shared" si="8"/>
        <v>78</v>
      </c>
      <c r="C87" s="111" t="s">
        <v>153</v>
      </c>
      <c r="D87" s="108" t="s">
        <v>154</v>
      </c>
      <c r="E87" s="599" t="str">
        <f t="shared" si="9"/>
        <v>ReidunSmaavik</v>
      </c>
      <c r="F87" s="192">
        <f>YEAR(I$5)-_xlfn.XLOOKUP(E87,Deltakerliste!E$5:E$98,Deltakerliste!I$5:I$98)</f>
        <v>70</v>
      </c>
      <c r="G87" s="192">
        <f>_xlfn.XLOOKUP(E87,Deltakerliste!E$5:E$98,Deltakerliste!H$5:H$98)</f>
        <v>4</v>
      </c>
      <c r="H87" s="592">
        <f>VLOOKUP(F87,Deltakerliste!P$6:T$84,G87,FALSE)</f>
        <v>1.9490000000000012</v>
      </c>
      <c r="I87" s="132"/>
      <c r="J87" s="18"/>
      <c r="K87" s="18"/>
      <c r="L87" s="600"/>
      <c r="M87" s="594"/>
      <c r="N87" s="724"/>
      <c r="O87" s="596"/>
    </row>
    <row r="88" spans="2:15" ht="21" thickBot="1" x14ac:dyDescent="0.3">
      <c r="B88" s="16">
        <f t="shared" si="8"/>
        <v>79</v>
      </c>
      <c r="C88" s="111" t="s">
        <v>155</v>
      </c>
      <c r="D88" s="108" t="s">
        <v>156</v>
      </c>
      <c r="E88" s="599" t="str">
        <f t="shared" si="9"/>
        <v>KjellrunSporild</v>
      </c>
      <c r="F88" s="192">
        <f>YEAR(I$5)-_xlfn.XLOOKUP(E88,Deltakerliste!E$5:E$98,Deltakerliste!I$5:I$98)</f>
        <v>70</v>
      </c>
      <c r="G88" s="192">
        <f>_xlfn.XLOOKUP(E88,Deltakerliste!E$5:E$98,Deltakerliste!H$5:H$98)</f>
        <v>4</v>
      </c>
      <c r="H88" s="592">
        <f>VLOOKUP(F88,Deltakerliste!P$6:T$84,G88,FALSE)</f>
        <v>1.9490000000000012</v>
      </c>
      <c r="I88" s="18"/>
      <c r="J88" s="132"/>
      <c r="K88" s="18"/>
      <c r="L88" s="600"/>
      <c r="M88" s="594"/>
      <c r="N88" s="724"/>
      <c r="O88" s="596"/>
    </row>
    <row r="89" spans="2:15" ht="21" thickBot="1" x14ac:dyDescent="0.3">
      <c r="B89" s="16">
        <f t="shared" si="8"/>
        <v>80</v>
      </c>
      <c r="C89" s="193" t="s">
        <v>232</v>
      </c>
      <c r="D89" s="133" t="s">
        <v>231</v>
      </c>
      <c r="E89" s="599" t="str">
        <f t="shared" si="9"/>
        <v>BeritSunnset</v>
      </c>
      <c r="F89" s="192">
        <f>YEAR(I$5)-_xlfn.XLOOKUP(E89,Deltakerliste!E$5:E$98,Deltakerliste!I$5:I$98)</f>
        <v>62</v>
      </c>
      <c r="G89" s="192">
        <f>_xlfn.XLOOKUP(E89,Deltakerliste!E$5:E$98,Deltakerliste!H$5:H$98)</f>
        <v>4</v>
      </c>
      <c r="H89" s="592">
        <f>VLOOKUP(F89,Deltakerliste!P$6:T$84,G89,FALSE)</f>
        <v>1.6834000000000005</v>
      </c>
      <c r="I89" s="18"/>
      <c r="J89" s="18"/>
      <c r="K89" s="18"/>
      <c r="L89" s="600"/>
      <c r="M89" s="594"/>
      <c r="N89" s="724"/>
      <c r="O89" s="596"/>
    </row>
    <row r="90" spans="2:15" ht="21" thickBot="1" x14ac:dyDescent="0.3">
      <c r="B90" s="16">
        <f t="shared" si="8"/>
        <v>81</v>
      </c>
      <c r="C90" s="193" t="s">
        <v>230</v>
      </c>
      <c r="D90" s="108" t="s">
        <v>231</v>
      </c>
      <c r="E90" s="599" t="str">
        <f t="shared" si="9"/>
        <v>TrineSunnset</v>
      </c>
      <c r="F90" s="192">
        <f>YEAR(I$5)-_xlfn.XLOOKUP(E90,Deltakerliste!E$5:E$98,Deltakerliste!I$5:I$98)</f>
        <v>62</v>
      </c>
      <c r="G90" s="192">
        <f>_xlfn.XLOOKUP(E90,Deltakerliste!E$5:E$98,Deltakerliste!H$5:H$98)</f>
        <v>4</v>
      </c>
      <c r="H90" s="592">
        <f>VLOOKUP(F90,Deltakerliste!P$6:T$84,G90,FALSE)</f>
        <v>1.6834000000000005</v>
      </c>
      <c r="I90" s="18"/>
      <c r="J90" s="18"/>
      <c r="K90" s="18"/>
      <c r="L90" s="600"/>
      <c r="M90" s="594"/>
      <c r="N90" s="724"/>
      <c r="O90" s="596"/>
    </row>
    <row r="91" spans="2:15" ht="21" thickBot="1" x14ac:dyDescent="0.3">
      <c r="B91" s="16">
        <f t="shared" si="8"/>
        <v>82</v>
      </c>
      <c r="C91" s="193" t="s">
        <v>159</v>
      </c>
      <c r="D91" s="108" t="s">
        <v>160</v>
      </c>
      <c r="E91" s="599" t="str">
        <f t="shared" si="9"/>
        <v>EigilSørli</v>
      </c>
      <c r="F91" s="192">
        <f>YEAR(I$5)-_xlfn.XLOOKUP(E91,Deltakerliste!E$5:E$98,Deltakerliste!I$5:I$98)</f>
        <v>85</v>
      </c>
      <c r="G91" s="192">
        <f>_xlfn.XLOOKUP(E91,Deltakerliste!E$5:E$98,Deltakerliste!H$5:H$98)</f>
        <v>2</v>
      </c>
      <c r="H91" s="592">
        <f>VLOOKUP(F91,Deltakerliste!P$6:T$84,G91,FALSE)</f>
        <v>2.2249999999999996</v>
      </c>
      <c r="I91" s="132"/>
      <c r="J91" s="18"/>
      <c r="K91" s="18"/>
      <c r="L91" s="790"/>
      <c r="M91" s="594"/>
      <c r="N91" s="724"/>
      <c r="O91" s="596"/>
    </row>
    <row r="92" spans="2:15" ht="21" thickBot="1" x14ac:dyDescent="0.3">
      <c r="B92" s="16">
        <f t="shared" si="8"/>
        <v>83</v>
      </c>
      <c r="C92" s="193" t="s">
        <v>307</v>
      </c>
      <c r="D92" s="108" t="s">
        <v>308</v>
      </c>
      <c r="E92" s="599" t="str">
        <f t="shared" si="9"/>
        <v>RolfWærnes</v>
      </c>
      <c r="F92" s="192">
        <f>YEAR(I$5)-_xlfn.XLOOKUP(E92,Deltakerliste!E$5:E$98,Deltakerliste!I$5:I$98)</f>
        <v>74</v>
      </c>
      <c r="G92" s="192">
        <f>_xlfn.XLOOKUP(E92,Deltakerliste!E$5:E$98,Deltakerliste!H$5:H$98)</f>
        <v>2</v>
      </c>
      <c r="H92" s="592">
        <f>VLOOKUP(F92,Deltakerliste!P$6:T$84,G92,FALSE)</f>
        <v>1.569</v>
      </c>
      <c r="I92" s="18"/>
      <c r="J92" s="132"/>
      <c r="K92" s="18"/>
      <c r="L92" s="791"/>
      <c r="M92" s="594"/>
      <c r="N92" s="792"/>
      <c r="O92" s="596"/>
    </row>
    <row r="93" spans="2:15" ht="21" thickBot="1" x14ac:dyDescent="0.3">
      <c r="B93" s="16">
        <f t="shared" si="8"/>
        <v>84</v>
      </c>
      <c r="C93" s="193" t="s">
        <v>166</v>
      </c>
      <c r="D93" s="108" t="s">
        <v>167</v>
      </c>
      <c r="E93" s="599" t="str">
        <f t="shared" si="9"/>
        <v>GunnarØsterbø</v>
      </c>
      <c r="F93" s="192">
        <f>YEAR(I$5)-_xlfn.XLOOKUP(E93,Deltakerliste!E$5:E$98,Deltakerliste!I$5:I$98)</f>
        <v>86</v>
      </c>
      <c r="G93" s="192">
        <f>_xlfn.XLOOKUP(E93,Deltakerliste!E$5:E$98,Deltakerliste!H$5:H$98)</f>
        <v>2</v>
      </c>
      <c r="H93" s="592">
        <f>VLOOKUP(F93,Deltakerliste!P$6:T$84,G93,FALSE)</f>
        <v>2.3089999999999997</v>
      </c>
      <c r="I93" s="18"/>
      <c r="J93" s="132"/>
      <c r="K93" s="18"/>
      <c r="L93" s="725"/>
      <c r="M93" s="717"/>
      <c r="N93" s="726"/>
      <c r="O93" s="719"/>
    </row>
    <row r="100" spans="4:11" ht="17" thickBot="1" x14ac:dyDescent="0.25"/>
    <row r="101" spans="4:11" ht="21" thickTop="1" thickBot="1" x14ac:dyDescent="0.3">
      <c r="D101" s="646" t="s">
        <v>288</v>
      </c>
      <c r="E101" s="647"/>
      <c r="F101" s="666"/>
      <c r="G101" s="666"/>
      <c r="H101" s="666"/>
      <c r="I101" s="648" t="s">
        <v>195</v>
      </c>
      <c r="J101" s="648" t="s">
        <v>196</v>
      </c>
      <c r="K101" s="649" t="s">
        <v>197</v>
      </c>
    </row>
    <row r="102" spans="4:11" ht="20" x14ac:dyDescent="0.25">
      <c r="D102" s="634" t="s">
        <v>172</v>
      </c>
      <c r="E102" s="320"/>
      <c r="F102" s="208"/>
      <c r="G102" s="208"/>
      <c r="H102" s="208"/>
      <c r="I102" s="635">
        <f>COUNT(I10:I95)+COUNTIF(I10:I95,"Brutt")+COUNTIF(I10:I95,"(*)")</f>
        <v>14</v>
      </c>
      <c r="J102" s="635">
        <f>COUNT(J10:J95)+COUNTIF(J10:J95,"Brutt")+COUNTIF(J10:J95,"(*)")</f>
        <v>19</v>
      </c>
      <c r="K102" s="636">
        <f>I102+J102</f>
        <v>33</v>
      </c>
    </row>
    <row r="103" spans="4:11" ht="19" x14ac:dyDescent="0.25">
      <c r="D103" s="637" t="s">
        <v>174</v>
      </c>
      <c r="E103" s="320"/>
      <c r="F103" s="208"/>
      <c r="G103" s="208"/>
      <c r="H103" s="208"/>
      <c r="I103" s="635">
        <f>COUNT(I10:I95)</f>
        <v>14</v>
      </c>
      <c r="J103" s="635">
        <f>COUNT(J10:J95)</f>
        <v>19</v>
      </c>
      <c r="K103" s="636">
        <f t="shared" ref="K103" si="10">I103+J103</f>
        <v>33</v>
      </c>
    </row>
    <row r="104" spans="4:11" ht="19" x14ac:dyDescent="0.25">
      <c r="D104" s="637" t="s">
        <v>173</v>
      </c>
      <c r="E104" s="320"/>
      <c r="F104" s="208"/>
      <c r="G104" s="208"/>
      <c r="H104" s="208"/>
      <c r="I104" s="208"/>
      <c r="J104" s="208"/>
      <c r="K104" s="636">
        <f>K102+COUNTIF(L10:L95,"Arr")+COUNTIF(L10:L95,"Løype")</f>
        <v>35</v>
      </c>
    </row>
    <row r="105" spans="4:11" ht="19" x14ac:dyDescent="0.25">
      <c r="D105" s="637" t="s">
        <v>341</v>
      </c>
      <c r="E105" s="320"/>
      <c r="F105" s="208"/>
      <c r="G105" s="208"/>
      <c r="H105" s="208"/>
      <c r="I105" s="208"/>
      <c r="J105" s="208"/>
      <c r="K105" s="638">
        <f>IF(SUM(L10:L95)=0," ",AVERAGEIF(M10:M95,"&gt;0",F10:F95))</f>
        <v>72.8</v>
      </c>
    </row>
    <row r="106" spans="4:11" ht="19" x14ac:dyDescent="0.25">
      <c r="D106" s="637" t="s">
        <v>296</v>
      </c>
      <c r="E106" s="320"/>
      <c r="F106" s="208"/>
      <c r="G106" s="208"/>
      <c r="H106" s="208"/>
      <c r="I106" s="208"/>
      <c r="J106" s="208"/>
      <c r="K106" s="638">
        <f>AVERAGE(I8:J8)</f>
        <v>2.2999999999999998</v>
      </c>
    </row>
    <row r="107" spans="4:11" ht="19" x14ac:dyDescent="0.25">
      <c r="D107" s="637" t="s">
        <v>176</v>
      </c>
      <c r="E107" s="320"/>
      <c r="F107" s="208"/>
      <c r="G107" s="208"/>
      <c r="H107" s="208"/>
      <c r="I107" s="112">
        <f>I8*I103</f>
        <v>25.2</v>
      </c>
      <c r="J107" s="112">
        <f>J8*J103</f>
        <v>53.199999999999996</v>
      </c>
      <c r="K107" s="638">
        <f>I107+J107</f>
        <v>78.399999999999991</v>
      </c>
    </row>
    <row r="108" spans="4:11" ht="19" x14ac:dyDescent="0.25">
      <c r="D108" s="639" t="s">
        <v>286</v>
      </c>
      <c r="E108" s="320"/>
      <c r="F108" s="208"/>
      <c r="G108" s="208"/>
      <c r="H108" s="208"/>
      <c r="I108" s="103">
        <f>IF(SUM(I10:I95)=0," ",AVERAGE(I10:I95))</f>
        <v>1.8444113756613756E-2</v>
      </c>
      <c r="J108" s="103">
        <f>IF(SUM(J10:J95)=0," ",AVERAGE(J10:J95))</f>
        <v>2.128411306042885E-2</v>
      </c>
      <c r="K108" s="640">
        <f>IF(SUM(I10:J95)=0," ",AVERAGE(I10:J95))</f>
        <v>2.0079264870931535E-2</v>
      </c>
    </row>
    <row r="109" spans="4:11" ht="20" thickBot="1" x14ac:dyDescent="0.3">
      <c r="D109" s="641" t="s">
        <v>287</v>
      </c>
      <c r="E109" s="642"/>
      <c r="F109" s="644"/>
      <c r="G109" s="644"/>
      <c r="H109" s="644"/>
      <c r="I109" s="643"/>
      <c r="J109" s="644"/>
      <c r="K109" s="645">
        <f>MIN(L10:L95)</f>
        <v>5.5431547619047622E-3</v>
      </c>
    </row>
    <row r="110" spans="4:11" ht="17" thickTop="1" x14ac:dyDescent="0.2"/>
  </sheetData>
  <autoFilter ref="B9:O93" xr:uid="{364E88BA-C679-1245-9966-7D52D2A5AC55}">
    <sortState xmlns:xlrd2="http://schemas.microsoft.com/office/spreadsheetml/2017/richdata2" ref="B10:O93">
      <sortCondition ref="N9:N93"/>
    </sortState>
  </autoFilter>
  <mergeCells count="3">
    <mergeCell ref="W7:X7"/>
    <mergeCell ref="S8:U8"/>
    <mergeCell ref="W8:X8"/>
  </mergeCells>
  <pageMargins left="0.7" right="0.7" top="0.75" bottom="0.75" header="0.3" footer="0.3"/>
  <pageSetup paperSize="9" orientation="portrait" horizontalDpi="0" verticalDpi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9CFA5-2C96-B14C-8C00-F5AA139316DB}">
  <dimension ref="B1:AC110"/>
  <sheetViews>
    <sheetView topLeftCell="A15" workbookViewId="0">
      <selection activeCell="S82" sqref="S82"/>
    </sheetView>
  </sheetViews>
  <sheetFormatPr baseColWidth="10" defaultColWidth="10.83203125" defaultRowHeight="16" x14ac:dyDescent="0.2"/>
  <cols>
    <col min="3" max="3" width="14.5" customWidth="1"/>
    <col min="4" max="4" width="20.1640625" customWidth="1"/>
    <col min="5" max="5" width="20.1640625" hidden="1" customWidth="1"/>
    <col min="6" max="6" width="14.5" style="15" customWidth="1"/>
    <col min="7" max="7" width="14.5" style="15" hidden="1" customWidth="1"/>
    <col min="8" max="8" width="14" style="15" customWidth="1"/>
    <col min="9" max="10" width="19.1640625" style="15" customWidth="1"/>
    <col min="11" max="11" width="17.6640625" style="15" customWidth="1"/>
    <col min="12" max="12" width="10.83203125" style="15"/>
    <col min="14" max="14" width="10.83203125" style="15"/>
    <col min="18" max="18" width="12.5" customWidth="1"/>
    <col min="19" max="19" width="13.5" customWidth="1"/>
    <col min="22" max="22" width="1.83203125" customWidth="1"/>
    <col min="23" max="23" width="15.83203125" customWidth="1"/>
    <col min="24" max="24" width="11" customWidth="1"/>
  </cols>
  <sheetData>
    <row r="1" spans="2:29" ht="8" customHeight="1" x14ac:dyDescent="0.2"/>
    <row r="2" spans="2:29" ht="8" customHeight="1" x14ac:dyDescent="0.2"/>
    <row r="5" spans="2:29" ht="26" x14ac:dyDescent="0.3">
      <c r="B5" s="21" t="s">
        <v>321</v>
      </c>
      <c r="C5" s="245" t="s">
        <v>387</v>
      </c>
      <c r="F5" s="667"/>
      <c r="G5" s="667"/>
      <c r="H5" s="671" t="s">
        <v>189</v>
      </c>
      <c r="I5" s="670">
        <f>'Løp 12'!I5+7</f>
        <v>46021</v>
      </c>
    </row>
    <row r="6" spans="2:29" ht="17" thickBot="1" x14ac:dyDescent="0.25">
      <c r="B6" s="15"/>
    </row>
    <row r="7" spans="2:29" ht="59" customHeight="1" thickBot="1" x14ac:dyDescent="0.35">
      <c r="B7" s="12" t="s">
        <v>194</v>
      </c>
      <c r="C7" s="662" t="s">
        <v>57</v>
      </c>
      <c r="D7" s="391" t="s">
        <v>58</v>
      </c>
      <c r="E7" s="663"/>
      <c r="F7" s="663" t="s">
        <v>234</v>
      </c>
      <c r="G7" s="391" t="s">
        <v>280</v>
      </c>
      <c r="H7" s="391" t="s">
        <v>235</v>
      </c>
      <c r="I7" s="391" t="s">
        <v>302</v>
      </c>
      <c r="J7" s="391" t="s">
        <v>303</v>
      </c>
      <c r="K7" s="391" t="s">
        <v>192</v>
      </c>
      <c r="L7" s="194" t="s">
        <v>209</v>
      </c>
      <c r="M7" s="392" t="s">
        <v>55</v>
      </c>
      <c r="N7" s="393" t="s">
        <v>242</v>
      </c>
      <c r="O7" s="393" t="s">
        <v>240</v>
      </c>
      <c r="Q7" s="319"/>
      <c r="R7" s="319"/>
      <c r="S7" s="755" t="str">
        <f>B5</f>
        <v>Løp 13</v>
      </c>
      <c r="T7" s="754" t="str">
        <f>C5</f>
        <v>Bergheim</v>
      </c>
      <c r="U7" s="730"/>
      <c r="V7" s="730"/>
      <c r="W7" s="941"/>
      <c r="X7" s="941"/>
    </row>
    <row r="8" spans="2:29" ht="23" customHeight="1" thickTop="1" thickBot="1" x14ac:dyDescent="0.35">
      <c r="B8" s="22"/>
      <c r="C8" s="394"/>
      <c r="D8" s="395"/>
      <c r="E8" s="597"/>
      <c r="F8" s="668"/>
      <c r="G8" s="668"/>
      <c r="H8" s="664"/>
      <c r="I8" s="789">
        <v>2</v>
      </c>
      <c r="J8" s="789">
        <v>2.9</v>
      </c>
      <c r="K8" s="391"/>
      <c r="N8" s="720"/>
      <c r="O8" s="390"/>
      <c r="S8" s="942" t="s">
        <v>312</v>
      </c>
      <c r="T8" s="943"/>
      <c r="U8" s="944"/>
      <c r="V8" s="779"/>
      <c r="W8" s="945" t="s">
        <v>313</v>
      </c>
      <c r="X8" s="940"/>
      <c r="AB8" s="836" t="s">
        <v>361</v>
      </c>
      <c r="AC8" s="827"/>
    </row>
    <row r="9" spans="2:29" ht="21" thickBot="1" x14ac:dyDescent="0.3">
      <c r="B9" s="22"/>
      <c r="C9" s="109"/>
      <c r="D9" s="105"/>
      <c r="E9" s="598"/>
      <c r="F9" s="669"/>
      <c r="G9" s="669"/>
      <c r="H9" s="665"/>
      <c r="I9" s="12"/>
      <c r="J9" s="12"/>
      <c r="K9" s="12"/>
      <c r="N9" s="722"/>
      <c r="O9" s="200"/>
      <c r="Q9" s="110"/>
      <c r="S9" s="731"/>
      <c r="T9" s="727" t="s">
        <v>311</v>
      </c>
      <c r="U9" s="750" t="s">
        <v>55</v>
      </c>
      <c r="V9" s="780"/>
      <c r="W9" s="774"/>
      <c r="X9" s="732" t="s">
        <v>55</v>
      </c>
      <c r="AB9" s="834" t="s">
        <v>234</v>
      </c>
      <c r="AC9" s="835" t="s">
        <v>362</v>
      </c>
    </row>
    <row r="10" spans="2:29" ht="21" thickBot="1" x14ac:dyDescent="0.3">
      <c r="B10" s="16">
        <f t="shared" ref="B10:B41" si="0">B9+1</f>
        <v>1</v>
      </c>
      <c r="C10" s="106" t="s">
        <v>118</v>
      </c>
      <c r="D10" s="107" t="s">
        <v>383</v>
      </c>
      <c r="E10" s="599" t="str">
        <f t="shared" ref="E10:E41" si="1">_xlfn.CONCAT(C10:D10)</f>
        <v>KnutHelland</v>
      </c>
      <c r="F10" s="192">
        <f>YEAR(I$5)-_xlfn.XLOOKUP(E10,Deltakerliste!E$5:E$98,Deltakerliste!I$5:I$98)</f>
        <v>63</v>
      </c>
      <c r="G10" s="192">
        <f>_xlfn.XLOOKUP(E10,Deltakerliste!E$5:E$98,Deltakerliste!H$5:H$98)</f>
        <v>2</v>
      </c>
      <c r="H10" s="592">
        <f>VLOOKUP(F10,Deltakerliste!P$6:T$84,G10,FALSE)</f>
        <v>1.2569999999999999</v>
      </c>
      <c r="I10" s="86"/>
      <c r="J10" s="86">
        <v>1.5717592592592592E-2</v>
      </c>
      <c r="K10" s="17"/>
      <c r="L10" s="600">
        <f t="shared" ref="L10:L40" si="2">IF(OR(I10="Arr",J10="Arr",K10="Arr"),"Arr",IF(OR(I10="Brutt",J10="Brutt",K10="Brutt"),"Brutt",IF(OR(I10="Løype",J10="Løype",K10="Løype"),"Løype",IF(I10&gt;0,I10/I$8,J10/J$8))))</f>
        <v>5.4198595146871011E-3</v>
      </c>
      <c r="M10" s="594">
        <f>IF(L10="Løype",Poengsammendrag!$F$2,IF(L10="Arr",Poengsammendrag!$F$3,IF(L10="Brutt",50,IF(L10="Disk",50,ROUND(MAXA(100*(MIN(L$10:L$93)/L10),50),0)))))</f>
        <v>100</v>
      </c>
      <c r="N10" s="724">
        <f t="shared" ref="N10:N35" si="3">IF(L10="Arr","Arr",IF(L10="Brutt","Brutt",IF(L10="Løype","Løype",L10/H10)))</f>
        <v>4.3117418573485299E-3</v>
      </c>
      <c r="O10" s="596">
        <f>IF(N10="Løype",Poengsammendrag!$F$2,IF(N10="Arr",Poengsammendrag!$F$3,IF(N10="Brutt",50,IF(N10="Disk",50,ROUND(MAXA(100*(MIN(N$10:N$93)/N10),50),0)))))</f>
        <v>93</v>
      </c>
      <c r="Q10" s="672"/>
      <c r="R10" s="672"/>
      <c r="S10" s="802" t="s">
        <v>384</v>
      </c>
      <c r="T10" s="734">
        <v>5.4198595146871011E-3</v>
      </c>
      <c r="U10" s="751">
        <v>100</v>
      </c>
      <c r="V10" s="781"/>
      <c r="W10" s="775" t="s">
        <v>138</v>
      </c>
      <c r="X10" s="739">
        <v>100</v>
      </c>
      <c r="AB10" s="832">
        <v>55</v>
      </c>
      <c r="AC10" s="833">
        <f t="shared" ref="AC10:AC50" si="4">COUNTIFS(F$10:F$97,AB10,M$10:M$97,"&gt;0")</f>
        <v>0</v>
      </c>
    </row>
    <row r="11" spans="2:29" ht="21" customHeight="1" thickBot="1" x14ac:dyDescent="0.3">
      <c r="B11" s="16">
        <f t="shared" si="0"/>
        <v>2</v>
      </c>
      <c r="C11" s="106" t="s">
        <v>342</v>
      </c>
      <c r="D11" s="107" t="s">
        <v>388</v>
      </c>
      <c r="E11" s="599" t="str">
        <f t="shared" si="1"/>
        <v>ArildClausen</v>
      </c>
      <c r="F11" s="192">
        <f>YEAR(I$5)-_xlfn.XLOOKUP(E11,Deltakerliste!E$5:E$98,Deltakerliste!I$5:I$98)</f>
        <v>57</v>
      </c>
      <c r="G11" s="192">
        <f>_xlfn.XLOOKUP(E11,Deltakerliste!E$5:E$98,Deltakerliste!H$5:H$98)</f>
        <v>2</v>
      </c>
      <c r="H11" s="592">
        <f>VLOOKUP(F11,Deltakerliste!P$6:T$84,G11,FALSE)</f>
        <v>1.1580000000000001</v>
      </c>
      <c r="I11" s="86"/>
      <c r="J11" s="86">
        <v>1.7754629629629631E-2</v>
      </c>
      <c r="K11" s="13"/>
      <c r="L11" s="600">
        <f t="shared" si="2"/>
        <v>6.1222860791826312E-3</v>
      </c>
      <c r="M11" s="594">
        <f>IF(L11="Løype",Poengsammendrag!$F$2,IF(L11="Arr",Poengsammendrag!$F$3,IF(L11="Brutt",50,IF(L11="Disk",50,ROUND(MAXA(100*(MIN(L$10:L$93)/L11),50),0)))))</f>
        <v>89</v>
      </c>
      <c r="N11" s="724">
        <f t="shared" si="3"/>
        <v>5.2869482549072798E-3</v>
      </c>
      <c r="O11" s="596">
        <f>IF(N11="Løype",Poengsammendrag!$F$2,IF(N11="Arr",Poengsammendrag!$F$3,IF(N11="Brutt",50,IF(N11="Disk",50,ROUND(MAXA(100*(MIN(N$10:N$93)/N11),50),0)))))</f>
        <v>76</v>
      </c>
      <c r="Q11" s="672"/>
      <c r="R11" s="672"/>
      <c r="S11" s="803" t="s">
        <v>342</v>
      </c>
      <c r="T11" s="736">
        <v>6.1222860791826312E-3</v>
      </c>
      <c r="U11" s="752">
        <v>89</v>
      </c>
      <c r="V11" s="781"/>
      <c r="W11" s="776" t="s">
        <v>380</v>
      </c>
      <c r="X11" s="740">
        <v>93</v>
      </c>
      <c r="AB11" s="828">
        <f>AB10+1</f>
        <v>56</v>
      </c>
      <c r="AC11" s="829">
        <f t="shared" si="4"/>
        <v>0</v>
      </c>
    </row>
    <row r="12" spans="2:29" ht="21" customHeight="1" thickBot="1" x14ac:dyDescent="0.3">
      <c r="B12" s="16">
        <f t="shared" si="0"/>
        <v>3</v>
      </c>
      <c r="C12" s="106" t="s">
        <v>265</v>
      </c>
      <c r="D12" s="107" t="s">
        <v>266</v>
      </c>
      <c r="E12" s="599" t="str">
        <f t="shared" si="1"/>
        <v>ØysteinWiggen</v>
      </c>
      <c r="F12" s="192">
        <f>YEAR(I$5)-_xlfn.XLOOKUP(E12,Deltakerliste!E$5:E$98,Deltakerliste!I$5:I$98)</f>
        <v>59</v>
      </c>
      <c r="G12" s="192">
        <f>_xlfn.XLOOKUP(E12,Deltakerliste!E$5:E$98,Deltakerliste!H$5:H$98)</f>
        <v>2</v>
      </c>
      <c r="H12" s="592">
        <f>VLOOKUP(F12,Deltakerliste!P$6:T$84,G12,FALSE)</f>
        <v>1.1860000000000002</v>
      </c>
      <c r="I12" s="134"/>
      <c r="J12" s="132">
        <v>1.8090277777777778E-2</v>
      </c>
      <c r="K12" s="18"/>
      <c r="L12" s="600">
        <f t="shared" si="2"/>
        <v>6.2380268199233721E-3</v>
      </c>
      <c r="M12" s="594">
        <f>IF(L12="Løype",Poengsammendrag!$F$2,IF(L12="Arr",Poengsammendrag!$F$3,IF(L12="Brutt",50,IF(L12="Disk",50,ROUND(MAXA(100*(MIN(L$10:L$93)/L12),50),0)))))</f>
        <v>87</v>
      </c>
      <c r="N12" s="724">
        <f t="shared" si="3"/>
        <v>5.2597190724480367E-3</v>
      </c>
      <c r="O12" s="596">
        <f>IF(N12="Løype",Poengsammendrag!$F$2,IF(N12="Arr",Poengsammendrag!$F$3,IF(N12="Brutt",50,IF(N12="Disk",50,ROUND(MAXA(100*(MIN(N$10:N$93)/N12),50),0)))))</f>
        <v>76</v>
      </c>
      <c r="Q12" s="672"/>
      <c r="R12" s="672"/>
      <c r="S12" s="803" t="s">
        <v>368</v>
      </c>
      <c r="T12" s="736">
        <v>6.2380268199233721E-3</v>
      </c>
      <c r="U12" s="752">
        <v>87</v>
      </c>
      <c r="V12" s="781"/>
      <c r="W12" s="776" t="s">
        <v>384</v>
      </c>
      <c r="X12" s="740">
        <v>93</v>
      </c>
      <c r="AB12" s="828">
        <f t="shared" ref="AB12:AB50" si="5">AB11+1</f>
        <v>57</v>
      </c>
      <c r="AC12" s="829">
        <f t="shared" si="4"/>
        <v>1</v>
      </c>
    </row>
    <row r="13" spans="2:29" ht="21" customHeight="1" thickBot="1" x14ac:dyDescent="0.3">
      <c r="B13" s="16">
        <f t="shared" si="0"/>
        <v>4</v>
      </c>
      <c r="C13" s="106" t="s">
        <v>120</v>
      </c>
      <c r="D13" s="107" t="s">
        <v>121</v>
      </c>
      <c r="E13" s="599" t="str">
        <f t="shared" si="1"/>
        <v>KlausLivik</v>
      </c>
      <c r="F13" s="192">
        <f>YEAR(I$5)-_xlfn.XLOOKUP(E13,Deltakerliste!E$5:E$98,Deltakerliste!I$5:I$98)</f>
        <v>71</v>
      </c>
      <c r="G13" s="192">
        <f>_xlfn.XLOOKUP(E13,Deltakerliste!E$5:E$98,Deltakerliste!H$5:H$98)</f>
        <v>2</v>
      </c>
      <c r="H13" s="592">
        <f>VLOOKUP(F13,Deltakerliste!P$6:T$84,G13,FALSE)</f>
        <v>1.4609999999999999</v>
      </c>
      <c r="I13" s="13"/>
      <c r="J13" s="13">
        <v>1.8981481481481481E-2</v>
      </c>
      <c r="K13" s="17"/>
      <c r="L13" s="600">
        <f t="shared" si="2"/>
        <v>6.5453384418901663E-3</v>
      </c>
      <c r="M13" s="594">
        <f>IF(L13="Løype",Poengsammendrag!$F$2,IF(L13="Arr",Poengsammendrag!$F$3,IF(L13="Brutt",50,IF(L13="Disk",50,ROUND(MAXA(100*(MIN(L$10:L$93)/L13),50),0)))))</f>
        <v>83</v>
      </c>
      <c r="N13" s="724">
        <f t="shared" si="3"/>
        <v>4.4800400012937492E-3</v>
      </c>
      <c r="O13" s="596">
        <f>IF(N13="Løype",Poengsammendrag!$F$2,IF(N13="Arr",Poengsammendrag!$F$3,IF(N13="Brutt",50,IF(N13="Disk",50,ROUND(MAXA(100*(MIN(N$10:N$93)/N13),50),0)))))</f>
        <v>89</v>
      </c>
      <c r="Q13" s="672"/>
      <c r="R13" s="672"/>
      <c r="S13" s="803" t="s">
        <v>120</v>
      </c>
      <c r="T13" s="736">
        <v>6.5453384418901663E-3</v>
      </c>
      <c r="U13" s="752">
        <v>83</v>
      </c>
      <c r="V13" s="781"/>
      <c r="W13" s="776" t="s">
        <v>88</v>
      </c>
      <c r="X13" s="740">
        <v>91</v>
      </c>
      <c r="AB13" s="828">
        <f t="shared" si="5"/>
        <v>58</v>
      </c>
      <c r="AC13" s="829">
        <f t="shared" si="4"/>
        <v>0</v>
      </c>
    </row>
    <row r="14" spans="2:29" ht="21" customHeight="1" thickBot="1" x14ac:dyDescent="0.3">
      <c r="B14" s="16">
        <f t="shared" si="0"/>
        <v>5</v>
      </c>
      <c r="C14" s="106" t="s">
        <v>64</v>
      </c>
      <c r="D14" s="107" t="s">
        <v>65</v>
      </c>
      <c r="E14" s="599" t="str">
        <f t="shared" si="1"/>
        <v>BjørnBerger</v>
      </c>
      <c r="F14" s="192">
        <f>YEAR(I$5)-_xlfn.XLOOKUP(E14,Deltakerliste!E$5:E$98,Deltakerliste!I$5:I$98)</f>
        <v>74</v>
      </c>
      <c r="G14" s="192">
        <f>_xlfn.XLOOKUP(E14,Deltakerliste!E$5:E$98,Deltakerliste!H$5:H$98)</f>
        <v>2</v>
      </c>
      <c r="H14" s="592">
        <f>VLOOKUP(F14,Deltakerliste!P$6:T$84,G14,FALSE)</f>
        <v>1.569</v>
      </c>
      <c r="I14" s="13"/>
      <c r="J14" s="13">
        <v>1.951388888888889E-2</v>
      </c>
      <c r="K14" s="19"/>
      <c r="L14" s="600">
        <f t="shared" si="2"/>
        <v>6.7289272030651342E-3</v>
      </c>
      <c r="M14" s="594">
        <f>IF(L14="Løype",Poengsammendrag!$F$2,IF(L14="Arr",Poengsammendrag!$F$3,IF(L14="Brutt",50,IF(L14="Disk",50,ROUND(MAXA(100*(MIN(L$10:L$93)/L14),50),0)))))</f>
        <v>81</v>
      </c>
      <c r="N14" s="724">
        <f t="shared" si="3"/>
        <v>4.2886725322276191E-3</v>
      </c>
      <c r="O14" s="596">
        <f>IF(N14="Løype",Poengsammendrag!$F$2,IF(N14="Arr",Poengsammendrag!$F$3,IF(N14="Brutt",50,IF(N14="Disk",50,ROUND(MAXA(100*(MIN(N$10:N$93)/N14),50),0)))))</f>
        <v>93</v>
      </c>
      <c r="Q14" s="672"/>
      <c r="R14" s="672"/>
      <c r="S14" s="803" t="s">
        <v>380</v>
      </c>
      <c r="T14" s="736">
        <v>6.7289272030651342E-3</v>
      </c>
      <c r="U14" s="752">
        <v>81</v>
      </c>
      <c r="V14" s="781"/>
      <c r="W14" s="776" t="s">
        <v>120</v>
      </c>
      <c r="X14" s="740">
        <v>89</v>
      </c>
      <c r="AB14" s="828">
        <f t="shared" si="5"/>
        <v>59</v>
      </c>
      <c r="AC14" s="829">
        <f t="shared" si="4"/>
        <v>2</v>
      </c>
    </row>
    <row r="15" spans="2:29" ht="21" customHeight="1" thickBot="1" x14ac:dyDescent="0.3">
      <c r="B15" s="16">
        <f t="shared" si="0"/>
        <v>6</v>
      </c>
      <c r="C15" s="106" t="s">
        <v>222</v>
      </c>
      <c r="D15" s="107" t="s">
        <v>221</v>
      </c>
      <c r="E15" s="599" t="str">
        <f t="shared" si="1"/>
        <v>Kjell Maroni</v>
      </c>
      <c r="F15" s="192">
        <f>YEAR(I$5)-_xlfn.XLOOKUP(E15,Deltakerliste!E$5:E$98,Deltakerliste!I$5:I$98)</f>
        <v>69</v>
      </c>
      <c r="G15" s="192">
        <f>_xlfn.XLOOKUP(E15,Deltakerliste!E$5:E$98,Deltakerliste!H$5:H$98)</f>
        <v>2</v>
      </c>
      <c r="H15" s="592">
        <f>VLOOKUP(F15,Deltakerliste!P$6:T$84,G15,FALSE)</f>
        <v>1.3989999999999998</v>
      </c>
      <c r="I15" s="13"/>
      <c r="J15" s="13">
        <v>2.0949074074074075E-2</v>
      </c>
      <c r="K15" s="13"/>
      <c r="L15" s="600">
        <f t="shared" si="2"/>
        <v>7.2238186462324399E-3</v>
      </c>
      <c r="M15" s="594">
        <f>IF(L15="Løype",Poengsammendrag!$F$2,IF(L15="Arr",Poengsammendrag!$F$3,IF(L15="Brutt",50,IF(L15="Disk",50,ROUND(MAXA(100*(MIN(L$10:L$93)/L15),50),0)))))</f>
        <v>75</v>
      </c>
      <c r="N15" s="724">
        <f t="shared" si="3"/>
        <v>5.1635587178216159E-3</v>
      </c>
      <c r="O15" s="596">
        <f>IF(N15="Løype",Poengsammendrag!$F$2,IF(N15="Arr",Poengsammendrag!$F$3,IF(N15="Brutt",50,IF(N15="Disk",50,ROUND(MAXA(100*(MIN(N$10:N$93)/N15),50),0)))))</f>
        <v>78</v>
      </c>
      <c r="Q15" s="672"/>
      <c r="R15" s="672"/>
      <c r="S15" s="803" t="s">
        <v>222</v>
      </c>
      <c r="T15" s="736">
        <v>7.2238186462324399E-3</v>
      </c>
      <c r="U15" s="752">
        <v>75</v>
      </c>
      <c r="V15" s="781"/>
      <c r="W15" s="776" t="s">
        <v>149</v>
      </c>
      <c r="X15" s="740">
        <v>89</v>
      </c>
      <c r="AB15" s="828">
        <f t="shared" si="5"/>
        <v>60</v>
      </c>
      <c r="AC15" s="829">
        <f t="shared" si="4"/>
        <v>0</v>
      </c>
    </row>
    <row r="16" spans="2:29" ht="21" customHeight="1" thickBot="1" x14ac:dyDescent="0.3">
      <c r="B16" s="16">
        <f t="shared" si="0"/>
        <v>7</v>
      </c>
      <c r="C16" s="106" t="s">
        <v>377</v>
      </c>
      <c r="D16" s="107" t="s">
        <v>83</v>
      </c>
      <c r="E16" s="599" t="str">
        <f t="shared" si="1"/>
        <v>HildeForbord</v>
      </c>
      <c r="F16" s="192">
        <f>YEAR(I$5)-_xlfn.XLOOKUP(E16,Deltakerliste!E$5:E$98,Deltakerliste!I$5:I$98)</f>
        <v>59</v>
      </c>
      <c r="G16" s="192">
        <f>_xlfn.XLOOKUP(E16,Deltakerliste!E$5:E$98,Deltakerliste!H$5:H$98)</f>
        <v>4</v>
      </c>
      <c r="H16" s="592">
        <f>VLOOKUP(F16,Deltakerliste!P$6:T$84,G16,FALSE)</f>
        <v>1.6020000000000001</v>
      </c>
      <c r="I16" s="14"/>
      <c r="J16" s="14">
        <v>2.207175925925926E-2</v>
      </c>
      <c r="K16" s="13"/>
      <c r="L16" s="600">
        <f t="shared" si="2"/>
        <v>7.6109514687100902E-3</v>
      </c>
      <c r="M16" s="594">
        <f>IF(L16="Løype",Poengsammendrag!$F$2,IF(L16="Arr",Poengsammendrag!$F$3,IF(L16="Brutt",50,IF(L16="Disk",50,ROUND(MAXA(100*(MIN(L$10:L$93)/L16),50),0)))))</f>
        <v>71</v>
      </c>
      <c r="N16" s="724">
        <f t="shared" si="3"/>
        <v>4.7509060353995566E-3</v>
      </c>
      <c r="O16" s="596">
        <f>IF(N16="Løype",Poengsammendrag!$F$2,IF(N16="Arr",Poengsammendrag!$F$3,IF(N16="Brutt",50,IF(N16="Disk",50,ROUND(MAXA(100*(MIN(N$10:N$93)/N16),50),0)))))</f>
        <v>84</v>
      </c>
      <c r="Q16" s="672"/>
      <c r="R16" s="672"/>
      <c r="S16" s="803" t="s">
        <v>377</v>
      </c>
      <c r="T16" s="736">
        <v>7.6109514687100902E-3</v>
      </c>
      <c r="U16" s="752">
        <v>71</v>
      </c>
      <c r="V16" s="781"/>
      <c r="W16" s="776" t="s">
        <v>114</v>
      </c>
      <c r="X16" s="740">
        <v>88</v>
      </c>
      <c r="AB16" s="828">
        <f t="shared" si="5"/>
        <v>61</v>
      </c>
      <c r="AC16" s="829">
        <f t="shared" si="4"/>
        <v>1</v>
      </c>
    </row>
    <row r="17" spans="2:29" ht="21" customHeight="1" thickBot="1" x14ac:dyDescent="0.3">
      <c r="B17" s="16">
        <f t="shared" si="0"/>
        <v>8</v>
      </c>
      <c r="C17" s="106" t="s">
        <v>63</v>
      </c>
      <c r="D17" s="107" t="s">
        <v>336</v>
      </c>
      <c r="E17" s="599" t="str">
        <f t="shared" si="1"/>
        <v>ToreFornes</v>
      </c>
      <c r="F17" s="192">
        <f>YEAR(I$5)-_xlfn.XLOOKUP(E17,Deltakerliste!E$5:E$98,Deltakerliste!I$5:I$98)</f>
        <v>66</v>
      </c>
      <c r="G17" s="192">
        <f>_xlfn.XLOOKUP(E17,Deltakerliste!E$5:E$98,Deltakerliste!H$5:H$98)</f>
        <v>2</v>
      </c>
      <c r="H17" s="592">
        <f>VLOOKUP(F17,Deltakerliste!P$6:T$84,G17,FALSE)</f>
        <v>1.3209999999999997</v>
      </c>
      <c r="I17" s="86"/>
      <c r="J17" s="86">
        <v>2.2268518518518517E-2</v>
      </c>
      <c r="K17" s="13"/>
      <c r="L17" s="600">
        <f t="shared" si="2"/>
        <v>7.6787994891443162E-3</v>
      </c>
      <c r="M17" s="594">
        <f>IF(L17="Løype",Poengsammendrag!$F$2,IF(L17="Arr",Poengsammendrag!$F$3,IF(L17="Brutt",50,IF(L17="Disk",50,ROUND(MAXA(100*(MIN(L$10:L$93)/L17),50),0)))))</f>
        <v>71</v>
      </c>
      <c r="N17" s="724">
        <f t="shared" si="3"/>
        <v>5.8128686518882046E-3</v>
      </c>
      <c r="O17" s="596">
        <f>IF(N17="Løype",Poengsammendrag!$F$2,IF(N17="Arr",Poengsammendrag!$F$3,IF(N17="Brutt",50,IF(N17="Disk",50,ROUND(MAXA(100*(MIN(N$10:N$93)/N17),50),0)))))</f>
        <v>69</v>
      </c>
      <c r="Q17" s="672"/>
      <c r="R17" s="672"/>
      <c r="S17" s="803" t="s">
        <v>346</v>
      </c>
      <c r="T17" s="736">
        <v>7.6787994891443162E-3</v>
      </c>
      <c r="U17" s="752">
        <v>71</v>
      </c>
      <c r="V17" s="781"/>
      <c r="W17" s="776" t="s">
        <v>377</v>
      </c>
      <c r="X17" s="740">
        <v>84</v>
      </c>
      <c r="AB17" s="828">
        <f t="shared" si="5"/>
        <v>62</v>
      </c>
      <c r="AC17" s="829">
        <f t="shared" si="4"/>
        <v>0</v>
      </c>
    </row>
    <row r="18" spans="2:29" ht="21" customHeight="1" thickBot="1" x14ac:dyDescent="0.3">
      <c r="B18" s="16">
        <f t="shared" si="0"/>
        <v>9</v>
      </c>
      <c r="C18" s="106" t="s">
        <v>265</v>
      </c>
      <c r="D18" s="107" t="s">
        <v>344</v>
      </c>
      <c r="E18" s="599" t="str">
        <f t="shared" si="1"/>
        <v>ØysteinNytrø</v>
      </c>
      <c r="F18" s="192">
        <f>YEAR(I$5)-_xlfn.XLOOKUP(E18,Deltakerliste!E$5:E$98,Deltakerliste!I$5:I$98)</f>
        <v>65</v>
      </c>
      <c r="G18" s="192">
        <f>_xlfn.XLOOKUP(E18,Deltakerliste!E$5:E$98,Deltakerliste!H$5:H$98)</f>
        <v>2</v>
      </c>
      <c r="H18" s="592">
        <f>VLOOKUP(F18,Deltakerliste!P$6:T$84,G18,FALSE)</f>
        <v>1.2949999999999997</v>
      </c>
      <c r="I18" s="18"/>
      <c r="J18" s="132">
        <v>2.2303240740740742E-2</v>
      </c>
      <c r="K18" s="18"/>
      <c r="L18" s="600">
        <f t="shared" si="2"/>
        <v>7.6907726692209454E-3</v>
      </c>
      <c r="M18" s="594">
        <f>IF(L18="Løype",Poengsammendrag!$F$2,IF(L18="Arr",Poengsammendrag!$F$3,IF(L18="Brutt",50,IF(L18="Disk",50,ROUND(MAXA(100*(MIN(L$10:L$93)/L18),50),0)))))</f>
        <v>70</v>
      </c>
      <c r="N18" s="724">
        <f t="shared" si="3"/>
        <v>5.9388205939930093E-3</v>
      </c>
      <c r="O18" s="596">
        <f>IF(N18="Løype",Poengsammendrag!$F$2,IF(N18="Arr",Poengsammendrag!$F$3,IF(N18="Brutt",50,IF(N18="Disk",50,ROUND(MAXA(100*(MIN(N$10:N$93)/N18),50),0)))))</f>
        <v>67</v>
      </c>
      <c r="Q18" s="672"/>
      <c r="R18" s="672"/>
      <c r="S18" s="803" t="s">
        <v>345</v>
      </c>
      <c r="T18" s="736">
        <v>7.6907726692209454E-3</v>
      </c>
      <c r="U18" s="752">
        <v>70</v>
      </c>
      <c r="V18" s="781"/>
      <c r="W18" s="776" t="s">
        <v>314</v>
      </c>
      <c r="X18" s="740">
        <v>84</v>
      </c>
      <c r="AB18" s="828">
        <f t="shared" si="5"/>
        <v>63</v>
      </c>
      <c r="AC18" s="829">
        <f t="shared" si="4"/>
        <v>1</v>
      </c>
    </row>
    <row r="19" spans="2:29" ht="21" thickBot="1" x14ac:dyDescent="0.3">
      <c r="B19" s="16">
        <f t="shared" si="0"/>
        <v>10</v>
      </c>
      <c r="C19" s="106" t="s">
        <v>88</v>
      </c>
      <c r="D19" s="107" t="s">
        <v>89</v>
      </c>
      <c r="E19" s="599" t="str">
        <f t="shared" si="1"/>
        <v>EdgarFuruholt</v>
      </c>
      <c r="F19" s="192">
        <f>YEAR(I$5)-_xlfn.XLOOKUP(E19,Deltakerliste!E$5:E$98,Deltakerliste!I$5:I$98)</f>
        <v>78</v>
      </c>
      <c r="G19" s="192">
        <f>_xlfn.XLOOKUP(E19,Deltakerliste!E$5:E$98,Deltakerliste!H$5:H$98)</f>
        <v>2</v>
      </c>
      <c r="H19" s="592">
        <f>VLOOKUP(F19,Deltakerliste!P$6:T$84,G19,FALSE)</f>
        <v>1.7550000000000001</v>
      </c>
      <c r="I19" s="18"/>
      <c r="J19" s="132">
        <v>2.2534722222222223E-2</v>
      </c>
      <c r="K19" s="18"/>
      <c r="L19" s="600">
        <f t="shared" si="2"/>
        <v>7.7705938697318015E-3</v>
      </c>
      <c r="M19" s="594">
        <f>IF(L19="Løype",Poengsammendrag!$F$2,IF(L19="Arr",Poengsammendrag!$F$3,IF(L19="Brutt",50,IF(L19="Disk",50,ROUND(MAXA(100*(MIN(L$10:L$93)/L19),50),0)))))</f>
        <v>70</v>
      </c>
      <c r="N19" s="724">
        <f t="shared" si="3"/>
        <v>4.4276888146619949E-3</v>
      </c>
      <c r="O19" s="596">
        <f>IF(N19="Løype",Poengsammendrag!$F$2,IF(N19="Arr",Poengsammendrag!$F$3,IF(N19="Brutt",50,IF(N19="Disk",50,ROUND(MAXA(100*(MIN(N$10:N$93)/N19),50),0)))))</f>
        <v>91</v>
      </c>
      <c r="Q19" s="672"/>
      <c r="R19" s="672"/>
      <c r="S19" s="803" t="s">
        <v>88</v>
      </c>
      <c r="T19" s="736">
        <v>7.7705938697318015E-3</v>
      </c>
      <c r="U19" s="752">
        <v>70</v>
      </c>
      <c r="V19" s="781"/>
      <c r="W19" s="776" t="s">
        <v>122</v>
      </c>
      <c r="X19" s="740">
        <v>79</v>
      </c>
      <c r="AB19" s="828">
        <f t="shared" si="5"/>
        <v>64</v>
      </c>
      <c r="AC19" s="829">
        <f t="shared" si="4"/>
        <v>0</v>
      </c>
    </row>
    <row r="20" spans="2:29" ht="21" thickBot="1" x14ac:dyDescent="0.3">
      <c r="B20" s="16">
        <f t="shared" si="0"/>
        <v>11</v>
      </c>
      <c r="C20" s="106" t="s">
        <v>116</v>
      </c>
      <c r="D20" s="107" t="s">
        <v>165</v>
      </c>
      <c r="E20" s="599" t="str">
        <f t="shared" si="1"/>
        <v>AndersWaage</v>
      </c>
      <c r="F20" s="192">
        <f>YEAR(I$5)-_xlfn.XLOOKUP(E20,Deltakerliste!E$5:E$98,Deltakerliste!I$5:I$98)</f>
        <v>77</v>
      </c>
      <c r="G20" s="192">
        <f>_xlfn.XLOOKUP(E20,Deltakerliste!E$5:E$98,Deltakerliste!H$5:H$98)</f>
        <v>2</v>
      </c>
      <c r="H20" s="592">
        <f>VLOOKUP(F20,Deltakerliste!P$6:T$84,G20,FALSE)</f>
        <v>1.7050000000000001</v>
      </c>
      <c r="I20" s="18"/>
      <c r="J20" s="132">
        <v>2.3518518518518518E-2</v>
      </c>
      <c r="K20" s="18"/>
      <c r="L20" s="600">
        <f t="shared" si="2"/>
        <v>8.1098339719029369E-3</v>
      </c>
      <c r="M20" s="594">
        <f>IF(L20="Løype",Poengsammendrag!$F$2,IF(L20="Arr",Poengsammendrag!$F$3,IF(L20="Brutt",50,IF(L20="Disk",50,ROUND(MAXA(100*(MIN(L$10:L$93)/L20),50),0)))))</f>
        <v>67</v>
      </c>
      <c r="N20" s="724">
        <f t="shared" si="3"/>
        <v>4.7565008632861798E-3</v>
      </c>
      <c r="O20" s="596">
        <f>IF(N20="Løype",Poengsammendrag!$F$2,IF(N20="Arr",Poengsammendrag!$F$3,IF(N20="Brutt",50,IF(N20="Disk",50,ROUND(MAXA(100*(MIN(N$10:N$93)/N20),50),0)))))</f>
        <v>84</v>
      </c>
      <c r="Q20" s="672"/>
      <c r="R20" s="672"/>
      <c r="S20" s="803" t="s">
        <v>314</v>
      </c>
      <c r="T20" s="736">
        <v>8.1098339719029369E-3</v>
      </c>
      <c r="U20" s="752">
        <v>67</v>
      </c>
      <c r="V20" s="781"/>
      <c r="W20" s="776" t="s">
        <v>222</v>
      </c>
      <c r="X20" s="740">
        <v>78</v>
      </c>
      <c r="AB20" s="828">
        <f t="shared" si="5"/>
        <v>65</v>
      </c>
      <c r="AC20" s="829">
        <f t="shared" si="4"/>
        <v>1</v>
      </c>
    </row>
    <row r="21" spans="2:29" ht="21" customHeight="1" thickBot="1" x14ac:dyDescent="0.3">
      <c r="B21" s="16">
        <f t="shared" si="0"/>
        <v>12</v>
      </c>
      <c r="C21" s="106" t="s">
        <v>138</v>
      </c>
      <c r="D21" s="107" t="s">
        <v>137</v>
      </c>
      <c r="E21" s="599" t="str">
        <f t="shared" si="1"/>
        <v>GunnhildOftedal</v>
      </c>
      <c r="F21" s="192">
        <f>YEAR(I$5)-_xlfn.XLOOKUP(E21,Deltakerliste!E$5:E$98,Deltakerliste!I$5:I$98)</f>
        <v>72</v>
      </c>
      <c r="G21" s="192">
        <f>_xlfn.XLOOKUP(E21,Deltakerliste!E$5:E$98,Deltakerliste!H$5:H$98)</f>
        <v>4</v>
      </c>
      <c r="H21" s="592">
        <f>VLOOKUP(F21,Deltakerliste!P$6:T$84,G21,FALSE)</f>
        <v>2.0362000000000013</v>
      </c>
      <c r="I21" s="13"/>
      <c r="J21" s="13">
        <v>2.3668981481481482E-2</v>
      </c>
      <c r="K21" s="13"/>
      <c r="L21" s="600">
        <f t="shared" si="2"/>
        <v>8.1617177522349937E-3</v>
      </c>
      <c r="M21" s="594">
        <f>IF(L21="Løype",Poengsammendrag!$F$2,IF(L21="Arr",Poengsammendrag!$F$3,IF(L21="Brutt",50,IF(L21="Disk",50,ROUND(MAXA(100*(MIN(L$10:L$93)/L21),50),0)))))</f>
        <v>66</v>
      </c>
      <c r="N21" s="724">
        <f t="shared" si="3"/>
        <v>4.0083084924049644E-3</v>
      </c>
      <c r="O21" s="596">
        <f>IF(N21="Løype",Poengsammendrag!$F$2,IF(N21="Arr",Poengsammendrag!$F$3,IF(N21="Brutt",50,IF(N21="Disk",50,ROUND(MAXA(100*(MIN(N$10:N$93)/N21),50),0)))))</f>
        <v>100</v>
      </c>
      <c r="Q21" s="672"/>
      <c r="R21" s="672"/>
      <c r="S21" s="803" t="s">
        <v>138</v>
      </c>
      <c r="T21" s="736">
        <v>8.1617177522349937E-3</v>
      </c>
      <c r="U21" s="752">
        <v>66</v>
      </c>
      <c r="V21" s="781"/>
      <c r="W21" s="776" t="s">
        <v>368</v>
      </c>
      <c r="X21" s="740">
        <v>76</v>
      </c>
      <c r="AB21" s="828">
        <f t="shared" si="5"/>
        <v>66</v>
      </c>
      <c r="AC21" s="829">
        <f t="shared" si="4"/>
        <v>2</v>
      </c>
    </row>
    <row r="22" spans="2:29" ht="21" customHeight="1" thickBot="1" x14ac:dyDescent="0.3">
      <c r="B22" s="16">
        <f t="shared" si="0"/>
        <v>13</v>
      </c>
      <c r="C22" s="106" t="s">
        <v>149</v>
      </c>
      <c r="D22" s="107" t="s">
        <v>150</v>
      </c>
      <c r="E22" s="599" t="str">
        <f t="shared" si="1"/>
        <v>BenteSkorge</v>
      </c>
      <c r="F22" s="192">
        <f>YEAR(I$5)-_xlfn.XLOOKUP(E22,Deltakerliste!E$5:E$98,Deltakerliste!I$5:I$98)</f>
        <v>66</v>
      </c>
      <c r="G22" s="192">
        <f>_xlfn.XLOOKUP(E22,Deltakerliste!E$5:E$98,Deltakerliste!H$5:H$98)</f>
        <v>4</v>
      </c>
      <c r="H22" s="592">
        <f>VLOOKUP(F22,Deltakerliste!P$6:T$84,G22,FALSE)</f>
        <v>1.8066000000000009</v>
      </c>
      <c r="I22" s="132"/>
      <c r="J22" s="132">
        <v>2.3715277777777776E-2</v>
      </c>
      <c r="K22" s="18"/>
      <c r="L22" s="600">
        <f t="shared" si="2"/>
        <v>8.1776819923371647E-3</v>
      </c>
      <c r="M22" s="594">
        <f>IF(L22="Løype",Poengsammendrag!$F$2,IF(L22="Arr",Poengsammendrag!$F$3,IF(L22="Brutt",50,IF(L22="Disk",50,ROUND(MAXA(100*(MIN(L$10:L$93)/L22),50),0)))))</f>
        <v>66</v>
      </c>
      <c r="N22" s="724">
        <f t="shared" si="3"/>
        <v>4.526559278388775E-3</v>
      </c>
      <c r="O22" s="596">
        <f>IF(N22="Løype",Poengsammendrag!$F$2,IF(N22="Arr",Poengsammendrag!$F$3,IF(N22="Brutt",50,IF(N22="Disk",50,ROUND(MAXA(100*(MIN(N$10:N$93)/N22),50),0)))))</f>
        <v>89</v>
      </c>
      <c r="Q22" s="672"/>
      <c r="R22" s="672"/>
      <c r="S22" s="803" t="s">
        <v>149</v>
      </c>
      <c r="T22" s="736">
        <v>8.1776819923371647E-3</v>
      </c>
      <c r="U22" s="752">
        <v>66</v>
      </c>
      <c r="V22" s="781"/>
      <c r="W22" s="776" t="s">
        <v>342</v>
      </c>
      <c r="X22" s="740">
        <v>76</v>
      </c>
      <c r="AB22" s="828">
        <f t="shared" si="5"/>
        <v>67</v>
      </c>
      <c r="AC22" s="829">
        <f t="shared" si="4"/>
        <v>0</v>
      </c>
    </row>
    <row r="23" spans="2:29" ht="21" customHeight="1" thickBot="1" x14ac:dyDescent="0.3">
      <c r="B23" s="16">
        <f t="shared" si="0"/>
        <v>14</v>
      </c>
      <c r="C23" s="106" t="s">
        <v>168</v>
      </c>
      <c r="D23" s="107" t="s">
        <v>169</v>
      </c>
      <c r="E23" s="599" t="str">
        <f t="shared" si="1"/>
        <v>SteinØvstedal</v>
      </c>
      <c r="F23" s="192">
        <f>YEAR(I$5)-_xlfn.XLOOKUP(E23,Deltakerliste!E$5:E$98,Deltakerliste!I$5:I$98)</f>
        <v>74</v>
      </c>
      <c r="G23" s="192">
        <f>_xlfn.XLOOKUP(E23,Deltakerliste!E$5:E$98,Deltakerliste!H$5:H$98)</f>
        <v>2</v>
      </c>
      <c r="H23" s="592">
        <f>VLOOKUP(F23,Deltakerliste!P$6:T$84,G23,FALSE)</f>
        <v>1.569</v>
      </c>
      <c r="I23" s="132"/>
      <c r="J23" s="132">
        <v>2.4398148148148148E-2</v>
      </c>
      <c r="K23" s="18"/>
      <c r="L23" s="600">
        <f t="shared" si="2"/>
        <v>8.4131545338441884E-3</v>
      </c>
      <c r="M23" s="594">
        <f>IF(L23="Løype",Poengsammendrag!$F$2,IF(L23="Arr",Poengsammendrag!$F$3,IF(L23="Brutt",50,IF(L23="Disk",50,ROUND(MAXA(100*(MIN(L$10:L$93)/L23),50),0)))))</f>
        <v>64</v>
      </c>
      <c r="N23" s="724">
        <f t="shared" si="3"/>
        <v>5.3621125136036896E-3</v>
      </c>
      <c r="O23" s="596">
        <f>IF(N23="Løype",Poengsammendrag!$F$2,IF(N23="Arr",Poengsammendrag!$F$3,IF(N23="Brutt",50,IF(N23="Disk",50,ROUND(MAXA(100*(MIN(N$10:N$93)/N23),50),0)))))</f>
        <v>75</v>
      </c>
      <c r="Q23" s="672"/>
      <c r="R23" s="672"/>
      <c r="S23" s="803" t="s">
        <v>168</v>
      </c>
      <c r="T23" s="736">
        <v>8.4131545338441884E-3</v>
      </c>
      <c r="U23" s="752">
        <v>64</v>
      </c>
      <c r="V23" s="781"/>
      <c r="W23" s="776" t="s">
        <v>168</v>
      </c>
      <c r="X23" s="740">
        <v>75</v>
      </c>
      <c r="AB23" s="828">
        <f t="shared" si="5"/>
        <v>68</v>
      </c>
      <c r="AC23" s="829">
        <f t="shared" si="4"/>
        <v>0</v>
      </c>
    </row>
    <row r="24" spans="2:29" ht="21" thickBot="1" x14ac:dyDescent="0.3">
      <c r="B24" s="16">
        <f t="shared" si="0"/>
        <v>15</v>
      </c>
      <c r="C24" s="106" t="s">
        <v>101</v>
      </c>
      <c r="D24" s="107" t="s">
        <v>102</v>
      </c>
      <c r="E24" s="599" t="str">
        <f t="shared" si="1"/>
        <v>EvenHofstad</v>
      </c>
      <c r="F24" s="192">
        <f>YEAR(I$5)-_xlfn.XLOOKUP(E24,Deltakerliste!E$5:E$98,Deltakerliste!I$5:I$98)</f>
        <v>71</v>
      </c>
      <c r="G24" s="192">
        <f>_xlfn.XLOOKUP(E24,Deltakerliste!E$5:E$98,Deltakerliste!H$5:H$98)</f>
        <v>2</v>
      </c>
      <c r="H24" s="592">
        <f>VLOOKUP(F24,Deltakerliste!P$6:T$84,G24,FALSE)</f>
        <v>1.4609999999999999</v>
      </c>
      <c r="I24" s="86">
        <v>1.7326388888888888E-2</v>
      </c>
      <c r="J24" s="86"/>
      <c r="K24" s="13"/>
      <c r="L24" s="600">
        <f t="shared" si="2"/>
        <v>8.6631944444444439E-3</v>
      </c>
      <c r="M24" s="594">
        <f>IF(L24="Løype",Poengsammendrag!$F$2,IF(L24="Arr",Poengsammendrag!$F$3,IF(L24="Brutt",50,IF(L24="Disk",50,ROUND(MAXA(100*(MIN(L$10:L$93)/L24),50),0)))))</f>
        <v>63</v>
      </c>
      <c r="N24" s="724">
        <f t="shared" si="3"/>
        <v>5.9296334322001673E-3</v>
      </c>
      <c r="O24" s="596">
        <f>IF(N24="Løype",Poengsammendrag!$F$2,IF(N24="Arr",Poengsammendrag!$F$3,IF(N24="Brutt",50,IF(N24="Disk",50,ROUND(MAXA(100*(MIN(N$10:N$93)/N24),50),0)))))</f>
        <v>68</v>
      </c>
      <c r="Q24" s="672"/>
      <c r="R24" s="672"/>
      <c r="S24" s="803" t="s">
        <v>101</v>
      </c>
      <c r="T24" s="736">
        <v>8.6631944444444439E-3</v>
      </c>
      <c r="U24" s="752">
        <v>63</v>
      </c>
      <c r="V24" s="781"/>
      <c r="W24" s="776" t="s">
        <v>337</v>
      </c>
      <c r="X24" s="740">
        <v>71</v>
      </c>
      <c r="AB24" s="828">
        <f t="shared" si="5"/>
        <v>69</v>
      </c>
      <c r="AC24" s="829">
        <f t="shared" si="4"/>
        <v>1</v>
      </c>
    </row>
    <row r="25" spans="2:29" ht="21" thickBot="1" x14ac:dyDescent="0.3">
      <c r="B25" s="16">
        <f t="shared" si="0"/>
        <v>16</v>
      </c>
      <c r="C25" s="106" t="s">
        <v>68</v>
      </c>
      <c r="D25" s="107" t="s">
        <v>69</v>
      </c>
      <c r="E25" s="599" t="str">
        <f t="shared" si="1"/>
        <v>JanBøhle</v>
      </c>
      <c r="F25" s="192">
        <f>YEAR(I$5)-_xlfn.XLOOKUP(E25,Deltakerliste!E$5:E$98,Deltakerliste!I$5:I$98)</f>
        <v>73</v>
      </c>
      <c r="G25" s="192">
        <f>_xlfn.XLOOKUP(E25,Deltakerliste!E$5:E$98,Deltakerliste!H$5:H$98)</f>
        <v>2</v>
      </c>
      <c r="H25" s="592">
        <f>VLOOKUP(F25,Deltakerliste!P$6:T$84,G25,FALSE)</f>
        <v>1.5329999999999999</v>
      </c>
      <c r="I25" s="86"/>
      <c r="J25" s="86">
        <v>2.5196759259259259E-2</v>
      </c>
      <c r="K25" s="13"/>
      <c r="L25" s="600">
        <f t="shared" si="2"/>
        <v>8.6885376756066415E-3</v>
      </c>
      <c r="M25" s="594">
        <f>IF(L25="Løype",Poengsammendrag!$F$2,IF(L25="Arr",Poengsammendrag!$F$3,IF(L25="Brutt",50,IF(L25="Disk",50,ROUND(MAXA(100*(MIN(L$10:L$93)/L25),50),0)))))</f>
        <v>62</v>
      </c>
      <c r="N25" s="724">
        <f t="shared" si="3"/>
        <v>5.6676697166383834E-3</v>
      </c>
      <c r="O25" s="596">
        <f>IF(N25="Løype",Poengsammendrag!$F$2,IF(N25="Arr",Poengsammendrag!$F$3,IF(N25="Brutt",50,IF(N25="Disk",50,ROUND(MAXA(100*(MIN(N$10:N$93)/N25),50),0)))))</f>
        <v>71</v>
      </c>
      <c r="Q25" s="672"/>
      <c r="R25" s="672"/>
      <c r="S25" s="803" t="s">
        <v>68</v>
      </c>
      <c r="T25" s="736">
        <v>8.6885376756066415E-3</v>
      </c>
      <c r="U25" s="752">
        <v>62</v>
      </c>
      <c r="V25" s="781"/>
      <c r="W25" s="776" t="s">
        <v>68</v>
      </c>
      <c r="X25" s="740">
        <v>71</v>
      </c>
      <c r="AB25" s="828">
        <f t="shared" si="5"/>
        <v>70</v>
      </c>
      <c r="AC25" s="829">
        <f t="shared" si="4"/>
        <v>0</v>
      </c>
    </row>
    <row r="26" spans="2:29" ht="21" customHeight="1" thickBot="1" x14ac:dyDescent="0.3">
      <c r="B26" s="16">
        <f t="shared" si="0"/>
        <v>17</v>
      </c>
      <c r="C26" s="106" t="s">
        <v>90</v>
      </c>
      <c r="D26" s="107" t="s">
        <v>91</v>
      </c>
      <c r="E26" s="599" t="str">
        <f t="shared" si="1"/>
        <v>TorGjermstad</v>
      </c>
      <c r="F26" s="192">
        <f>YEAR(I$5)-_xlfn.XLOOKUP(E26,Deltakerliste!E$5:E$98,Deltakerliste!I$5:I$98)</f>
        <v>75</v>
      </c>
      <c r="G26" s="192">
        <f>_xlfn.XLOOKUP(E26,Deltakerliste!E$5:E$98,Deltakerliste!H$5:H$98)</f>
        <v>2</v>
      </c>
      <c r="H26" s="592">
        <f>VLOOKUP(F26,Deltakerliste!P$6:T$84,G26,FALSE)</f>
        <v>1.605</v>
      </c>
      <c r="I26" s="86">
        <v>1.8240740740740741E-2</v>
      </c>
      <c r="J26" s="86"/>
      <c r="K26" s="13"/>
      <c r="L26" s="600">
        <f t="shared" si="2"/>
        <v>9.1203703703703707E-3</v>
      </c>
      <c r="M26" s="594">
        <f>IF(L26="Løype",Poengsammendrag!$F$2,IF(L26="Arr",Poengsammendrag!$F$3,IF(L26="Brutt",50,IF(L26="Disk",50,ROUND(MAXA(100*(MIN(L$10:L$93)/L26),50),0)))))</f>
        <v>59</v>
      </c>
      <c r="N26" s="724">
        <f t="shared" si="3"/>
        <v>5.682473751009577E-3</v>
      </c>
      <c r="O26" s="596">
        <f>IF(N26="Løype",Poengsammendrag!$F$2,IF(N26="Arr",Poengsammendrag!$F$3,IF(N26="Brutt",50,IF(N26="Disk",50,ROUND(MAXA(100*(MIN(N$10:N$93)/N26),50),0)))))</f>
        <v>71</v>
      </c>
      <c r="Q26" s="672"/>
      <c r="R26" s="672"/>
      <c r="S26" s="803" t="s">
        <v>90</v>
      </c>
      <c r="T26" s="736">
        <v>9.1203703703703707E-3</v>
      </c>
      <c r="U26" s="752">
        <v>59</v>
      </c>
      <c r="V26" s="781"/>
      <c r="W26" s="776" t="s">
        <v>216</v>
      </c>
      <c r="X26" s="740">
        <v>71</v>
      </c>
      <c r="AB26" s="828">
        <f t="shared" si="5"/>
        <v>71</v>
      </c>
      <c r="AC26" s="829">
        <f t="shared" si="4"/>
        <v>2</v>
      </c>
    </row>
    <row r="27" spans="2:29" ht="21" thickBot="1" x14ac:dyDescent="0.3">
      <c r="B27" s="16">
        <f t="shared" si="0"/>
        <v>18</v>
      </c>
      <c r="C27" s="106" t="s">
        <v>114</v>
      </c>
      <c r="D27" s="107" t="s">
        <v>115</v>
      </c>
      <c r="E27" s="599" t="str">
        <f t="shared" si="1"/>
        <v>MagnusLandstad</v>
      </c>
      <c r="F27" s="192">
        <f>YEAR(I$5)-_xlfn.XLOOKUP(E27,Deltakerliste!E$5:E$98,Deltakerliste!I$5:I$98)</f>
        <v>82</v>
      </c>
      <c r="G27" s="192">
        <f>_xlfn.XLOOKUP(E27,Deltakerliste!E$5:E$98,Deltakerliste!H$5:H$98)</f>
        <v>2</v>
      </c>
      <c r="H27" s="592">
        <f>VLOOKUP(F27,Deltakerliste!P$6:T$84,G27,FALSE)</f>
        <v>2.0030000000000001</v>
      </c>
      <c r="I27" s="86"/>
      <c r="J27" s="86">
        <v>2.6562499999999999E-2</v>
      </c>
      <c r="K27" s="13"/>
      <c r="L27" s="600">
        <f t="shared" si="2"/>
        <v>9.1594827586206889E-3</v>
      </c>
      <c r="M27" s="594">
        <f>IF(L27="Løype",Poengsammendrag!$F$2,IF(L27="Arr",Poengsammendrag!$F$3,IF(L27="Brutt",50,IF(L27="Disk",50,ROUND(MAXA(100*(MIN(L$10:L$93)/L27),50),0)))))</f>
        <v>59</v>
      </c>
      <c r="N27" s="724">
        <f t="shared" si="3"/>
        <v>4.5728820562260051E-3</v>
      </c>
      <c r="O27" s="596">
        <f>IF(N27="Løype",Poengsammendrag!$F$2,IF(N27="Arr",Poengsammendrag!$F$3,IF(N27="Brutt",50,IF(N27="Disk",50,ROUND(MAXA(100*(MIN(N$10:N$93)/N27),50),0)))))</f>
        <v>88</v>
      </c>
      <c r="Q27" s="672"/>
      <c r="R27" s="672"/>
      <c r="S27" s="803" t="s">
        <v>114</v>
      </c>
      <c r="T27" s="736">
        <v>9.1594827586206889E-3</v>
      </c>
      <c r="U27" s="752">
        <v>59</v>
      </c>
      <c r="V27" s="781"/>
      <c r="W27" s="776" t="s">
        <v>90</v>
      </c>
      <c r="X27" s="740">
        <v>71</v>
      </c>
      <c r="AB27" s="828">
        <f t="shared" si="5"/>
        <v>72</v>
      </c>
      <c r="AC27" s="829">
        <f t="shared" si="4"/>
        <v>2</v>
      </c>
    </row>
    <row r="28" spans="2:29" ht="21" customHeight="1" thickBot="1" x14ac:dyDescent="0.3">
      <c r="B28" s="16">
        <f t="shared" si="0"/>
        <v>19</v>
      </c>
      <c r="C28" s="106" t="s">
        <v>72</v>
      </c>
      <c r="D28" s="107" t="s">
        <v>73</v>
      </c>
      <c r="E28" s="599" t="str">
        <f t="shared" si="1"/>
        <v>KåreEggereide</v>
      </c>
      <c r="F28" s="192">
        <f>YEAR(I$5)-_xlfn.XLOOKUP(E28,Deltakerliste!E$5:E$98,Deltakerliste!I$5:I$98)</f>
        <v>74</v>
      </c>
      <c r="G28" s="192">
        <f>_xlfn.XLOOKUP(E28,Deltakerliste!E$5:E$98,Deltakerliste!H$5:H$98)</f>
        <v>2</v>
      </c>
      <c r="H28" s="592">
        <f>VLOOKUP(F28,Deltakerliste!P$6:T$84,G28,FALSE)</f>
        <v>1.569</v>
      </c>
      <c r="I28" s="593"/>
      <c r="J28" s="13">
        <v>2.6921296296296297E-2</v>
      </c>
      <c r="K28" s="13"/>
      <c r="L28" s="600">
        <f t="shared" si="2"/>
        <v>9.283205619412517E-3</v>
      </c>
      <c r="M28" s="594">
        <f>IF(L28="Løype",Poengsammendrag!$F$2,IF(L28="Arr",Poengsammendrag!$F$3,IF(L28="Brutt",50,IF(L28="Disk",50,ROUND(MAXA(100*(MIN(L$10:L$93)/L28),50),0)))))</f>
        <v>58</v>
      </c>
      <c r="N28" s="724">
        <f t="shared" si="3"/>
        <v>5.9166383807600495E-3</v>
      </c>
      <c r="O28" s="596">
        <f>IF(N28="Løype",Poengsammendrag!$F$2,IF(N28="Arr",Poengsammendrag!$F$3,IF(N28="Brutt",50,IF(N28="Disk",50,ROUND(MAXA(100*(MIN(N$10:N$93)/N28),50),0)))))</f>
        <v>68</v>
      </c>
      <c r="Q28" s="672"/>
      <c r="R28" s="672"/>
      <c r="S28" s="803" t="s">
        <v>350</v>
      </c>
      <c r="T28" s="736">
        <v>9.283205619412517E-3</v>
      </c>
      <c r="U28" s="752">
        <v>58</v>
      </c>
      <c r="V28" s="781"/>
      <c r="W28" s="776" t="s">
        <v>346</v>
      </c>
      <c r="X28" s="740">
        <v>69</v>
      </c>
      <c r="AB28" s="828">
        <f t="shared" si="5"/>
        <v>73</v>
      </c>
      <c r="AC28" s="829">
        <f t="shared" si="4"/>
        <v>2</v>
      </c>
    </row>
    <row r="29" spans="2:29" ht="21" thickBot="1" x14ac:dyDescent="0.3">
      <c r="B29" s="16">
        <f t="shared" si="0"/>
        <v>20</v>
      </c>
      <c r="C29" s="106" t="s">
        <v>216</v>
      </c>
      <c r="D29" s="107" t="s">
        <v>77</v>
      </c>
      <c r="E29" s="599" t="str">
        <f t="shared" si="1"/>
        <v>Åse RitaEllingsen</v>
      </c>
      <c r="F29" s="192">
        <f>YEAR(I$5)-_xlfn.XLOOKUP(E29,Deltakerliste!E$5:E$98,Deltakerliste!I$5:I$98)</f>
        <v>61</v>
      </c>
      <c r="G29" s="192">
        <f>_xlfn.XLOOKUP(E29,Deltakerliste!E$5:E$98,Deltakerliste!H$5:H$98)</f>
        <v>4</v>
      </c>
      <c r="H29" s="592">
        <f>VLOOKUP(F29,Deltakerliste!P$6:T$84,G29,FALSE)</f>
        <v>1.6542000000000003</v>
      </c>
      <c r="I29" s="86">
        <v>1.8784722222222223E-2</v>
      </c>
      <c r="J29" s="14"/>
      <c r="K29" s="13"/>
      <c r="L29" s="600">
        <f t="shared" si="2"/>
        <v>9.3923611111111117E-3</v>
      </c>
      <c r="M29" s="594">
        <f>IF(L29="Løype",Poengsammendrag!$F$2,IF(L29="Arr",Poengsammendrag!$F$3,IF(L29="Brutt",50,IF(L29="Disk",50,ROUND(MAXA(100*(MIN(L$10:L$93)/L29),50),0)))))</f>
        <v>58</v>
      </c>
      <c r="N29" s="724">
        <f t="shared" si="3"/>
        <v>5.6778872633968741E-3</v>
      </c>
      <c r="O29" s="596">
        <f>IF(N29="Løype",Poengsammendrag!$F$2,IF(N29="Arr",Poengsammendrag!$F$3,IF(N29="Brutt",50,IF(N29="Disk",50,ROUND(MAXA(100*(MIN(N$10:N$93)/N29),50),0)))))</f>
        <v>71</v>
      </c>
      <c r="Q29" s="672"/>
      <c r="R29" s="672"/>
      <c r="S29" s="803" t="s">
        <v>216</v>
      </c>
      <c r="T29" s="736">
        <v>9.3923611111111117E-3</v>
      </c>
      <c r="U29" s="752">
        <v>58</v>
      </c>
      <c r="V29" s="781"/>
      <c r="W29" s="776" t="s">
        <v>367</v>
      </c>
      <c r="X29" s="740">
        <v>68</v>
      </c>
      <c r="AB29" s="828">
        <f t="shared" si="5"/>
        <v>74</v>
      </c>
      <c r="AC29" s="829">
        <f t="shared" si="4"/>
        <v>3</v>
      </c>
    </row>
    <row r="30" spans="2:29" ht="21" thickBot="1" x14ac:dyDescent="0.3">
      <c r="B30" s="16">
        <f t="shared" si="0"/>
        <v>21</v>
      </c>
      <c r="C30" s="106" t="s">
        <v>122</v>
      </c>
      <c r="D30" s="107" t="s">
        <v>123</v>
      </c>
      <c r="E30" s="599" t="str">
        <f t="shared" si="1"/>
        <v>MartinMelhuus</v>
      </c>
      <c r="F30" s="192">
        <f>YEAR(I$5)-_xlfn.XLOOKUP(E30,Deltakerliste!E$5:E$98,Deltakerliste!I$5:I$98)</f>
        <v>81</v>
      </c>
      <c r="G30" s="192">
        <f>_xlfn.XLOOKUP(E30,Deltakerliste!E$5:E$98,Deltakerliste!H$5:H$98)</f>
        <v>2</v>
      </c>
      <c r="H30" s="592">
        <f>VLOOKUP(F30,Deltakerliste!P$6:T$84,G30,FALSE)</f>
        <v>1.9290000000000003</v>
      </c>
      <c r="I30" s="13">
        <v>1.9618055555555555E-2</v>
      </c>
      <c r="J30" s="13"/>
      <c r="K30" s="13"/>
      <c r="L30" s="600">
        <f t="shared" si="2"/>
        <v>9.8090277777777776E-3</v>
      </c>
      <c r="M30" s="594">
        <f>IF(L30="Løype",Poengsammendrag!$F$2,IF(L30="Arr",Poengsammendrag!$F$3,IF(L30="Brutt",50,IF(L30="Disk",50,ROUND(MAXA(100*(MIN(L$10:L$93)/L30),50),0)))))</f>
        <v>55</v>
      </c>
      <c r="N30" s="724">
        <f t="shared" si="3"/>
        <v>5.0850325442082824E-3</v>
      </c>
      <c r="O30" s="596">
        <f>IF(N30="Løype",Poengsammendrag!$F$2,IF(N30="Arr",Poengsammendrag!$F$3,IF(N30="Brutt",50,IF(N30="Disk",50,ROUND(MAXA(100*(MIN(N$10:N$93)/N30),50),0)))))</f>
        <v>79</v>
      </c>
      <c r="Q30" s="672"/>
      <c r="R30" s="672"/>
      <c r="S30" s="803" t="s">
        <v>122</v>
      </c>
      <c r="T30" s="736">
        <v>9.8090277777777776E-3</v>
      </c>
      <c r="U30" s="752">
        <v>55</v>
      </c>
      <c r="V30" s="781"/>
      <c r="W30" s="776" t="s">
        <v>350</v>
      </c>
      <c r="X30" s="740">
        <v>68</v>
      </c>
      <c r="AB30" s="828">
        <f t="shared" si="5"/>
        <v>75</v>
      </c>
      <c r="AC30" s="829">
        <f t="shared" si="4"/>
        <v>2</v>
      </c>
    </row>
    <row r="31" spans="2:29" ht="21" customHeight="1" thickBot="1" x14ac:dyDescent="0.3">
      <c r="B31" s="16">
        <f t="shared" si="0"/>
        <v>22</v>
      </c>
      <c r="C31" s="106" t="s">
        <v>64</v>
      </c>
      <c r="D31" s="107" t="s">
        <v>366</v>
      </c>
      <c r="E31" s="599" t="str">
        <f t="shared" si="1"/>
        <v>BjørnHafskjold</v>
      </c>
      <c r="F31" s="192">
        <f>YEAR(I$5)-_xlfn.XLOOKUP(E31,Deltakerliste!E$5:E$98,Deltakerliste!I$5:I$98)</f>
        <v>78</v>
      </c>
      <c r="G31" s="192">
        <f>_xlfn.XLOOKUP(E31,Deltakerliste!E$5:E$98,Deltakerliste!H$5:H$98)</f>
        <v>2</v>
      </c>
      <c r="H31" s="592">
        <f>VLOOKUP(F31,Deltakerliste!P$6:T$84,G31,FALSE)</f>
        <v>1.7550000000000001</v>
      </c>
      <c r="I31" s="14">
        <v>2.0659722222222222E-2</v>
      </c>
      <c r="J31" s="14"/>
      <c r="K31" s="18"/>
      <c r="L31" s="600">
        <f t="shared" si="2"/>
        <v>1.0329861111111111E-2</v>
      </c>
      <c r="M31" s="594">
        <f>IF(L31="Løype",Poengsammendrag!$F$2,IF(L31="Arr",Poengsammendrag!$F$3,IF(L31="Brutt",50,IF(L31="Disk",50,ROUND(MAXA(100*(MIN(L$10:L$93)/L31),50),0)))))</f>
        <v>52</v>
      </c>
      <c r="N31" s="724">
        <f t="shared" si="3"/>
        <v>5.8859607470718575E-3</v>
      </c>
      <c r="O31" s="596">
        <f>IF(N31="Løype",Poengsammendrag!$F$2,IF(N31="Arr",Poengsammendrag!$F$3,IF(N31="Brutt",50,IF(N31="Disk",50,ROUND(MAXA(100*(MIN(N$10:N$93)/N31),50),0)))))</f>
        <v>68</v>
      </c>
      <c r="Q31" s="672"/>
      <c r="R31" s="672"/>
      <c r="S31" s="803" t="s">
        <v>367</v>
      </c>
      <c r="T31" s="736">
        <v>1.0329861111111111E-2</v>
      </c>
      <c r="U31" s="752">
        <v>52</v>
      </c>
      <c r="V31" s="781"/>
      <c r="W31" s="776" t="s">
        <v>101</v>
      </c>
      <c r="X31" s="740">
        <v>68</v>
      </c>
      <c r="AB31" s="828">
        <f t="shared" si="5"/>
        <v>76</v>
      </c>
      <c r="AC31" s="829">
        <f t="shared" si="4"/>
        <v>0</v>
      </c>
    </row>
    <row r="32" spans="2:29" ht="21" customHeight="1" thickBot="1" x14ac:dyDescent="0.3">
      <c r="B32" s="16">
        <f t="shared" si="0"/>
        <v>23</v>
      </c>
      <c r="C32" s="106" t="s">
        <v>78</v>
      </c>
      <c r="D32" s="107" t="s">
        <v>146</v>
      </c>
      <c r="E32" s="599" t="str">
        <f t="shared" si="1"/>
        <v>LeifRøhjell</v>
      </c>
      <c r="F32" s="192">
        <f>YEAR(I$5)-_xlfn.XLOOKUP(E32,Deltakerliste!E$5:E$98,Deltakerliste!I$5:I$98)</f>
        <v>81</v>
      </c>
      <c r="G32" s="192">
        <f>_xlfn.XLOOKUP(E32,Deltakerliste!E$5:E$98,Deltakerliste!H$5:H$98)</f>
        <v>2</v>
      </c>
      <c r="H32" s="592">
        <f>VLOOKUP(F32,Deltakerliste!P$6:T$84,G32,FALSE)</f>
        <v>1.9290000000000003</v>
      </c>
      <c r="I32" s="132">
        <v>2.1701388888888888E-2</v>
      </c>
      <c r="J32" s="18"/>
      <c r="K32" s="18"/>
      <c r="L32" s="600">
        <f t="shared" si="2"/>
        <v>1.0850694444444444E-2</v>
      </c>
      <c r="M32" s="594">
        <f>IF(L32="Løype",Poengsammendrag!$F$2,IF(L32="Arr",Poengsammendrag!$F$3,IF(L32="Brutt",50,IF(L32="Disk",50,ROUND(MAXA(100*(MIN(L$10:L$93)/L32),50),0)))))</f>
        <v>50</v>
      </c>
      <c r="N32" s="724">
        <f t="shared" si="3"/>
        <v>5.6250360002304007E-3</v>
      </c>
      <c r="O32" s="596">
        <f>IF(N32="Løype",Poengsammendrag!$F$2,IF(N32="Arr",Poengsammendrag!$F$3,IF(N32="Brutt",50,IF(N32="Disk",50,ROUND(MAXA(100*(MIN(N$10:N$93)/N32),50),0)))))</f>
        <v>71</v>
      </c>
      <c r="S32" s="803" t="s">
        <v>337</v>
      </c>
      <c r="T32" s="736">
        <v>1.0850694444444444E-2</v>
      </c>
      <c r="U32" s="752">
        <v>50</v>
      </c>
      <c r="V32" s="781"/>
      <c r="W32" s="776" t="s">
        <v>345</v>
      </c>
      <c r="X32" s="740">
        <v>67</v>
      </c>
      <c r="AB32" s="828">
        <f t="shared" si="5"/>
        <v>77</v>
      </c>
      <c r="AC32" s="829">
        <f t="shared" si="4"/>
        <v>2</v>
      </c>
    </row>
    <row r="33" spans="2:29" ht="21" customHeight="1" thickBot="1" x14ac:dyDescent="0.3">
      <c r="B33" s="16">
        <f t="shared" si="0"/>
        <v>24</v>
      </c>
      <c r="C33" s="106" t="s">
        <v>161</v>
      </c>
      <c r="D33" s="107" t="s">
        <v>162</v>
      </c>
      <c r="E33" s="599" t="str">
        <f t="shared" si="1"/>
        <v>Nils OlavVennevik</v>
      </c>
      <c r="F33" s="192">
        <f>YEAR(I$5)-_xlfn.XLOOKUP(E33,Deltakerliste!E$5:E$98,Deltakerliste!I$5:I$98)</f>
        <v>77</v>
      </c>
      <c r="G33" s="192">
        <f>_xlfn.XLOOKUP(E33,Deltakerliste!E$5:E$98,Deltakerliste!H$5:H$98)</f>
        <v>2</v>
      </c>
      <c r="H33" s="592">
        <f>VLOOKUP(F33,Deltakerliste!P$6:T$84,G33,FALSE)</f>
        <v>1.7050000000000001</v>
      </c>
      <c r="I33" s="132">
        <v>2.6215277777777778E-2</v>
      </c>
      <c r="J33" s="18"/>
      <c r="K33" s="18"/>
      <c r="L33" s="600">
        <f t="shared" si="2"/>
        <v>1.3107638888888889E-2</v>
      </c>
      <c r="M33" s="594">
        <f>IF(L33="Løype",Poengsammendrag!$F$2,IF(L33="Arr",Poengsammendrag!$F$3,IF(L33="Brutt",50,IF(L33="Disk",50,ROUND(MAXA(100*(MIN(L$10:L$93)/L33),50),0)))))</f>
        <v>50</v>
      </c>
      <c r="N33" s="724">
        <f t="shared" si="3"/>
        <v>7.6877647442163567E-3</v>
      </c>
      <c r="O33" s="596">
        <f>IF(N33="Løype",Poengsammendrag!$F$2,IF(N33="Arr",Poengsammendrag!$F$3,IF(N33="Brutt",50,IF(N33="Disk",50,ROUND(MAXA(100*(MIN(N$10:N$93)/N33),50),0)))))</f>
        <v>52</v>
      </c>
      <c r="S33" s="803" t="s">
        <v>161</v>
      </c>
      <c r="T33" s="736">
        <v>1.3107638888888889E-2</v>
      </c>
      <c r="U33" s="752">
        <v>50</v>
      </c>
      <c r="V33" s="781"/>
      <c r="W33" s="776" t="s">
        <v>356</v>
      </c>
      <c r="X33" s="740">
        <v>53</v>
      </c>
      <c r="AB33" s="828">
        <f t="shared" si="5"/>
        <v>78</v>
      </c>
      <c r="AC33" s="829">
        <f t="shared" si="4"/>
        <v>2</v>
      </c>
    </row>
    <row r="34" spans="2:29" ht="21" customHeight="1" thickBot="1" x14ac:dyDescent="0.3">
      <c r="B34" s="16">
        <f t="shared" si="0"/>
        <v>25</v>
      </c>
      <c r="C34" s="106" t="s">
        <v>263</v>
      </c>
      <c r="D34" s="107" t="s">
        <v>264</v>
      </c>
      <c r="E34" s="599" t="str">
        <f t="shared" si="1"/>
        <v>RuneHolt</v>
      </c>
      <c r="F34" s="192">
        <f>YEAR(I$5)-_xlfn.XLOOKUP(E34,Deltakerliste!E$5:E$98,Deltakerliste!I$5:I$98)</f>
        <v>72</v>
      </c>
      <c r="G34" s="192">
        <f>_xlfn.XLOOKUP(E34,Deltakerliste!E$5:E$98,Deltakerliste!H$5:H$98)</f>
        <v>2</v>
      </c>
      <c r="H34" s="592">
        <f>VLOOKUP(F34,Deltakerliste!P$6:T$84,G34,FALSE)</f>
        <v>1.4969999999999999</v>
      </c>
      <c r="I34" s="86">
        <v>2.6909722222222224E-2</v>
      </c>
      <c r="J34" s="86"/>
      <c r="K34" s="17"/>
      <c r="L34" s="600">
        <f t="shared" si="2"/>
        <v>1.3454861111111112E-2</v>
      </c>
      <c r="M34" s="594">
        <f>IF(L34="Løype",Poengsammendrag!$F$2,IF(L34="Arr",Poengsammendrag!$F$3,IF(L34="Brutt",50,IF(L34="Disk",50,ROUND(MAXA(100*(MIN(L$10:L$93)/L34),50),0)))))</f>
        <v>50</v>
      </c>
      <c r="N34" s="724">
        <f t="shared" si="3"/>
        <v>8.9878831737549188E-3</v>
      </c>
      <c r="O34" s="596">
        <f>IF(N34="Løype",Poengsammendrag!$F$2,IF(N34="Arr",Poengsammendrag!$F$3,IF(N34="Brutt",50,IF(N34="Disk",50,ROUND(MAXA(100*(MIN(N$10:N$93)/N34),50),0)))))</f>
        <v>50</v>
      </c>
      <c r="S34" s="803" t="s">
        <v>263</v>
      </c>
      <c r="T34" s="736">
        <v>1.3454861111111112E-2</v>
      </c>
      <c r="U34" s="752">
        <v>50</v>
      </c>
      <c r="V34" s="781"/>
      <c r="W34" s="776" t="s">
        <v>161</v>
      </c>
      <c r="X34" s="740">
        <v>52</v>
      </c>
      <c r="AB34" s="828">
        <f t="shared" si="5"/>
        <v>79</v>
      </c>
      <c r="AC34" s="829">
        <f t="shared" si="4"/>
        <v>1</v>
      </c>
    </row>
    <row r="35" spans="2:29" ht="21" customHeight="1" thickBot="1" x14ac:dyDescent="0.3">
      <c r="B35" s="16">
        <f t="shared" si="0"/>
        <v>26</v>
      </c>
      <c r="C35" s="106" t="s">
        <v>142</v>
      </c>
      <c r="D35" s="107" t="s">
        <v>143</v>
      </c>
      <c r="E35" s="599" t="str">
        <f t="shared" si="1"/>
        <v>EgilRepvik</v>
      </c>
      <c r="F35" s="192">
        <f>YEAR(I$5)-_xlfn.XLOOKUP(E35,Deltakerliste!E$5:E$98,Deltakerliste!I$5:I$98)</f>
        <v>79</v>
      </c>
      <c r="G35" s="192">
        <f>_xlfn.XLOOKUP(E35,Deltakerliste!E$5:E$98,Deltakerliste!H$5:H$98)</f>
        <v>2</v>
      </c>
      <c r="H35" s="592">
        <f>VLOOKUP(F35,Deltakerliste!P$6:T$84,G35,FALSE)</f>
        <v>1.8050000000000002</v>
      </c>
      <c r="I35" s="132">
        <v>2.7060185185185184E-2</v>
      </c>
      <c r="J35" s="18"/>
      <c r="K35" s="18"/>
      <c r="L35" s="600">
        <f t="shared" si="2"/>
        <v>1.3530092592592592E-2</v>
      </c>
      <c r="M35" s="594">
        <f>IF(L35="Løype",Poengsammendrag!$F$2,IF(L35="Arr",Poengsammendrag!$F$3,IF(L35="Brutt",50,IF(L35="Disk",50,ROUND(MAXA(100*(MIN(L$10:L$93)/L35),50),0)))))</f>
        <v>50</v>
      </c>
      <c r="N35" s="724">
        <f t="shared" si="3"/>
        <v>7.495896173181491E-3</v>
      </c>
      <c r="O35" s="596">
        <f>IF(N35="Løype",Poengsammendrag!$F$2,IF(N35="Arr",Poengsammendrag!$F$3,IF(N35="Brutt",50,IF(N35="Disk",50,ROUND(MAXA(100*(MIN(N$10:N$93)/N35),50),0)))))</f>
        <v>53</v>
      </c>
      <c r="S35" s="803" t="s">
        <v>356</v>
      </c>
      <c r="T35" s="736">
        <v>1.3530092592592592E-2</v>
      </c>
      <c r="U35" s="752">
        <v>50</v>
      </c>
      <c r="V35" s="781"/>
      <c r="W35" s="776" t="s">
        <v>263</v>
      </c>
      <c r="X35" s="740">
        <v>50</v>
      </c>
      <c r="AB35" s="828">
        <f t="shared" si="5"/>
        <v>80</v>
      </c>
      <c r="AC35" s="829">
        <f t="shared" si="4"/>
        <v>0</v>
      </c>
    </row>
    <row r="36" spans="2:29" ht="21" thickBot="1" x14ac:dyDescent="0.3">
      <c r="B36" s="16">
        <f t="shared" si="0"/>
        <v>27</v>
      </c>
      <c r="C36" s="106" t="s">
        <v>389</v>
      </c>
      <c r="D36" s="107" t="s">
        <v>390</v>
      </c>
      <c r="E36" s="599" t="str">
        <f t="shared" si="1"/>
        <v>Randi NesjeMyhr</v>
      </c>
      <c r="F36" s="192"/>
      <c r="G36" s="192"/>
      <c r="H36" s="592"/>
      <c r="I36" s="13">
        <v>3.5138888888888886E-2</v>
      </c>
      <c r="J36" s="13"/>
      <c r="K36" s="13"/>
      <c r="L36" s="600">
        <f t="shared" si="2"/>
        <v>1.7569444444444443E-2</v>
      </c>
      <c r="M36" s="594">
        <f>IF(L36="Løype",Poengsammendrag!$F$2,IF(L36="Arr",Poengsammendrag!$F$3,IF(L36="Brutt",50,IF(L36="Disk",50,ROUND(MAXA(100*(MIN(L$10:L$93)/L36),50),0)))))</f>
        <v>50</v>
      </c>
      <c r="N36" s="724"/>
      <c r="O36" s="596"/>
      <c r="S36" s="803" t="s">
        <v>389</v>
      </c>
      <c r="T36" s="736">
        <v>1.7569444444444443E-2</v>
      </c>
      <c r="U36" s="752">
        <v>50</v>
      </c>
      <c r="V36" s="781"/>
      <c r="W36" s="776" t="s">
        <v>86</v>
      </c>
      <c r="X36" s="740">
        <v>94</v>
      </c>
      <c r="AB36" s="828">
        <f t="shared" si="5"/>
        <v>81</v>
      </c>
      <c r="AC36" s="829">
        <f t="shared" si="4"/>
        <v>2</v>
      </c>
    </row>
    <row r="37" spans="2:29" ht="21" customHeight="1" thickBot="1" x14ac:dyDescent="0.3">
      <c r="B37" s="16">
        <f t="shared" si="0"/>
        <v>28</v>
      </c>
      <c r="C37" s="106" t="s">
        <v>86</v>
      </c>
      <c r="D37" s="107" t="s">
        <v>87</v>
      </c>
      <c r="E37" s="599" t="str">
        <f t="shared" si="1"/>
        <v>KristianFougner</v>
      </c>
      <c r="F37" s="192">
        <f>YEAR(I$5)-_xlfn.XLOOKUP(E37,Deltakerliste!E$5:E$98,Deltakerliste!I$5:I$98)</f>
        <v>75</v>
      </c>
      <c r="G37" s="192">
        <f>_xlfn.XLOOKUP(E37,Deltakerliste!E$5:E$98,Deltakerliste!H$5:H$98)</f>
        <v>2</v>
      </c>
      <c r="H37" s="592">
        <f>VLOOKUP(F37,Deltakerliste!P$6:T$84,G37,FALSE)</f>
        <v>1.605</v>
      </c>
      <c r="I37" s="853"/>
      <c r="J37" s="86" t="s">
        <v>7</v>
      </c>
      <c r="K37" s="13"/>
      <c r="L37" s="600" t="str">
        <f t="shared" si="2"/>
        <v>Arr</v>
      </c>
      <c r="M37" s="594">
        <f>IF(L37="Løype",Poengsammendrag!$F$2,IF(L37="Arr",Poengsammendrag!$F$3,IF(L37="Brutt",50,IF(L37="Disk",50,ROUND(MAXA(100*(MIN(L$10:L$93)/L37),50),0)))))</f>
        <v>94</v>
      </c>
      <c r="N37" s="724" t="str">
        <f>IF(L37="Arr","Arr",IF(L37="Brutt","Brutt",IF(L37="Løype","Løype",L37/H37)))</f>
        <v>Arr</v>
      </c>
      <c r="O37" s="596">
        <f>IF(N37="Løype",Poengsammendrag!$F$2,IF(N37="Arr",Poengsammendrag!$F$3,IF(N37="Brutt",50,IF(N37="Disk",50,ROUND(MAXA(100*(MIN(N$10:N$93)/N37),50),0)))))</f>
        <v>94</v>
      </c>
      <c r="S37" s="803" t="s">
        <v>86</v>
      </c>
      <c r="T37" s="736" t="s">
        <v>7</v>
      </c>
      <c r="U37" s="752">
        <v>94</v>
      </c>
      <c r="V37" s="781"/>
      <c r="W37" s="776" t="s">
        <v>338</v>
      </c>
      <c r="X37" s="740">
        <v>50</v>
      </c>
      <c r="AB37" s="828">
        <f t="shared" si="5"/>
        <v>82</v>
      </c>
      <c r="AC37" s="829">
        <f t="shared" si="4"/>
        <v>2</v>
      </c>
    </row>
    <row r="38" spans="2:29" ht="21" customHeight="1" thickBot="1" x14ac:dyDescent="0.3">
      <c r="B38" s="16">
        <f t="shared" si="0"/>
        <v>29</v>
      </c>
      <c r="C38" s="106" t="s">
        <v>78</v>
      </c>
      <c r="D38" s="107" t="s">
        <v>79</v>
      </c>
      <c r="E38" s="599" t="str">
        <f t="shared" si="1"/>
        <v>LeifEngen</v>
      </c>
      <c r="F38" s="192">
        <f>YEAR(I$5)-_xlfn.XLOOKUP(E38,Deltakerliste!E$5:E$98,Deltakerliste!I$5:I$98)</f>
        <v>84</v>
      </c>
      <c r="G38" s="192">
        <f>_xlfn.XLOOKUP(E38,Deltakerliste!E$5:E$98,Deltakerliste!H$5:H$98)</f>
        <v>2</v>
      </c>
      <c r="H38" s="592">
        <f>VLOOKUP(F38,Deltakerliste!P$6:T$84,G38,FALSE)</f>
        <v>2.1509999999999998</v>
      </c>
      <c r="I38" s="86" t="s">
        <v>306</v>
      </c>
      <c r="J38" s="86"/>
      <c r="K38" s="13"/>
      <c r="L38" s="600" t="str">
        <f t="shared" si="2"/>
        <v>Brutt</v>
      </c>
      <c r="M38" s="594">
        <f>IF(L38="Løype",Poengsammendrag!$F$2,IF(L38="Arr",Poengsammendrag!$F$3,IF(L38="Brutt",50,IF(L38="Disk",50,ROUND(MAXA(100*(MIN(L$10:L$93)/L38),50),0)))))</f>
        <v>50</v>
      </c>
      <c r="N38" s="724" t="str">
        <f>IF(L38="Arr","Arr",IF(L38="Brutt","Brutt",IF(L38="Løype","Løype",L38/H38)))</f>
        <v>Brutt</v>
      </c>
      <c r="O38" s="596">
        <f>IF(N38="Løype",Poengsammendrag!$F$2,IF(N38="Arr",Poengsammendrag!$F$3,IF(N38="Brutt",50,IF(N38="Disk",50,ROUND(MAXA(100*(MIN(N$10:N$93)/N38),50),0)))))</f>
        <v>50</v>
      </c>
      <c r="S38" s="803" t="s">
        <v>338</v>
      </c>
      <c r="T38" s="736" t="s">
        <v>306</v>
      </c>
      <c r="U38" s="752">
        <v>50</v>
      </c>
      <c r="V38" s="781"/>
      <c r="W38" s="776" t="s">
        <v>82</v>
      </c>
      <c r="X38" s="740">
        <v>50</v>
      </c>
      <c r="AB38" s="828">
        <f t="shared" si="5"/>
        <v>83</v>
      </c>
      <c r="AC38" s="829">
        <f t="shared" si="4"/>
        <v>0</v>
      </c>
    </row>
    <row r="39" spans="2:29" ht="21" customHeight="1" thickBot="1" x14ac:dyDescent="0.3">
      <c r="B39" s="16">
        <f t="shared" si="0"/>
        <v>30</v>
      </c>
      <c r="C39" s="106" t="s">
        <v>82</v>
      </c>
      <c r="D39" s="107" t="s">
        <v>83</v>
      </c>
      <c r="E39" s="599" t="str">
        <f t="shared" si="1"/>
        <v>RoarForbord</v>
      </c>
      <c r="F39" s="192">
        <f>YEAR(I$5)-_xlfn.XLOOKUP(E39,Deltakerliste!E$5:E$98,Deltakerliste!I$5:I$98)</f>
        <v>82</v>
      </c>
      <c r="G39" s="192">
        <f>_xlfn.XLOOKUP(E39,Deltakerliste!E$5:E$98,Deltakerliste!H$5:H$98)</f>
        <v>2</v>
      </c>
      <c r="H39" s="592">
        <f>VLOOKUP(F39,Deltakerliste!P$6:T$84,G39,FALSE)</f>
        <v>2.0030000000000001</v>
      </c>
      <c r="I39" s="86"/>
      <c r="J39" s="86" t="s">
        <v>306</v>
      </c>
      <c r="K39" s="13"/>
      <c r="L39" s="600" t="str">
        <f t="shared" si="2"/>
        <v>Brutt</v>
      </c>
      <c r="M39" s="594">
        <f>IF(L39="Løype",Poengsammendrag!$F$2,IF(L39="Arr",Poengsammendrag!$F$3,IF(L39="Brutt",50,IF(L39="Disk",50,ROUND(MAXA(100*(MIN(L$10:L$93)/L39),50),0)))))</f>
        <v>50</v>
      </c>
      <c r="N39" s="724" t="str">
        <f>IF(L39="Arr","Arr",IF(L39="Brutt","Brutt",IF(L39="Løype","Løype",L39/H39)))</f>
        <v>Brutt</v>
      </c>
      <c r="O39" s="596">
        <f>IF(N39="Løype",Poengsammendrag!$F$2,IF(N39="Arr",Poengsammendrag!$F$3,IF(N39="Brutt",50,IF(N39="Disk",50,ROUND(MAXA(100*(MIN(N$10:N$93)/N39),50),0)))))</f>
        <v>50</v>
      </c>
      <c r="S39" s="803" t="s">
        <v>82</v>
      </c>
      <c r="T39" s="736" t="s">
        <v>306</v>
      </c>
      <c r="U39" s="752">
        <v>50</v>
      </c>
      <c r="V39" s="781"/>
      <c r="W39" s="776" t="s">
        <v>136</v>
      </c>
      <c r="X39" s="740">
        <v>100</v>
      </c>
      <c r="AB39" s="828">
        <f t="shared" si="5"/>
        <v>84</v>
      </c>
      <c r="AC39" s="829">
        <f t="shared" si="4"/>
        <v>1</v>
      </c>
    </row>
    <row r="40" spans="2:29" ht="21" thickBot="1" x14ac:dyDescent="0.3">
      <c r="B40" s="16">
        <f t="shared" si="0"/>
        <v>31</v>
      </c>
      <c r="C40" s="106" t="s">
        <v>136</v>
      </c>
      <c r="D40" s="107" t="s">
        <v>137</v>
      </c>
      <c r="E40" s="599" t="str">
        <f t="shared" si="1"/>
        <v>HaraldOftedal</v>
      </c>
      <c r="F40" s="192">
        <f>YEAR(I$5)-_xlfn.XLOOKUP(E40,Deltakerliste!E$5:E$98,Deltakerliste!I$5:I$98)</f>
        <v>73</v>
      </c>
      <c r="G40" s="192">
        <f>_xlfn.XLOOKUP(E40,Deltakerliste!E$5:E$98,Deltakerliste!H$5:H$98)</f>
        <v>2</v>
      </c>
      <c r="H40" s="592">
        <f>VLOOKUP(F40,Deltakerliste!P$6:T$84,G40,FALSE)</f>
        <v>1.5329999999999999</v>
      </c>
      <c r="I40" s="132"/>
      <c r="J40" s="132" t="s">
        <v>62</v>
      </c>
      <c r="K40" s="134"/>
      <c r="L40" s="600" t="str">
        <f t="shared" si="2"/>
        <v>Løype</v>
      </c>
      <c r="M40" s="594">
        <f>IF(L40="Løype",Poengsammendrag!$F$2,IF(L40="Arr",Poengsammendrag!$F$3,IF(L40="Brutt",50,IF(L40="Disk",50,ROUND(MAXA(100*(MIN(L$10:L$93)/L40),50),0)))))</f>
        <v>100</v>
      </c>
      <c r="N40" s="724" t="str">
        <f>IF(L40="Arr","Arr",IF(L40="Brutt","Brutt",IF(L40="Løype","Løype",L40/H40)))</f>
        <v>Løype</v>
      </c>
      <c r="O40" s="596">
        <f>IF(N40="Løype",Poengsammendrag!$F$2,IF(N40="Arr",Poengsammendrag!$F$3,IF(N40="Brutt",50,IF(N40="Disk",50,ROUND(MAXA(100*(MIN(N$10:N$93)/N40),50),0)))))</f>
        <v>100</v>
      </c>
      <c r="S40" s="803" t="s">
        <v>136</v>
      </c>
      <c r="T40" s="736" t="s">
        <v>62</v>
      </c>
      <c r="U40" s="752">
        <v>100</v>
      </c>
      <c r="V40" s="781"/>
      <c r="W40" s="776" t="s">
        <v>389</v>
      </c>
      <c r="X40" s="740"/>
      <c r="AB40" s="828">
        <f t="shared" si="5"/>
        <v>85</v>
      </c>
      <c r="AC40" s="829">
        <f t="shared" si="4"/>
        <v>0</v>
      </c>
    </row>
    <row r="41" spans="2:29" ht="21" thickBot="1" x14ac:dyDescent="0.3">
      <c r="B41" s="16">
        <f t="shared" si="0"/>
        <v>32</v>
      </c>
      <c r="C41" s="106" t="s">
        <v>60</v>
      </c>
      <c r="D41" s="107" t="s">
        <v>61</v>
      </c>
      <c r="E41" s="599" t="str">
        <f t="shared" si="1"/>
        <v>JosteinAlvestad</v>
      </c>
      <c r="F41" s="192">
        <f>YEAR(I$5)-_xlfn.XLOOKUP(E41,Deltakerliste!E$5:E$98,Deltakerliste!I$5:I$98)</f>
        <v>70</v>
      </c>
      <c r="G41" s="192">
        <f>_xlfn.XLOOKUP(E41,Deltakerliste!E$5:E$98,Deltakerliste!H$5:H$98)</f>
        <v>2</v>
      </c>
      <c r="H41" s="592">
        <f>VLOOKUP(F41,Deltakerliste!P$6:T$84,G41,FALSE)</f>
        <v>1.4249999999999998</v>
      </c>
      <c r="I41" s="13"/>
      <c r="J41" s="13"/>
      <c r="K41" s="17"/>
      <c r="L41" s="600"/>
      <c r="M41" s="594"/>
      <c r="N41" s="724"/>
      <c r="O41" s="596"/>
      <c r="S41" s="803"/>
      <c r="T41" s="736"/>
      <c r="U41" s="752"/>
      <c r="V41" s="781"/>
      <c r="W41" s="776"/>
      <c r="X41" s="740"/>
      <c r="AB41" s="828">
        <f t="shared" si="5"/>
        <v>86</v>
      </c>
      <c r="AC41" s="829">
        <f t="shared" si="4"/>
        <v>0</v>
      </c>
    </row>
    <row r="42" spans="2:29" ht="21" customHeight="1" thickBot="1" x14ac:dyDescent="0.3">
      <c r="B42" s="16">
        <f t="shared" ref="B42:B74" si="6">B41+1</f>
        <v>33</v>
      </c>
      <c r="C42" s="106" t="s">
        <v>66</v>
      </c>
      <c r="D42" s="107" t="s">
        <v>67</v>
      </c>
      <c r="E42" s="599" t="str">
        <f t="shared" ref="E42:E73" si="7">_xlfn.CONCAT(C42:D42)</f>
        <v>FrankBjarkø</v>
      </c>
      <c r="F42" s="192">
        <f>YEAR(I$5)-_xlfn.XLOOKUP(E42,Deltakerliste!E$5:E$98,Deltakerliste!I$5:I$98)</f>
        <v>73</v>
      </c>
      <c r="G42" s="192">
        <f>_xlfn.XLOOKUP(E42,Deltakerliste!E$5:E$98,Deltakerliste!H$5:H$98)</f>
        <v>2</v>
      </c>
      <c r="H42" s="592">
        <f>VLOOKUP(F42,Deltakerliste!P$6:T$84,G42,FALSE)</f>
        <v>1.5329999999999999</v>
      </c>
      <c r="I42" s="13"/>
      <c r="J42" s="13"/>
      <c r="K42" s="13"/>
      <c r="L42" s="600"/>
      <c r="M42" s="594"/>
      <c r="N42" s="724"/>
      <c r="O42" s="596"/>
      <c r="S42" s="803"/>
      <c r="T42" s="796"/>
      <c r="U42" s="765"/>
      <c r="V42" s="782"/>
      <c r="W42" s="777"/>
      <c r="X42" s="762"/>
      <c r="AB42" s="828">
        <f t="shared" si="5"/>
        <v>87</v>
      </c>
      <c r="AC42" s="829">
        <f t="shared" si="4"/>
        <v>0</v>
      </c>
    </row>
    <row r="43" spans="2:29" ht="21" thickBot="1" x14ac:dyDescent="0.3">
      <c r="B43" s="16">
        <f t="shared" si="6"/>
        <v>34</v>
      </c>
      <c r="C43" s="106" t="s">
        <v>364</v>
      </c>
      <c r="D43" s="107" t="s">
        <v>365</v>
      </c>
      <c r="E43" s="599" t="str">
        <f t="shared" si="7"/>
        <v>GerdBjørset</v>
      </c>
      <c r="F43" s="192">
        <f>YEAR(I$5)-_xlfn.XLOOKUP(E43,Deltakerliste!E$5:E$98,Deltakerliste!I$5:I$98)</f>
        <v>71</v>
      </c>
      <c r="G43" s="192">
        <f>_xlfn.XLOOKUP(E43,Deltakerliste!E$5:E$98,Deltakerliste!H$5:H$98)</f>
        <v>4</v>
      </c>
      <c r="H43" s="592">
        <f>VLOOKUP(F43,Deltakerliste!P$6:T$84,G43,FALSE)</f>
        <v>1.9926000000000013</v>
      </c>
      <c r="I43" s="13"/>
      <c r="J43" s="13"/>
      <c r="K43" s="13"/>
      <c r="L43" s="600"/>
      <c r="M43" s="594"/>
      <c r="N43" s="724"/>
      <c r="O43" s="596"/>
      <c r="S43" s="803"/>
      <c r="T43" s="797"/>
      <c r="U43" s="770"/>
      <c r="V43" s="778"/>
      <c r="W43" s="783"/>
      <c r="X43" s="740"/>
      <c r="AB43" s="828">
        <f t="shared" si="5"/>
        <v>88</v>
      </c>
      <c r="AC43" s="829">
        <f t="shared" si="4"/>
        <v>0</v>
      </c>
    </row>
    <row r="44" spans="2:29" ht="21" customHeight="1" thickBot="1" x14ac:dyDescent="0.3">
      <c r="B44" s="16">
        <f t="shared" si="6"/>
        <v>35</v>
      </c>
      <c r="C44" s="106" t="s">
        <v>64</v>
      </c>
      <c r="D44" s="107" t="s">
        <v>267</v>
      </c>
      <c r="E44" s="599" t="str">
        <f t="shared" si="7"/>
        <v>BjørnBrenne</v>
      </c>
      <c r="F44" s="192">
        <f>YEAR(I$5)-_xlfn.XLOOKUP(E44,Deltakerliste!E$5:E$98,Deltakerliste!I$5:I$98)</f>
        <v>80</v>
      </c>
      <c r="G44" s="192">
        <f>_xlfn.XLOOKUP(E44,Deltakerliste!E$5:E$98,Deltakerliste!H$5:H$98)</f>
        <v>2</v>
      </c>
      <c r="H44" s="592">
        <f>VLOOKUP(F44,Deltakerliste!P$6:T$84,G44,FALSE)</f>
        <v>1.8550000000000002</v>
      </c>
      <c r="I44" s="86"/>
      <c r="J44" s="86"/>
      <c r="K44" s="13"/>
      <c r="L44" s="600"/>
      <c r="M44" s="594"/>
      <c r="N44" s="724"/>
      <c r="O44" s="596"/>
      <c r="S44" s="803"/>
      <c r="T44" s="797"/>
      <c r="U44" s="770"/>
      <c r="V44" s="772"/>
      <c r="W44" s="783"/>
      <c r="X44" s="740"/>
      <c r="AB44" s="828">
        <f t="shared" si="5"/>
        <v>89</v>
      </c>
      <c r="AC44" s="829">
        <f t="shared" si="4"/>
        <v>0</v>
      </c>
    </row>
    <row r="45" spans="2:29" ht="21" thickBot="1" x14ac:dyDescent="0.3">
      <c r="B45" s="16">
        <f t="shared" si="6"/>
        <v>36</v>
      </c>
      <c r="C45" s="106" t="s">
        <v>70</v>
      </c>
      <c r="D45" s="107" t="s">
        <v>71</v>
      </c>
      <c r="E45" s="599" t="str">
        <f t="shared" si="7"/>
        <v>TrondDamås</v>
      </c>
      <c r="F45" s="192">
        <f>YEAR(I$5)-_xlfn.XLOOKUP(E45,Deltakerliste!E$5:E$98,Deltakerliste!I$5:I$98)</f>
        <v>75</v>
      </c>
      <c r="G45" s="192">
        <f>_xlfn.XLOOKUP(E45,Deltakerliste!E$5:E$98,Deltakerliste!H$5:H$98)</f>
        <v>2</v>
      </c>
      <c r="H45" s="592">
        <f>VLOOKUP(F45,Deltakerliste!P$6:T$84,G45,FALSE)</f>
        <v>1.605</v>
      </c>
      <c r="I45" s="13"/>
      <c r="J45" s="13"/>
      <c r="K45" s="13"/>
      <c r="L45" s="600"/>
      <c r="M45" s="594"/>
      <c r="N45" s="724"/>
      <c r="O45" s="596"/>
      <c r="S45" s="803"/>
      <c r="T45" s="797"/>
      <c r="U45" s="770"/>
      <c r="V45" s="772"/>
      <c r="W45" s="783"/>
      <c r="X45" s="740"/>
      <c r="AB45" s="828">
        <f t="shared" si="5"/>
        <v>90</v>
      </c>
      <c r="AC45" s="829">
        <f t="shared" si="4"/>
        <v>0</v>
      </c>
    </row>
    <row r="46" spans="2:29" ht="21" thickBot="1" x14ac:dyDescent="0.3">
      <c r="B46" s="16">
        <f t="shared" si="6"/>
        <v>37</v>
      </c>
      <c r="C46" s="106" t="s">
        <v>74</v>
      </c>
      <c r="D46" s="107" t="s">
        <v>75</v>
      </c>
      <c r="E46" s="599" t="str">
        <f t="shared" si="7"/>
        <v>StinaElfving</v>
      </c>
      <c r="F46" s="192">
        <f>YEAR(I$5)-_xlfn.XLOOKUP(E46,Deltakerliste!E$5:E$98,Deltakerliste!I$5:I$98)</f>
        <v>75</v>
      </c>
      <c r="G46" s="192">
        <f>_xlfn.XLOOKUP(E46,Deltakerliste!E$5:E$98,Deltakerliste!H$5:H$98)</f>
        <v>4</v>
      </c>
      <c r="H46" s="592">
        <f>VLOOKUP(F46,Deltakerliste!P$6:T$84,G46,FALSE)</f>
        <v>2.1670000000000016</v>
      </c>
      <c r="I46" s="13"/>
      <c r="J46" s="13"/>
      <c r="K46" s="17"/>
      <c r="L46" s="600"/>
      <c r="M46" s="594"/>
      <c r="N46" s="724"/>
      <c r="O46" s="596"/>
      <c r="S46" s="803"/>
      <c r="T46" s="797"/>
      <c r="U46" s="770"/>
      <c r="V46" s="772"/>
      <c r="W46" s="783"/>
      <c r="X46" s="740"/>
      <c r="AB46" s="828">
        <f t="shared" si="5"/>
        <v>91</v>
      </c>
      <c r="AC46" s="829">
        <f t="shared" si="4"/>
        <v>0</v>
      </c>
    </row>
    <row r="47" spans="2:29" ht="21" customHeight="1" thickBot="1" x14ac:dyDescent="0.3">
      <c r="B47" s="16">
        <f t="shared" si="6"/>
        <v>38</v>
      </c>
      <c r="C47" s="106" t="s">
        <v>76</v>
      </c>
      <c r="D47" s="107" t="s">
        <v>77</v>
      </c>
      <c r="E47" s="599" t="str">
        <f t="shared" si="7"/>
        <v>ReinoldEllingsen</v>
      </c>
      <c r="F47" s="192">
        <f>YEAR(I$5)-_xlfn.XLOOKUP(E47,Deltakerliste!E$5:E$98,Deltakerliste!I$5:I$98)</f>
        <v>74</v>
      </c>
      <c r="G47" s="192">
        <f>_xlfn.XLOOKUP(E47,Deltakerliste!E$5:E$98,Deltakerliste!H$5:H$98)</f>
        <v>2</v>
      </c>
      <c r="H47" s="592">
        <f>VLOOKUP(F47,Deltakerliste!P$6:T$84,G47,FALSE)</f>
        <v>1.569</v>
      </c>
      <c r="I47" s="13"/>
      <c r="J47" s="13"/>
      <c r="K47" s="13"/>
      <c r="L47" s="600"/>
      <c r="M47" s="594"/>
      <c r="N47" s="724"/>
      <c r="O47" s="596"/>
      <c r="S47" s="803"/>
      <c r="T47" s="797"/>
      <c r="U47" s="770"/>
      <c r="V47" s="772"/>
      <c r="W47" s="783"/>
      <c r="X47" s="740"/>
      <c r="AB47" s="828">
        <f t="shared" si="5"/>
        <v>92</v>
      </c>
      <c r="AC47" s="829">
        <f t="shared" si="4"/>
        <v>0</v>
      </c>
    </row>
    <row r="48" spans="2:29" ht="21" customHeight="1" thickBot="1" x14ac:dyDescent="0.3">
      <c r="B48" s="16">
        <f t="shared" si="6"/>
        <v>39</v>
      </c>
      <c r="C48" s="106" t="s">
        <v>80</v>
      </c>
      <c r="D48" s="107" t="s">
        <v>81</v>
      </c>
      <c r="E48" s="599" t="str">
        <f t="shared" si="7"/>
        <v>HalvorFlatberg</v>
      </c>
      <c r="F48" s="192">
        <f>YEAR(I$5)-_xlfn.XLOOKUP(E48,Deltakerliste!E$5:E$98,Deltakerliste!I$5:I$98)</f>
        <v>79</v>
      </c>
      <c r="G48" s="192">
        <f>_xlfn.XLOOKUP(E48,Deltakerliste!E$5:E$98,Deltakerliste!H$5:H$98)</f>
        <v>2</v>
      </c>
      <c r="H48" s="592">
        <f>VLOOKUP(F48,Deltakerliste!P$6:T$84,G48,FALSE)</f>
        <v>1.8050000000000002</v>
      </c>
      <c r="I48" s="86"/>
      <c r="J48" s="86"/>
      <c r="K48" s="13"/>
      <c r="L48" s="600"/>
      <c r="M48" s="594"/>
      <c r="N48" s="724"/>
      <c r="O48" s="596"/>
      <c r="S48" s="803"/>
      <c r="T48" s="797"/>
      <c r="U48" s="770"/>
      <c r="V48" s="772"/>
      <c r="W48" s="783"/>
      <c r="X48" s="740"/>
      <c r="AB48" s="828">
        <f t="shared" si="5"/>
        <v>93</v>
      </c>
      <c r="AC48" s="829">
        <f t="shared" si="4"/>
        <v>0</v>
      </c>
    </row>
    <row r="49" spans="2:29" ht="21" customHeight="1" thickBot="1" x14ac:dyDescent="0.3">
      <c r="B49" s="16">
        <f t="shared" si="6"/>
        <v>40</v>
      </c>
      <c r="C49" s="106" t="s">
        <v>271</v>
      </c>
      <c r="D49" s="107" t="s">
        <v>272</v>
      </c>
      <c r="E49" s="599" t="str">
        <f t="shared" si="7"/>
        <v>Arne KjellFoldvik</v>
      </c>
      <c r="F49" s="192">
        <f>YEAR(I$5)-_xlfn.XLOOKUP(E49,Deltakerliste!E$5:E$98,Deltakerliste!I$5:I$98)</f>
        <v>91</v>
      </c>
      <c r="G49" s="192">
        <f>_xlfn.XLOOKUP(E49,Deltakerliste!E$5:E$98,Deltakerliste!H$5:H$98)</f>
        <v>2</v>
      </c>
      <c r="H49" s="592">
        <f>VLOOKUP(F49,Deltakerliste!P$6:T$84,G49,FALSE)</f>
        <v>2.7290000000000001</v>
      </c>
      <c r="I49" s="14"/>
      <c r="J49" s="14"/>
      <c r="K49" s="13"/>
      <c r="L49" s="600"/>
      <c r="M49" s="594"/>
      <c r="N49" s="724"/>
      <c r="O49" s="596"/>
      <c r="S49" s="803"/>
      <c r="T49" s="796"/>
      <c r="U49" s="793"/>
      <c r="V49" s="794"/>
      <c r="W49" s="795"/>
      <c r="X49" s="762"/>
      <c r="AB49" s="828">
        <f t="shared" si="5"/>
        <v>94</v>
      </c>
      <c r="AC49" s="829">
        <f t="shared" si="4"/>
        <v>0</v>
      </c>
    </row>
    <row r="50" spans="2:29" ht="21" thickBot="1" x14ac:dyDescent="0.3">
      <c r="B50" s="16">
        <f t="shared" si="6"/>
        <v>41</v>
      </c>
      <c r="C50" s="106" t="s">
        <v>84</v>
      </c>
      <c r="D50" s="107" t="s">
        <v>85</v>
      </c>
      <c r="E50" s="599" t="str">
        <f t="shared" si="7"/>
        <v>PaulForseth</v>
      </c>
      <c r="F50" s="192">
        <f>YEAR(I$5)-_xlfn.XLOOKUP(E50,Deltakerliste!E$5:E$98,Deltakerliste!I$5:I$98)</f>
        <v>93</v>
      </c>
      <c r="G50" s="192">
        <f>_xlfn.XLOOKUP(E50,Deltakerliste!E$5:E$98,Deltakerliste!H$5:H$98)</f>
        <v>2</v>
      </c>
      <c r="H50" s="592">
        <f>VLOOKUP(F50,Deltakerliste!P$6:T$84,G50,FALSE)</f>
        <v>2.8970000000000002</v>
      </c>
      <c r="I50" s="86"/>
      <c r="J50" s="86"/>
      <c r="K50" s="17"/>
      <c r="L50" s="600"/>
      <c r="M50" s="594"/>
      <c r="N50" s="724"/>
      <c r="O50" s="596"/>
      <c r="S50" s="803"/>
      <c r="T50" s="851"/>
      <c r="U50" s="770"/>
      <c r="V50" s="772"/>
      <c r="W50" s="783"/>
      <c r="X50" s="740"/>
      <c r="AB50" s="830">
        <f t="shared" si="5"/>
        <v>95</v>
      </c>
      <c r="AC50" s="831">
        <f t="shared" si="4"/>
        <v>0</v>
      </c>
    </row>
    <row r="51" spans="2:29" ht="21" customHeight="1" thickBot="1" x14ac:dyDescent="0.3">
      <c r="B51" s="16">
        <f t="shared" si="6"/>
        <v>42</v>
      </c>
      <c r="C51" s="106" t="s">
        <v>207</v>
      </c>
      <c r="D51" s="107" t="s">
        <v>89</v>
      </c>
      <c r="E51" s="599" t="str">
        <f t="shared" si="7"/>
        <v>AnneFuruholt</v>
      </c>
      <c r="F51" s="192">
        <f>YEAR(I$5)-_xlfn.XLOOKUP(E51,Deltakerliste!E$5:E$98,Deltakerliste!I$5:I$98)</f>
        <v>78</v>
      </c>
      <c r="G51" s="192">
        <f>_xlfn.XLOOKUP(E51,Deltakerliste!E$5:E$98,Deltakerliste!H$5:H$98)</f>
        <v>4</v>
      </c>
      <c r="H51" s="592">
        <f>VLOOKUP(F51,Deltakerliste!P$6:T$84,G51,FALSE)</f>
        <v>2.3398000000000012</v>
      </c>
      <c r="I51" s="13"/>
      <c r="J51" s="13"/>
      <c r="K51" s="13"/>
      <c r="L51" s="600"/>
      <c r="M51" s="594"/>
      <c r="N51" s="724"/>
      <c r="O51" s="596"/>
      <c r="S51" s="803"/>
      <c r="T51" s="797"/>
      <c r="U51" s="770"/>
      <c r="V51" s="772"/>
      <c r="W51" s="783"/>
      <c r="X51" s="740"/>
    </row>
    <row r="52" spans="2:29" ht="21" thickBot="1" x14ac:dyDescent="0.3">
      <c r="B52" s="16">
        <f t="shared" si="6"/>
        <v>43</v>
      </c>
      <c r="C52" s="106" t="s">
        <v>116</v>
      </c>
      <c r="D52" s="107" t="s">
        <v>353</v>
      </c>
      <c r="E52" s="599" t="str">
        <f t="shared" si="7"/>
        <v>AndersGjermo</v>
      </c>
      <c r="F52" s="192">
        <f>YEAR(I$5)-_xlfn.XLOOKUP(E52,Deltakerliste!E$5:E$98,Deltakerliste!I$5:I$98)</f>
        <v>67</v>
      </c>
      <c r="G52" s="192">
        <f>_xlfn.XLOOKUP(E52,Deltakerliste!E$5:E$98,Deltakerliste!H$5:H$98)</f>
        <v>2</v>
      </c>
      <c r="H52" s="592">
        <f>VLOOKUP(F52,Deltakerliste!P$6:T$84,G52,FALSE)</f>
        <v>1.3469999999999998</v>
      </c>
      <c r="I52" s="132"/>
      <c r="J52" s="132"/>
      <c r="K52" s="18"/>
      <c r="L52" s="600"/>
      <c r="M52" s="594"/>
      <c r="N52" s="724"/>
      <c r="O52" s="596"/>
      <c r="S52" s="803"/>
      <c r="T52" s="798"/>
      <c r="U52" s="770"/>
      <c r="V52" s="772"/>
      <c r="W52" s="783"/>
      <c r="X52" s="740"/>
      <c r="AC52" s="651">
        <f>SUM(AC10:AC50)</f>
        <v>30</v>
      </c>
    </row>
    <row r="53" spans="2:29" ht="21" thickBot="1" x14ac:dyDescent="0.3">
      <c r="B53" s="16">
        <f t="shared" si="6"/>
        <v>44</v>
      </c>
      <c r="C53" s="106" t="s">
        <v>92</v>
      </c>
      <c r="D53" s="107" t="s">
        <v>93</v>
      </c>
      <c r="E53" s="599" t="str">
        <f t="shared" si="7"/>
        <v>Jens ØysteinGjersvold</v>
      </c>
      <c r="F53" s="192">
        <f>YEAR(I$5)-_xlfn.XLOOKUP(E53,Deltakerliste!E$5:E$98,Deltakerliste!I$5:I$98)</f>
        <v>73</v>
      </c>
      <c r="G53" s="192">
        <f>_xlfn.XLOOKUP(E53,Deltakerliste!E$5:E$98,Deltakerliste!H$5:H$98)</f>
        <v>2</v>
      </c>
      <c r="H53" s="592">
        <f>VLOOKUP(F53,Deltakerliste!P$6:T$84,G53,FALSE)</f>
        <v>1.5329999999999999</v>
      </c>
      <c r="I53" s="14"/>
      <c r="J53" s="14"/>
      <c r="K53" s="18"/>
      <c r="L53" s="600"/>
      <c r="M53" s="594"/>
      <c r="N53" s="724"/>
      <c r="O53" s="596"/>
      <c r="S53" s="803"/>
      <c r="T53" s="798"/>
      <c r="U53" s="770"/>
      <c r="V53" s="772"/>
      <c r="W53" s="783"/>
      <c r="X53" s="740"/>
    </row>
    <row r="54" spans="2:29" ht="21" thickBot="1" x14ac:dyDescent="0.3">
      <c r="B54" s="16">
        <f t="shared" si="6"/>
        <v>45</v>
      </c>
      <c r="C54" s="106" t="s">
        <v>60</v>
      </c>
      <c r="D54" s="107" t="s">
        <v>372</v>
      </c>
      <c r="E54" s="599" t="str">
        <f t="shared" si="7"/>
        <v>JosteinGrepstad</v>
      </c>
      <c r="F54" s="192">
        <f>YEAR(I$5)-_xlfn.XLOOKUP(E54,Deltakerliste!E$5:E$98,Deltakerliste!I$5:I$98)</f>
        <v>74</v>
      </c>
      <c r="G54" s="192">
        <f>_xlfn.XLOOKUP(E54,Deltakerliste!E$5:E$98,Deltakerliste!H$5:H$98)</f>
        <v>2</v>
      </c>
      <c r="H54" s="592">
        <f>VLOOKUP(F54,Deltakerliste!P$6:T$84,G54,FALSE)</f>
        <v>1.569</v>
      </c>
      <c r="I54" s="14"/>
      <c r="J54" s="14"/>
      <c r="K54" s="18"/>
      <c r="L54" s="600"/>
      <c r="M54" s="594"/>
      <c r="N54" s="724"/>
      <c r="O54" s="596"/>
      <c r="S54" s="846"/>
      <c r="T54" s="847"/>
      <c r="U54" s="848"/>
      <c r="V54" s="778"/>
      <c r="W54" s="849"/>
      <c r="X54" s="850"/>
    </row>
    <row r="55" spans="2:29" ht="21" customHeight="1" thickBot="1" x14ac:dyDescent="0.3">
      <c r="B55" s="16">
        <f t="shared" si="6"/>
        <v>46</v>
      </c>
      <c r="C55" s="106" t="s">
        <v>94</v>
      </c>
      <c r="D55" s="107" t="s">
        <v>95</v>
      </c>
      <c r="E55" s="599" t="str">
        <f t="shared" si="7"/>
        <v>TerjeHanssen</v>
      </c>
      <c r="F55" s="192">
        <f>YEAR(I$5)-_xlfn.XLOOKUP(E55,Deltakerliste!E$5:E$98,Deltakerliste!I$5:I$98)</f>
        <v>77</v>
      </c>
      <c r="G55" s="192">
        <f>_xlfn.XLOOKUP(E55,Deltakerliste!E$5:E$98,Deltakerliste!H$5:H$98)</f>
        <v>2</v>
      </c>
      <c r="H55" s="592">
        <f>VLOOKUP(F55,Deltakerliste!P$6:T$84,G55,FALSE)</f>
        <v>1.7050000000000001</v>
      </c>
      <c r="I55" s="86"/>
      <c r="J55" s="86"/>
      <c r="K55" s="17"/>
      <c r="L55" s="600"/>
      <c r="M55" s="594"/>
      <c r="N55" s="724"/>
      <c r="O55" s="596"/>
      <c r="S55" s="803"/>
      <c r="T55" s="798"/>
      <c r="U55" s="770"/>
      <c r="V55" s="772"/>
      <c r="W55" s="783"/>
      <c r="X55" s="740"/>
    </row>
    <row r="56" spans="2:29" ht="21" thickBot="1" x14ac:dyDescent="0.3">
      <c r="B56" s="16">
        <f t="shared" si="6"/>
        <v>47</v>
      </c>
      <c r="C56" s="106" t="s">
        <v>96</v>
      </c>
      <c r="D56" s="107" t="s">
        <v>97</v>
      </c>
      <c r="E56" s="599" t="str">
        <f t="shared" si="7"/>
        <v>StigHaugskott</v>
      </c>
      <c r="F56" s="192">
        <f>YEAR(I$5)-_xlfn.XLOOKUP(E56,Deltakerliste!E$5:E$98,Deltakerliste!I$5:I$98)</f>
        <v>86</v>
      </c>
      <c r="G56" s="192">
        <f>_xlfn.XLOOKUP(E56,Deltakerliste!E$5:E$98,Deltakerliste!H$5:H$98)</f>
        <v>2</v>
      </c>
      <c r="H56" s="592">
        <f>VLOOKUP(F56,Deltakerliste!P$6:T$84,G56,FALSE)</f>
        <v>2.3089999999999997</v>
      </c>
      <c r="I56" s="86"/>
      <c r="J56" s="86"/>
      <c r="K56" s="86"/>
      <c r="L56" s="600"/>
      <c r="M56" s="594"/>
      <c r="N56" s="724"/>
      <c r="O56" s="596"/>
      <c r="S56" s="803"/>
      <c r="T56" s="798"/>
      <c r="U56" s="770"/>
      <c r="V56" s="772"/>
      <c r="W56" s="783"/>
      <c r="X56" s="740"/>
    </row>
    <row r="57" spans="2:29" ht="21" thickBot="1" x14ac:dyDescent="0.3">
      <c r="B57" s="16">
        <f t="shared" si="6"/>
        <v>48</v>
      </c>
      <c r="C57" s="106" t="s">
        <v>63</v>
      </c>
      <c r="D57" s="107" t="s">
        <v>98</v>
      </c>
      <c r="E57" s="599" t="str">
        <f t="shared" si="7"/>
        <v>ToreHeggem</v>
      </c>
      <c r="F57" s="192">
        <f>YEAR(I$5)-_xlfn.XLOOKUP(E57,Deltakerliste!E$5:E$98,Deltakerliste!I$5:I$98)</f>
        <v>72</v>
      </c>
      <c r="G57" s="192">
        <f>_xlfn.XLOOKUP(E57,Deltakerliste!E$5:E$98,Deltakerliste!H$5:H$98)</f>
        <v>2</v>
      </c>
      <c r="H57" s="592">
        <f>VLOOKUP(F57,Deltakerliste!P$6:T$84,G57,FALSE)</f>
        <v>1.4969999999999999</v>
      </c>
      <c r="I57" s="86"/>
      <c r="J57" s="86"/>
      <c r="K57" s="13"/>
      <c r="L57" s="600"/>
      <c r="M57" s="594"/>
      <c r="N57" s="724"/>
      <c r="O57" s="596"/>
      <c r="S57" s="804"/>
      <c r="T57" s="801"/>
      <c r="U57" s="771"/>
      <c r="V57" s="773"/>
      <c r="W57" s="784"/>
      <c r="X57" s="741"/>
    </row>
    <row r="58" spans="2:29" ht="20" customHeight="1" thickBot="1" x14ac:dyDescent="0.3">
      <c r="B58" s="16">
        <f t="shared" si="6"/>
        <v>49</v>
      </c>
      <c r="C58" s="106" t="s">
        <v>342</v>
      </c>
      <c r="D58" s="107" t="s">
        <v>343</v>
      </c>
      <c r="E58" s="599" t="str">
        <f t="shared" si="7"/>
        <v>ArildHeggeset</v>
      </c>
      <c r="F58" s="192">
        <f>YEAR(I$5)-_xlfn.XLOOKUP(E58,Deltakerliste!E$5:E$98,Deltakerliste!I$5:I$98)</f>
        <v>58</v>
      </c>
      <c r="G58" s="192">
        <f>_xlfn.XLOOKUP(E58,Deltakerliste!E$5:E$98,Deltakerliste!H$5:H$98)</f>
        <v>2</v>
      </c>
      <c r="H58" s="592">
        <f>VLOOKUP(F58,Deltakerliste!P$6:T$84,G58,FALSE)</f>
        <v>1.1720000000000002</v>
      </c>
      <c r="I58" s="86"/>
      <c r="J58" s="86"/>
      <c r="K58" s="13"/>
      <c r="L58" s="600"/>
      <c r="M58" s="594"/>
      <c r="N58" s="724"/>
      <c r="O58" s="596"/>
    </row>
    <row r="59" spans="2:29" ht="21" thickBot="1" x14ac:dyDescent="0.3">
      <c r="B59" s="16">
        <f t="shared" si="6"/>
        <v>50</v>
      </c>
      <c r="C59" s="106" t="s">
        <v>309</v>
      </c>
      <c r="D59" s="107" t="s">
        <v>310</v>
      </c>
      <c r="E59" s="599" t="str">
        <f t="shared" si="7"/>
        <v>VigdisHeimly</v>
      </c>
      <c r="F59" s="192">
        <f>YEAR(I$5)-_xlfn.XLOOKUP(E59,Deltakerliste!E$5:E$98,Deltakerliste!I$5:I$98)</f>
        <v>66</v>
      </c>
      <c r="G59" s="192">
        <f>_xlfn.XLOOKUP(E59,Deltakerliste!E$5:E$98,Deltakerliste!H$5:H$98)</f>
        <v>4</v>
      </c>
      <c r="H59" s="592">
        <f>VLOOKUP(F59,Deltakerliste!P$6:T$84,G59,FALSE)</f>
        <v>1.8066000000000009</v>
      </c>
      <c r="I59" s="86"/>
      <c r="J59" s="86"/>
      <c r="K59" s="17"/>
      <c r="L59" s="600"/>
      <c r="M59" s="594"/>
      <c r="N59" s="724"/>
      <c r="O59" s="596"/>
    </row>
    <row r="60" spans="2:29" ht="21" customHeight="1" thickBot="1" x14ac:dyDescent="0.3">
      <c r="B60" s="16">
        <f t="shared" si="6"/>
        <v>51</v>
      </c>
      <c r="C60" s="106" t="s">
        <v>126</v>
      </c>
      <c r="D60" s="107" t="s">
        <v>383</v>
      </c>
      <c r="E60" s="599" t="str">
        <f t="shared" si="7"/>
        <v>ArneHelland</v>
      </c>
      <c r="F60" s="192">
        <f>YEAR(I$5)-_xlfn.XLOOKUP(E60,Deltakerliste!E$5:E$98,Deltakerliste!I$5:I$98)</f>
        <v>60</v>
      </c>
      <c r="G60" s="192">
        <f>_xlfn.XLOOKUP(E60,Deltakerliste!E$5:E$98,Deltakerliste!H$5:H$98)</f>
        <v>2</v>
      </c>
      <c r="H60" s="592">
        <f>VLOOKUP(F60,Deltakerliste!P$6:T$84,G60,FALSE)</f>
        <v>1.2000000000000002</v>
      </c>
      <c r="I60" s="86"/>
      <c r="J60" s="86"/>
      <c r="K60" s="17"/>
      <c r="L60" s="600"/>
      <c r="M60" s="594"/>
      <c r="N60" s="724"/>
      <c r="O60" s="596"/>
    </row>
    <row r="61" spans="2:29" ht="21" customHeight="1" thickBot="1" x14ac:dyDescent="0.3">
      <c r="B61" s="16">
        <f t="shared" si="6"/>
        <v>52</v>
      </c>
      <c r="C61" s="106" t="s">
        <v>99</v>
      </c>
      <c r="D61" s="107" t="s">
        <v>100</v>
      </c>
      <c r="E61" s="599" t="str">
        <f t="shared" si="7"/>
        <v>RobertHirsch</v>
      </c>
      <c r="F61" s="192">
        <f>YEAR(I$5)-_xlfn.XLOOKUP(E61,Deltakerliste!E$5:E$98,Deltakerliste!I$5:I$98)</f>
        <v>68</v>
      </c>
      <c r="G61" s="192">
        <f>_xlfn.XLOOKUP(E61,Deltakerliste!E$5:E$98,Deltakerliste!H$5:H$98)</f>
        <v>2</v>
      </c>
      <c r="H61" s="592">
        <f>VLOOKUP(F61,Deltakerliste!P$6:T$84,G61,FALSE)</f>
        <v>1.3729999999999998</v>
      </c>
      <c r="I61" s="86"/>
      <c r="J61" s="86"/>
      <c r="K61" s="13"/>
      <c r="L61" s="600"/>
      <c r="M61" s="594"/>
      <c r="N61" s="724"/>
      <c r="O61" s="596"/>
    </row>
    <row r="62" spans="2:29" ht="21" customHeight="1" thickBot="1" x14ac:dyDescent="0.3">
      <c r="B62" s="16">
        <f t="shared" si="6"/>
        <v>53</v>
      </c>
      <c r="C62" s="106" t="s">
        <v>103</v>
      </c>
      <c r="D62" s="107" t="s">
        <v>104</v>
      </c>
      <c r="E62" s="599" t="str">
        <f t="shared" si="7"/>
        <v>SveinHove</v>
      </c>
      <c r="F62" s="192">
        <f>YEAR(I$5)-_xlfn.XLOOKUP(E62,Deltakerliste!E$5:E$98,Deltakerliste!I$5:I$98)</f>
        <v>78</v>
      </c>
      <c r="G62" s="192">
        <f>_xlfn.XLOOKUP(E62,Deltakerliste!E$5:E$98,Deltakerliste!H$5:H$98)</f>
        <v>2</v>
      </c>
      <c r="H62" s="592">
        <f>VLOOKUP(F62,Deltakerliste!P$6:T$84,G62,FALSE)</f>
        <v>1.7550000000000001</v>
      </c>
      <c r="I62" s="86"/>
      <c r="J62" s="86"/>
      <c r="K62" s="17"/>
      <c r="L62" s="600"/>
      <c r="M62" s="594"/>
      <c r="N62" s="724"/>
      <c r="O62" s="596"/>
    </row>
    <row r="63" spans="2:29" ht="21" thickBot="1" x14ac:dyDescent="0.3">
      <c r="B63" s="16">
        <f t="shared" si="6"/>
        <v>54</v>
      </c>
      <c r="C63" s="106" t="s">
        <v>269</v>
      </c>
      <c r="D63" s="107" t="s">
        <v>270</v>
      </c>
      <c r="E63" s="599" t="str">
        <f t="shared" si="7"/>
        <v>Per OlavJohansen</v>
      </c>
      <c r="F63" s="192">
        <f>YEAR(I$5)-_xlfn.XLOOKUP(E63,Deltakerliste!E$5:E$98,Deltakerliste!I$5:I$98)</f>
        <v>67</v>
      </c>
      <c r="G63" s="192">
        <f>_xlfn.XLOOKUP(E63,Deltakerliste!E$5:E$98,Deltakerliste!H$5:H$98)</f>
        <v>2</v>
      </c>
      <c r="H63" s="592">
        <f>VLOOKUP(F63,Deltakerliste!P$6:T$84,G63,FALSE)</f>
        <v>1.3469999999999998</v>
      </c>
      <c r="I63" s="132"/>
      <c r="J63" s="132"/>
      <c r="K63" s="134"/>
      <c r="L63" s="600"/>
      <c r="M63" s="594"/>
      <c r="N63" s="724"/>
      <c r="O63" s="596"/>
    </row>
    <row r="64" spans="2:29" ht="21" thickBot="1" x14ac:dyDescent="0.3">
      <c r="B64" s="16">
        <f t="shared" si="6"/>
        <v>55</v>
      </c>
      <c r="C64" s="106" t="s">
        <v>63</v>
      </c>
      <c r="D64" s="107" t="s">
        <v>105</v>
      </c>
      <c r="E64" s="599" t="str">
        <f t="shared" si="7"/>
        <v>ToreKiste</v>
      </c>
      <c r="F64" s="192">
        <f>YEAR(I$5)-_xlfn.XLOOKUP(E64,Deltakerliste!E$5:E$98,Deltakerliste!I$5:I$98)</f>
        <v>80</v>
      </c>
      <c r="G64" s="192">
        <f>_xlfn.XLOOKUP(E64,Deltakerliste!E$5:E$98,Deltakerliste!H$5:H$98)</f>
        <v>2</v>
      </c>
      <c r="H64" s="592">
        <f>VLOOKUP(F64,Deltakerliste!P$6:T$84,G64,FALSE)</f>
        <v>1.8550000000000002</v>
      </c>
      <c r="I64" s="86"/>
      <c r="J64" s="86"/>
      <c r="K64" s="13"/>
      <c r="L64" s="600"/>
      <c r="M64" s="594"/>
      <c r="N64" s="724"/>
      <c r="O64" s="596"/>
    </row>
    <row r="65" spans="2:17" ht="21" thickBot="1" x14ac:dyDescent="0.3">
      <c r="B65" s="16">
        <f t="shared" si="6"/>
        <v>56</v>
      </c>
      <c r="C65" s="106" t="s">
        <v>106</v>
      </c>
      <c r="D65" s="107" t="s">
        <v>107</v>
      </c>
      <c r="E65" s="599" t="str">
        <f t="shared" si="7"/>
        <v>Jon ArneKlemetsaune</v>
      </c>
      <c r="F65" s="192">
        <f>YEAR(I$5)-_xlfn.XLOOKUP(E65,Deltakerliste!E$5:E$98,Deltakerliste!I$5:I$98)</f>
        <v>76</v>
      </c>
      <c r="G65" s="192">
        <f>_xlfn.XLOOKUP(E65,Deltakerliste!E$5:E$98,Deltakerliste!H$5:H$98)</f>
        <v>2</v>
      </c>
      <c r="H65" s="592">
        <f>VLOOKUP(F65,Deltakerliste!P$6:T$84,G65,FALSE)</f>
        <v>1.655</v>
      </c>
      <c r="I65" s="86"/>
      <c r="J65" s="86"/>
      <c r="K65" s="17"/>
      <c r="L65" s="600"/>
      <c r="M65" s="594"/>
      <c r="N65" s="724"/>
      <c r="O65" s="596"/>
    </row>
    <row r="66" spans="2:17" ht="21" thickBot="1" x14ac:dyDescent="0.3">
      <c r="B66" s="16">
        <f t="shared" si="6"/>
        <v>57</v>
      </c>
      <c r="C66" s="106" t="s">
        <v>108</v>
      </c>
      <c r="D66" s="107" t="s">
        <v>109</v>
      </c>
      <c r="E66" s="599" t="str">
        <f t="shared" si="7"/>
        <v>Finn FayeKnudsen</v>
      </c>
      <c r="F66" s="192">
        <f>YEAR(I$5)-_xlfn.XLOOKUP(E66,Deltakerliste!E$5:E$98,Deltakerliste!I$5:I$98)</f>
        <v>83</v>
      </c>
      <c r="G66" s="192">
        <f>_xlfn.XLOOKUP(E66,Deltakerliste!E$5:E$98,Deltakerliste!H$5:H$98)</f>
        <v>2</v>
      </c>
      <c r="H66" s="592">
        <f>VLOOKUP(F66,Deltakerliste!P$6:T$84,G66,FALSE)</f>
        <v>2.077</v>
      </c>
      <c r="I66" s="86"/>
      <c r="J66" s="86"/>
      <c r="K66" s="13"/>
      <c r="L66" s="600"/>
      <c r="M66" s="594"/>
      <c r="N66" s="724"/>
      <c r="O66" s="596"/>
    </row>
    <row r="67" spans="2:17" ht="21" thickBot="1" x14ac:dyDescent="0.3">
      <c r="B67" s="16">
        <f t="shared" si="6"/>
        <v>58</v>
      </c>
      <c r="C67" s="106" t="s">
        <v>110</v>
      </c>
      <c r="D67" s="107" t="s">
        <v>111</v>
      </c>
      <c r="E67" s="599" t="str">
        <f t="shared" si="7"/>
        <v>Jan ErikKofoed</v>
      </c>
      <c r="F67" s="192">
        <f>YEAR(I$5)-_xlfn.XLOOKUP(E67,Deltakerliste!E$5:E$98,Deltakerliste!I$5:I$98)</f>
        <v>71</v>
      </c>
      <c r="G67" s="192">
        <f>_xlfn.XLOOKUP(E67,Deltakerliste!E$5:E$98,Deltakerliste!H$5:H$98)</f>
        <v>2</v>
      </c>
      <c r="H67" s="592">
        <f>VLOOKUP(F67,Deltakerliste!P$6:T$84,G67,FALSE)</f>
        <v>1.4609999999999999</v>
      </c>
      <c r="I67" s="86"/>
      <c r="J67" s="86"/>
      <c r="K67" s="13"/>
      <c r="L67" s="600"/>
      <c r="M67" s="594"/>
      <c r="N67" s="724"/>
      <c r="O67" s="596"/>
    </row>
    <row r="68" spans="2:17" ht="21" thickBot="1" x14ac:dyDescent="0.3">
      <c r="B68" s="16">
        <f t="shared" si="6"/>
        <v>59</v>
      </c>
      <c r="C68" s="106" t="s">
        <v>251</v>
      </c>
      <c r="D68" s="107" t="s">
        <v>252</v>
      </c>
      <c r="E68" s="599" t="str">
        <f t="shared" si="7"/>
        <v>OttarKristiansen</v>
      </c>
      <c r="F68" s="192">
        <f>YEAR(I$5)-_xlfn.XLOOKUP(E68,Deltakerliste!E$5:E$98,Deltakerliste!I$5:I$98)</f>
        <v>76</v>
      </c>
      <c r="G68" s="192">
        <f>_xlfn.XLOOKUP(E68,Deltakerliste!E$5:E$98,Deltakerliste!H$5:H$98)</f>
        <v>2</v>
      </c>
      <c r="H68" s="592">
        <f>VLOOKUP(F68,Deltakerliste!P$6:T$84,G68,FALSE)</f>
        <v>1.655</v>
      </c>
      <c r="I68" s="86"/>
      <c r="J68" s="86"/>
      <c r="K68" s="17"/>
      <c r="L68" s="600"/>
      <c r="M68" s="594"/>
      <c r="N68" s="724"/>
      <c r="O68" s="596"/>
    </row>
    <row r="69" spans="2:17" ht="21" thickBot="1" x14ac:dyDescent="0.3">
      <c r="B69" s="16">
        <f t="shared" si="6"/>
        <v>60</v>
      </c>
      <c r="C69" s="106" t="s">
        <v>299</v>
      </c>
      <c r="D69" s="107" t="s">
        <v>300</v>
      </c>
      <c r="E69" s="599" t="str">
        <f t="shared" si="7"/>
        <v>OlavKvittem</v>
      </c>
      <c r="F69" s="192">
        <f>YEAR(I$5)-_xlfn.XLOOKUP(E69,Deltakerliste!E$5:E$98,Deltakerliste!I$5:I$98)</f>
        <v>70</v>
      </c>
      <c r="G69" s="192">
        <f>_xlfn.XLOOKUP(E69,Deltakerliste!E$5:E$98,Deltakerliste!H$5:H$98)</f>
        <v>2</v>
      </c>
      <c r="H69" s="592">
        <f>VLOOKUP(F69,Deltakerliste!P$6:T$84,G69,FALSE)</f>
        <v>1.4249999999999998</v>
      </c>
      <c r="I69" s="86"/>
      <c r="J69" s="86"/>
      <c r="K69" s="13"/>
      <c r="L69" s="600"/>
      <c r="M69" s="594"/>
      <c r="N69" s="724"/>
      <c r="O69" s="596"/>
    </row>
    <row r="70" spans="2:17" ht="21" thickBot="1" x14ac:dyDescent="0.3">
      <c r="B70" s="16">
        <f t="shared" si="6"/>
        <v>61</v>
      </c>
      <c r="C70" s="106" t="s">
        <v>112</v>
      </c>
      <c r="D70" s="107" t="s">
        <v>113</v>
      </c>
      <c r="E70" s="599" t="str">
        <f t="shared" si="7"/>
        <v>ToridKvaal</v>
      </c>
      <c r="F70" s="192">
        <f>YEAR(I$5)-_xlfn.XLOOKUP(E70,Deltakerliste!E$5:E$98,Deltakerliste!I$5:I$98)</f>
        <v>83</v>
      </c>
      <c r="G70" s="192">
        <f>_xlfn.XLOOKUP(E70,Deltakerliste!E$5:E$98,Deltakerliste!H$5:H$98)</f>
        <v>4</v>
      </c>
      <c r="H70" s="592">
        <f>VLOOKUP(F70,Deltakerliste!P$6:T$84,G70,FALSE)</f>
        <v>2.6998000000000006</v>
      </c>
      <c r="I70" s="86"/>
      <c r="J70" s="86"/>
      <c r="K70" s="13"/>
      <c r="L70" s="600"/>
      <c r="M70" s="594"/>
      <c r="N70" s="724"/>
      <c r="O70" s="596"/>
    </row>
    <row r="71" spans="2:17" ht="21" thickBot="1" x14ac:dyDescent="0.3">
      <c r="B71" s="16">
        <f t="shared" si="6"/>
        <v>62</v>
      </c>
      <c r="C71" s="106" t="s">
        <v>254</v>
      </c>
      <c r="D71" s="107" t="s">
        <v>255</v>
      </c>
      <c r="E71" s="599" t="str">
        <f t="shared" si="7"/>
        <v>ArnfinnLangeland</v>
      </c>
      <c r="F71" s="192">
        <f>YEAR(I$5)-_xlfn.XLOOKUP(E71,Deltakerliste!E$5:E$98,Deltakerliste!I$5:I$98)</f>
        <v>89</v>
      </c>
      <c r="G71" s="192">
        <f>_xlfn.XLOOKUP(E71,Deltakerliste!E$5:E$98,Deltakerliste!H$5:H$98)</f>
        <v>2</v>
      </c>
      <c r="H71" s="592">
        <f>VLOOKUP(F71,Deltakerliste!P$6:T$84,G71,FALSE)</f>
        <v>2.5609999999999999</v>
      </c>
      <c r="I71" s="86"/>
      <c r="J71" s="86"/>
      <c r="K71" s="13"/>
      <c r="L71" s="600"/>
      <c r="M71" s="594"/>
      <c r="N71" s="724"/>
      <c r="O71" s="596"/>
    </row>
    <row r="72" spans="2:17" ht="21" thickBot="1" x14ac:dyDescent="0.3">
      <c r="B72" s="16">
        <f t="shared" si="6"/>
        <v>63</v>
      </c>
      <c r="C72" s="106" t="s">
        <v>116</v>
      </c>
      <c r="D72" s="107" t="s">
        <v>117</v>
      </c>
      <c r="E72" s="599" t="str">
        <f t="shared" si="7"/>
        <v>AndersLauglo</v>
      </c>
      <c r="F72" s="192">
        <f>YEAR(I$5)-_xlfn.XLOOKUP(E72,Deltakerliste!E$5:E$98,Deltakerliste!I$5:I$98)</f>
        <v>86</v>
      </c>
      <c r="G72" s="192">
        <f>_xlfn.XLOOKUP(E72,Deltakerliste!E$5:E$98,Deltakerliste!H$5:H$98)</f>
        <v>2</v>
      </c>
      <c r="H72" s="592">
        <f>VLOOKUP(F72,Deltakerliste!P$6:T$84,G72,FALSE)</f>
        <v>2.3089999999999997</v>
      </c>
      <c r="I72" s="13"/>
      <c r="J72" s="13"/>
      <c r="K72" s="86"/>
      <c r="L72" s="600"/>
      <c r="M72" s="594"/>
      <c r="N72" s="724"/>
      <c r="O72" s="596"/>
    </row>
    <row r="73" spans="2:17" ht="21" thickBot="1" x14ac:dyDescent="0.3">
      <c r="B73" s="16">
        <f t="shared" si="6"/>
        <v>64</v>
      </c>
      <c r="C73" s="106" t="s">
        <v>118</v>
      </c>
      <c r="D73" s="107" t="s">
        <v>119</v>
      </c>
      <c r="E73" s="599" t="str">
        <f t="shared" si="7"/>
        <v>KnutLillealtern</v>
      </c>
      <c r="F73" s="192">
        <f>YEAR(I$5)-_xlfn.XLOOKUP(E73,Deltakerliste!E$5:E$98,Deltakerliste!I$5:I$98)</f>
        <v>76</v>
      </c>
      <c r="G73" s="192">
        <f>_xlfn.XLOOKUP(E73,Deltakerliste!E$5:E$98,Deltakerliste!H$5:H$98)</f>
        <v>2</v>
      </c>
      <c r="H73" s="592">
        <f>VLOOKUP(F73,Deltakerliste!P$6:T$84,G73,FALSE)</f>
        <v>1.655</v>
      </c>
      <c r="I73" s="13"/>
      <c r="J73" s="13"/>
      <c r="K73" s="17"/>
      <c r="L73" s="600"/>
      <c r="M73" s="594"/>
      <c r="N73" s="724"/>
      <c r="O73" s="596"/>
    </row>
    <row r="74" spans="2:17" ht="21" thickBot="1" x14ac:dyDescent="0.3">
      <c r="B74" s="16">
        <f t="shared" si="6"/>
        <v>65</v>
      </c>
      <c r="C74" s="106" t="s">
        <v>248</v>
      </c>
      <c r="D74" s="107" t="s">
        <v>249</v>
      </c>
      <c r="E74" s="599" t="str">
        <f t="shared" ref="E74:E95" si="8">_xlfn.CONCAT(C74:D74)</f>
        <v>ErikLund</v>
      </c>
      <c r="F74" s="192">
        <f>YEAR(I$5)-_xlfn.XLOOKUP(E74,Deltakerliste!E$5:E$98,Deltakerliste!I$5:I$98)</f>
        <v>78</v>
      </c>
      <c r="G74" s="192">
        <f>_xlfn.XLOOKUP(E74,Deltakerliste!E$5:E$98,Deltakerliste!H$5:H$98)</f>
        <v>2</v>
      </c>
      <c r="H74" s="592">
        <f>VLOOKUP(F74,Deltakerliste!P$6:T$84,G74,FALSE)</f>
        <v>1.7550000000000001</v>
      </c>
      <c r="I74" s="13"/>
      <c r="J74" s="13"/>
      <c r="K74" s="17"/>
      <c r="L74" s="600"/>
      <c r="M74" s="594"/>
      <c r="N74" s="724"/>
      <c r="O74" s="596"/>
    </row>
    <row r="75" spans="2:17" ht="21" thickBot="1" x14ac:dyDescent="0.3">
      <c r="B75" s="16">
        <f t="shared" ref="B75:B95" si="9">B74+1</f>
        <v>66</v>
      </c>
      <c r="C75" s="106" t="s">
        <v>124</v>
      </c>
      <c r="D75" s="107" t="s">
        <v>125</v>
      </c>
      <c r="E75" s="599" t="str">
        <f t="shared" si="8"/>
        <v>Heidi Midttun</v>
      </c>
      <c r="F75" s="192">
        <f>YEAR(I$5)-_xlfn.XLOOKUP(E75,Deltakerliste!E$5:E$98,Deltakerliste!I$5:I$98)</f>
        <v>70</v>
      </c>
      <c r="G75" s="192">
        <f>_xlfn.XLOOKUP(E75,Deltakerliste!E$5:E$98,Deltakerliste!H$5:H$98)</f>
        <v>4</v>
      </c>
      <c r="H75" s="592">
        <f>VLOOKUP(F75,Deltakerliste!P$6:T$84,G75,FALSE)</f>
        <v>1.9490000000000012</v>
      </c>
      <c r="I75" s="13"/>
      <c r="J75" s="13"/>
      <c r="K75" s="13"/>
      <c r="L75" s="600"/>
      <c r="M75" s="594"/>
      <c r="N75" s="724"/>
      <c r="O75" s="596"/>
      <c r="Q75" s="112"/>
    </row>
    <row r="76" spans="2:17" ht="21" thickBot="1" x14ac:dyDescent="0.3">
      <c r="B76" s="16">
        <f t="shared" si="9"/>
        <v>67</v>
      </c>
      <c r="C76" s="106" t="s">
        <v>126</v>
      </c>
      <c r="D76" s="107" t="s">
        <v>127</v>
      </c>
      <c r="E76" s="599" t="str">
        <f t="shared" si="8"/>
        <v>ArneMikkelsen</v>
      </c>
      <c r="F76" s="192">
        <f>YEAR(I$5)-_xlfn.XLOOKUP(E76,Deltakerliste!E$5:E$98,Deltakerliste!I$5:I$98)</f>
        <v>72</v>
      </c>
      <c r="G76" s="192">
        <f>_xlfn.XLOOKUP(E76,Deltakerliste!E$5:E$98,Deltakerliste!H$5:H$98)</f>
        <v>2</v>
      </c>
      <c r="H76" s="592">
        <f>VLOOKUP(F76,Deltakerliste!P$6:T$84,G76,FALSE)</f>
        <v>1.4969999999999999</v>
      </c>
      <c r="I76" s="13"/>
      <c r="J76" s="13"/>
      <c r="K76" s="13"/>
      <c r="L76" s="600"/>
      <c r="M76" s="594"/>
      <c r="N76" s="724"/>
      <c r="O76" s="596"/>
    </row>
    <row r="77" spans="2:17" ht="21" thickBot="1" x14ac:dyDescent="0.3">
      <c r="B77" s="16">
        <f t="shared" si="9"/>
        <v>68</v>
      </c>
      <c r="C77" s="106" t="s">
        <v>128</v>
      </c>
      <c r="D77" s="107" t="s">
        <v>129</v>
      </c>
      <c r="E77" s="599" t="str">
        <f t="shared" si="8"/>
        <v>OddMusum</v>
      </c>
      <c r="F77" s="192">
        <f>YEAR(I$5)-_xlfn.XLOOKUP(E77,Deltakerliste!E$5:E$98,Deltakerliste!I$5:I$98)</f>
        <v>83</v>
      </c>
      <c r="G77" s="192">
        <f>_xlfn.XLOOKUP(E77,Deltakerliste!E$5:E$98,Deltakerliste!H$5:H$98)</f>
        <v>2</v>
      </c>
      <c r="H77" s="592">
        <f>VLOOKUP(F77,Deltakerliste!P$6:T$84,G77,FALSE)</f>
        <v>2.077</v>
      </c>
      <c r="I77" s="13"/>
      <c r="J77" s="13"/>
      <c r="K77" s="13"/>
      <c r="L77" s="600"/>
      <c r="M77" s="594"/>
      <c r="N77" s="724"/>
      <c r="O77" s="596"/>
    </row>
    <row r="78" spans="2:17" ht="21" thickBot="1" x14ac:dyDescent="0.3">
      <c r="B78" s="16">
        <f t="shared" si="9"/>
        <v>69</v>
      </c>
      <c r="C78" s="106" t="s">
        <v>130</v>
      </c>
      <c r="D78" s="107" t="s">
        <v>131</v>
      </c>
      <c r="E78" s="599" t="str">
        <f t="shared" si="8"/>
        <v>AtleMørk</v>
      </c>
      <c r="F78" s="192">
        <f>YEAR(I$5)-_xlfn.XLOOKUP(E78,Deltakerliste!E$5:E$98,Deltakerliste!I$5:I$98)</f>
        <v>76</v>
      </c>
      <c r="G78" s="192">
        <f>_xlfn.XLOOKUP(E78,Deltakerliste!E$5:E$98,Deltakerliste!H$5:H$98)</f>
        <v>2</v>
      </c>
      <c r="H78" s="592">
        <f>VLOOKUP(F78,Deltakerliste!P$6:T$84,G78,FALSE)</f>
        <v>1.655</v>
      </c>
      <c r="I78" s="132"/>
      <c r="J78" s="132"/>
      <c r="K78" s="132"/>
      <c r="L78" s="600"/>
      <c r="M78" s="594"/>
      <c r="N78" s="724"/>
      <c r="O78" s="596"/>
    </row>
    <row r="79" spans="2:17" ht="21" thickBot="1" x14ac:dyDescent="0.3">
      <c r="B79" s="16">
        <f t="shared" si="9"/>
        <v>70</v>
      </c>
      <c r="C79" s="106" t="s">
        <v>132</v>
      </c>
      <c r="D79" s="107" t="s">
        <v>133</v>
      </c>
      <c r="E79" s="599" t="str">
        <f t="shared" si="8"/>
        <v>JarleNestvold</v>
      </c>
      <c r="F79" s="192">
        <f>YEAR(I$5)-_xlfn.XLOOKUP(E79,Deltakerliste!E$5:E$98,Deltakerliste!I$5:I$98)</f>
        <v>88</v>
      </c>
      <c r="G79" s="192">
        <f>_xlfn.XLOOKUP(E79,Deltakerliste!E$5:E$98,Deltakerliste!H$5:H$98)</f>
        <v>2</v>
      </c>
      <c r="H79" s="592">
        <f>VLOOKUP(F79,Deltakerliste!P$6:T$84,G79,FALSE)</f>
        <v>2.4769999999999999</v>
      </c>
      <c r="I79" s="132"/>
      <c r="J79" s="18"/>
      <c r="K79" s="18"/>
      <c r="L79" s="600"/>
      <c r="M79" s="594"/>
      <c r="N79" s="724"/>
      <c r="O79" s="596"/>
    </row>
    <row r="80" spans="2:17" ht="21" thickBot="1" x14ac:dyDescent="0.3">
      <c r="B80" s="16">
        <f t="shared" si="9"/>
        <v>71</v>
      </c>
      <c r="C80" s="106" t="s">
        <v>134</v>
      </c>
      <c r="D80" s="107" t="s">
        <v>135</v>
      </c>
      <c r="E80" s="599" t="str">
        <f t="shared" si="8"/>
        <v>IngeNørstebø</v>
      </c>
      <c r="F80" s="192">
        <f>YEAR(I$5)-_xlfn.XLOOKUP(E80,Deltakerliste!E$5:E$98,Deltakerliste!I$5:I$98)</f>
        <v>69</v>
      </c>
      <c r="G80" s="192">
        <f>_xlfn.XLOOKUP(E80,Deltakerliste!E$5:E$98,Deltakerliste!H$5:H$98)</f>
        <v>2</v>
      </c>
      <c r="H80" s="592">
        <f>VLOOKUP(F80,Deltakerliste!P$6:T$84,G80,FALSE)</f>
        <v>1.3989999999999998</v>
      </c>
      <c r="I80" s="13"/>
      <c r="J80" s="13"/>
      <c r="K80" s="13"/>
      <c r="L80" s="600"/>
      <c r="M80" s="594"/>
      <c r="N80" s="724"/>
      <c r="O80" s="596"/>
    </row>
    <row r="81" spans="2:15" ht="21" thickBot="1" x14ac:dyDescent="0.3">
      <c r="B81" s="16">
        <f t="shared" si="9"/>
        <v>72</v>
      </c>
      <c r="C81" s="106" t="s">
        <v>72</v>
      </c>
      <c r="D81" s="107" t="s">
        <v>139</v>
      </c>
      <c r="E81" s="599" t="str">
        <f t="shared" si="8"/>
        <v>KåreOnsøyen</v>
      </c>
      <c r="F81" s="192">
        <f>YEAR(I$5)-_xlfn.XLOOKUP(E81,Deltakerliste!E$5:E$98,Deltakerliste!I$5:I$98)</f>
        <v>77</v>
      </c>
      <c r="G81" s="192">
        <f>_xlfn.XLOOKUP(E81,Deltakerliste!E$5:E$98,Deltakerliste!H$5:H$98)</f>
        <v>2</v>
      </c>
      <c r="H81" s="592">
        <f>VLOOKUP(F81,Deltakerliste!P$6:T$84,G81,FALSE)</f>
        <v>1.7050000000000001</v>
      </c>
      <c r="I81" s="13"/>
      <c r="J81" s="13"/>
      <c r="K81" s="13"/>
      <c r="L81" s="600"/>
      <c r="M81" s="594"/>
      <c r="N81" s="724"/>
      <c r="O81" s="596"/>
    </row>
    <row r="82" spans="2:15" ht="21" thickBot="1" x14ac:dyDescent="0.3">
      <c r="B82" s="16">
        <f t="shared" si="9"/>
        <v>73</v>
      </c>
      <c r="C82" s="106" t="s">
        <v>140</v>
      </c>
      <c r="D82" s="107" t="s">
        <v>141</v>
      </c>
      <c r="E82" s="599" t="str">
        <f t="shared" si="8"/>
        <v>Grete BergeOwren</v>
      </c>
      <c r="F82" s="192">
        <f>YEAR(I$5)-_xlfn.XLOOKUP(E82,Deltakerliste!E$5:E$98,Deltakerliste!I$5:I$98)</f>
        <v>67</v>
      </c>
      <c r="G82" s="192">
        <f>_xlfn.XLOOKUP(E82,Deltakerliste!E$5:E$98,Deltakerliste!H$5:H$98)</f>
        <v>4</v>
      </c>
      <c r="H82" s="592">
        <f>VLOOKUP(F82,Deltakerliste!P$6:T$84,G82,FALSE)</f>
        <v>1.8422000000000009</v>
      </c>
      <c r="I82" s="18"/>
      <c r="J82" s="18"/>
      <c r="K82" s="18"/>
      <c r="L82" s="600"/>
      <c r="M82" s="594"/>
      <c r="N82" s="724"/>
      <c r="O82" s="596"/>
    </row>
    <row r="83" spans="2:15" ht="21" thickBot="1" x14ac:dyDescent="0.3">
      <c r="B83" s="16">
        <f t="shared" si="9"/>
        <v>74</v>
      </c>
      <c r="C83" s="106" t="s">
        <v>144</v>
      </c>
      <c r="D83" s="107" t="s">
        <v>145</v>
      </c>
      <c r="E83" s="599" t="str">
        <f t="shared" si="8"/>
        <v>Bjørn Rindstad</v>
      </c>
      <c r="F83" s="192">
        <f>YEAR(I$5)-_xlfn.XLOOKUP(E83,Deltakerliste!E$5:E$98,Deltakerliste!I$5:I$98)</f>
        <v>74</v>
      </c>
      <c r="G83" s="192">
        <f>_xlfn.XLOOKUP(E83,Deltakerliste!E$5:E$98,Deltakerliste!H$5:H$98)</f>
        <v>2</v>
      </c>
      <c r="H83" s="592">
        <f>VLOOKUP(F83,Deltakerliste!P$6:T$84,G83,FALSE)</f>
        <v>1.569</v>
      </c>
      <c r="I83" s="18"/>
      <c r="J83" s="18"/>
      <c r="K83" s="18"/>
      <c r="L83" s="600"/>
      <c r="M83" s="594"/>
      <c r="N83" s="724"/>
      <c r="O83" s="596"/>
    </row>
    <row r="84" spans="2:15" ht="21" thickBot="1" x14ac:dyDescent="0.3">
      <c r="B84" s="16">
        <f t="shared" si="9"/>
        <v>75</v>
      </c>
      <c r="C84" s="111" t="s">
        <v>228</v>
      </c>
      <c r="D84" s="193" t="s">
        <v>229</v>
      </c>
      <c r="E84" s="599" t="str">
        <f t="shared" si="8"/>
        <v>May-LisRønning</v>
      </c>
      <c r="F84" s="192">
        <f>YEAR(I$5)-_xlfn.XLOOKUP(E84,Deltakerliste!E$5:E$98,Deltakerliste!I$5:I$98)</f>
        <v>55</v>
      </c>
      <c r="G84" s="192">
        <f>_xlfn.XLOOKUP(E84,Deltakerliste!E$5:E$98,Deltakerliste!H$5:H$98)</f>
        <v>4</v>
      </c>
      <c r="H84" s="592">
        <f>VLOOKUP(F84,Deltakerliste!P$6:T$84,G84,FALSE)</f>
        <v>1.5099999999999996</v>
      </c>
      <c r="I84" s="18"/>
      <c r="J84" s="18"/>
      <c r="K84" s="18"/>
      <c r="L84" s="600"/>
      <c r="M84" s="594"/>
      <c r="N84" s="724"/>
      <c r="O84" s="596"/>
    </row>
    <row r="85" spans="2:15" ht="21" thickBot="1" x14ac:dyDescent="0.3">
      <c r="B85" s="16">
        <f t="shared" si="9"/>
        <v>76</v>
      </c>
      <c r="C85" s="111" t="s">
        <v>147</v>
      </c>
      <c r="D85" s="193" t="s">
        <v>148</v>
      </c>
      <c r="E85" s="599" t="str">
        <f t="shared" si="8"/>
        <v>ViggoSchei</v>
      </c>
      <c r="F85" s="192">
        <f>YEAR(I$5)-_xlfn.XLOOKUP(E85,Deltakerliste!E$5:E$98,Deltakerliste!I$5:I$98)</f>
        <v>74</v>
      </c>
      <c r="G85" s="192">
        <f>_xlfn.XLOOKUP(E85,Deltakerliste!E$5:E$98,Deltakerliste!H$5:H$98)</f>
        <v>2</v>
      </c>
      <c r="H85" s="592">
        <f>VLOOKUP(F85,Deltakerliste!P$6:T$84,G85,FALSE)</f>
        <v>1.569</v>
      </c>
      <c r="I85" s="18"/>
      <c r="J85" s="132"/>
      <c r="K85" s="18"/>
      <c r="L85" s="600"/>
      <c r="M85" s="594"/>
      <c r="N85" s="724"/>
      <c r="O85" s="596"/>
    </row>
    <row r="86" spans="2:15" ht="21" thickBot="1" x14ac:dyDescent="0.3">
      <c r="B86" s="16">
        <f t="shared" si="9"/>
        <v>77</v>
      </c>
      <c r="C86" s="111" t="s">
        <v>298</v>
      </c>
      <c r="D86" s="108" t="s">
        <v>297</v>
      </c>
      <c r="E86" s="599" t="str">
        <f t="shared" si="8"/>
        <v>ØyvindSchjelderup</v>
      </c>
      <c r="F86" s="192">
        <f>YEAR(I$5)-_xlfn.XLOOKUP(E86,Deltakerliste!E$5:E$98,Deltakerliste!I$5:I$98)</f>
        <v>60</v>
      </c>
      <c r="G86" s="192">
        <f>_xlfn.XLOOKUP(E86,Deltakerliste!E$5:E$98,Deltakerliste!H$5:H$98)</f>
        <v>2</v>
      </c>
      <c r="H86" s="592">
        <f>VLOOKUP(F86,Deltakerliste!P$6:T$84,G86,FALSE)</f>
        <v>1.2000000000000002</v>
      </c>
      <c r="I86" s="18"/>
      <c r="J86" s="18"/>
      <c r="K86" s="18"/>
      <c r="L86" s="600"/>
      <c r="M86" s="594"/>
      <c r="N86" s="724"/>
      <c r="O86" s="596"/>
    </row>
    <row r="87" spans="2:15" ht="21" thickBot="1" x14ac:dyDescent="0.3">
      <c r="B87" s="16">
        <f t="shared" si="9"/>
        <v>78</v>
      </c>
      <c r="C87" s="111" t="s">
        <v>153</v>
      </c>
      <c r="D87" s="193" t="s">
        <v>154</v>
      </c>
      <c r="E87" s="599" t="str">
        <f t="shared" si="8"/>
        <v>ReidunSmaavik</v>
      </c>
      <c r="F87" s="192">
        <f>YEAR(I$5)-_xlfn.XLOOKUP(E87,Deltakerliste!E$5:E$98,Deltakerliste!I$5:I$98)</f>
        <v>70</v>
      </c>
      <c r="G87" s="192">
        <f>_xlfn.XLOOKUP(E87,Deltakerliste!E$5:E$98,Deltakerliste!H$5:H$98)</f>
        <v>4</v>
      </c>
      <c r="H87" s="592">
        <f>VLOOKUP(F87,Deltakerliste!P$6:T$84,G87,FALSE)</f>
        <v>1.9490000000000012</v>
      </c>
      <c r="I87" s="132"/>
      <c r="J87" s="18"/>
      <c r="K87" s="18"/>
      <c r="L87" s="600"/>
      <c r="M87" s="594"/>
      <c r="N87" s="724"/>
      <c r="O87" s="596"/>
    </row>
    <row r="88" spans="2:15" ht="21" thickBot="1" x14ac:dyDescent="0.3">
      <c r="B88" s="16">
        <f t="shared" si="9"/>
        <v>79</v>
      </c>
      <c r="C88" s="111" t="s">
        <v>155</v>
      </c>
      <c r="D88" s="193" t="s">
        <v>156</v>
      </c>
      <c r="E88" s="599" t="str">
        <f t="shared" si="8"/>
        <v>KjellrunSporild</v>
      </c>
      <c r="F88" s="192">
        <f>YEAR(I$5)-_xlfn.XLOOKUP(E88,Deltakerliste!E$5:E$98,Deltakerliste!I$5:I$98)</f>
        <v>70</v>
      </c>
      <c r="G88" s="192">
        <f>_xlfn.XLOOKUP(E88,Deltakerliste!E$5:E$98,Deltakerliste!H$5:H$98)</f>
        <v>4</v>
      </c>
      <c r="H88" s="592">
        <f>VLOOKUP(F88,Deltakerliste!P$6:T$84,G88,FALSE)</f>
        <v>1.9490000000000012</v>
      </c>
      <c r="I88" s="18"/>
      <c r="J88" s="132"/>
      <c r="K88" s="18"/>
      <c r="L88" s="600"/>
      <c r="M88" s="594"/>
      <c r="N88" s="724"/>
      <c r="O88" s="596"/>
    </row>
    <row r="89" spans="2:15" ht="21" thickBot="1" x14ac:dyDescent="0.3">
      <c r="B89" s="16">
        <f t="shared" si="9"/>
        <v>80</v>
      </c>
      <c r="C89" s="111" t="s">
        <v>232</v>
      </c>
      <c r="D89" s="133" t="s">
        <v>231</v>
      </c>
      <c r="E89" s="599" t="str">
        <f t="shared" si="8"/>
        <v>BeritSunnset</v>
      </c>
      <c r="F89" s="192">
        <f>YEAR(I$5)-_xlfn.XLOOKUP(E89,Deltakerliste!E$5:E$98,Deltakerliste!I$5:I$98)</f>
        <v>62</v>
      </c>
      <c r="G89" s="192">
        <f>_xlfn.XLOOKUP(E89,Deltakerliste!E$5:E$98,Deltakerliste!H$5:H$98)</f>
        <v>4</v>
      </c>
      <c r="H89" s="592">
        <f>VLOOKUP(F89,Deltakerliste!P$6:T$84,G89,FALSE)</f>
        <v>1.6834000000000005</v>
      </c>
      <c r="I89" s="18"/>
      <c r="J89" s="18"/>
      <c r="K89" s="18"/>
      <c r="L89" s="600"/>
      <c r="M89" s="594"/>
      <c r="N89" s="724"/>
      <c r="O89" s="596"/>
    </row>
    <row r="90" spans="2:15" ht="21" thickBot="1" x14ac:dyDescent="0.3">
      <c r="B90" s="16">
        <f t="shared" si="9"/>
        <v>81</v>
      </c>
      <c r="C90" s="111" t="s">
        <v>230</v>
      </c>
      <c r="D90" s="108" t="s">
        <v>231</v>
      </c>
      <c r="E90" s="599" t="str">
        <f t="shared" si="8"/>
        <v>TrineSunnset</v>
      </c>
      <c r="F90" s="192">
        <f>YEAR(I$5)-_xlfn.XLOOKUP(E90,Deltakerliste!E$5:E$98,Deltakerliste!I$5:I$98)</f>
        <v>62</v>
      </c>
      <c r="G90" s="192">
        <f>_xlfn.XLOOKUP(E90,Deltakerliste!E$5:E$98,Deltakerliste!H$5:H$98)</f>
        <v>4</v>
      </c>
      <c r="H90" s="592">
        <f>VLOOKUP(F90,Deltakerliste!P$6:T$84,G90,FALSE)</f>
        <v>1.6834000000000005</v>
      </c>
      <c r="I90" s="18"/>
      <c r="J90" s="18"/>
      <c r="K90" s="18"/>
      <c r="L90" s="600"/>
      <c r="M90" s="594"/>
      <c r="N90" s="724"/>
      <c r="O90" s="596"/>
    </row>
    <row r="91" spans="2:15" ht="21" thickBot="1" x14ac:dyDescent="0.3">
      <c r="B91" s="16">
        <f t="shared" si="9"/>
        <v>82</v>
      </c>
      <c r="C91" s="193" t="s">
        <v>159</v>
      </c>
      <c r="D91" s="108" t="s">
        <v>160</v>
      </c>
      <c r="E91" s="599" t="str">
        <f t="shared" si="8"/>
        <v>EigilSørli</v>
      </c>
      <c r="F91" s="192">
        <f>YEAR(I$5)-_xlfn.XLOOKUP(E91,Deltakerliste!E$5:E$98,Deltakerliste!I$5:I$98)</f>
        <v>85</v>
      </c>
      <c r="G91" s="192">
        <f>_xlfn.XLOOKUP(E91,Deltakerliste!E$5:E$98,Deltakerliste!H$5:H$98)</f>
        <v>2</v>
      </c>
      <c r="H91" s="592">
        <f>VLOOKUP(F91,Deltakerliste!P$6:T$84,G91,FALSE)</f>
        <v>2.2249999999999996</v>
      </c>
      <c r="I91" s="132"/>
      <c r="J91" s="18"/>
      <c r="K91" s="18"/>
      <c r="L91" s="600"/>
      <c r="M91" s="594"/>
      <c r="N91" s="724"/>
      <c r="O91" s="596"/>
    </row>
    <row r="92" spans="2:15" ht="21" thickBot="1" x14ac:dyDescent="0.3">
      <c r="B92" s="16">
        <f t="shared" si="9"/>
        <v>83</v>
      </c>
      <c r="C92" s="193" t="s">
        <v>163</v>
      </c>
      <c r="D92" s="108" t="s">
        <v>164</v>
      </c>
      <c r="E92" s="599" t="str">
        <f t="shared" si="8"/>
        <v>ArnulfVilmo</v>
      </c>
      <c r="F92" s="192">
        <f>YEAR(I$5)-_xlfn.XLOOKUP(E92,Deltakerliste!E$5:E$98,Deltakerliste!I$5:I$98)</f>
        <v>72</v>
      </c>
      <c r="G92" s="192">
        <f>_xlfn.XLOOKUP(E92,Deltakerliste!E$5:E$98,Deltakerliste!H$5:H$98)</f>
        <v>2</v>
      </c>
      <c r="H92" s="592">
        <f>VLOOKUP(F92,Deltakerliste!P$6:T$84,G92,FALSE)</f>
        <v>1.4969999999999999</v>
      </c>
      <c r="I92" s="18"/>
      <c r="J92" s="132"/>
      <c r="K92" s="18"/>
      <c r="L92" s="600"/>
      <c r="M92" s="594"/>
      <c r="N92" s="724"/>
      <c r="O92" s="596"/>
    </row>
    <row r="93" spans="2:15" ht="21" thickBot="1" x14ac:dyDescent="0.3">
      <c r="B93" s="16">
        <f t="shared" si="9"/>
        <v>84</v>
      </c>
      <c r="C93" s="193" t="s">
        <v>307</v>
      </c>
      <c r="D93" s="108" t="s">
        <v>308</v>
      </c>
      <c r="E93" s="599" t="str">
        <f t="shared" si="8"/>
        <v>RolfWærnes</v>
      </c>
      <c r="F93" s="192">
        <f>YEAR(I$5)-_xlfn.XLOOKUP(E93,Deltakerliste!E$5:E$98,Deltakerliste!I$5:I$98)</f>
        <v>74</v>
      </c>
      <c r="G93" s="192">
        <f>_xlfn.XLOOKUP(E93,Deltakerliste!E$5:E$98,Deltakerliste!H$5:H$98)</f>
        <v>2</v>
      </c>
      <c r="H93" s="592">
        <f>VLOOKUP(F93,Deltakerliste!P$6:T$84,G93,FALSE)</f>
        <v>1.569</v>
      </c>
      <c r="I93" s="18"/>
      <c r="J93" s="132"/>
      <c r="K93" s="18"/>
      <c r="L93" s="790"/>
      <c r="M93" s="594"/>
      <c r="N93" s="724"/>
      <c r="O93" s="596"/>
    </row>
    <row r="94" spans="2:15" ht="21" thickBot="1" x14ac:dyDescent="0.3">
      <c r="B94" s="16">
        <f t="shared" si="9"/>
        <v>85</v>
      </c>
      <c r="C94" s="193" t="s">
        <v>166</v>
      </c>
      <c r="D94" s="108" t="s">
        <v>167</v>
      </c>
      <c r="E94" s="599" t="str">
        <f t="shared" si="8"/>
        <v>GunnarØsterbø</v>
      </c>
      <c r="F94" s="192">
        <f>YEAR(I$5)-_xlfn.XLOOKUP(E94,Deltakerliste!E$5:E$98,Deltakerliste!I$5:I$98)</f>
        <v>86</v>
      </c>
      <c r="G94" s="192">
        <f>_xlfn.XLOOKUP(E94,Deltakerliste!E$5:E$98,Deltakerliste!H$5:H$98)</f>
        <v>2</v>
      </c>
      <c r="H94" s="592">
        <f>VLOOKUP(F94,Deltakerliste!P$6:T$84,G94,FALSE)</f>
        <v>2.3089999999999997</v>
      </c>
      <c r="I94" s="18"/>
      <c r="J94" s="132"/>
      <c r="K94" s="18"/>
      <c r="L94" s="791"/>
      <c r="M94" s="594"/>
      <c r="N94" s="792"/>
      <c r="O94" s="596"/>
    </row>
    <row r="95" spans="2:15" ht="21" thickBot="1" x14ac:dyDescent="0.3">
      <c r="B95" s="16">
        <f t="shared" si="9"/>
        <v>86</v>
      </c>
      <c r="C95" s="193" t="s">
        <v>170</v>
      </c>
      <c r="D95" s="108" t="s">
        <v>171</v>
      </c>
      <c r="E95" s="599" t="str">
        <f t="shared" si="8"/>
        <v>ØisteinÅsmul</v>
      </c>
      <c r="F95" s="192">
        <f>YEAR(I$5)-_xlfn.XLOOKUP(E95,Deltakerliste!E$5:E$98,Deltakerliste!I$5:I$98)</f>
        <v>80</v>
      </c>
      <c r="G95" s="192">
        <f>_xlfn.XLOOKUP(E95,Deltakerliste!E$5:E$98,Deltakerliste!H$5:H$98)</f>
        <v>2</v>
      </c>
      <c r="H95" s="592">
        <f>VLOOKUP(F95,Deltakerliste!P$6:T$84,G95,FALSE)</f>
        <v>1.8550000000000002</v>
      </c>
      <c r="I95" s="132"/>
      <c r="J95" s="132"/>
      <c r="K95" s="18"/>
      <c r="L95" s="725"/>
      <c r="M95" s="717"/>
      <c r="N95" s="726"/>
      <c r="O95" s="719"/>
    </row>
    <row r="100" spans="4:11" ht="17" thickBot="1" x14ac:dyDescent="0.25"/>
    <row r="101" spans="4:11" ht="21" thickTop="1" thickBot="1" x14ac:dyDescent="0.3">
      <c r="D101" s="646" t="s">
        <v>288</v>
      </c>
      <c r="E101" s="647"/>
      <c r="F101" s="666"/>
      <c r="G101" s="666"/>
      <c r="H101" s="666"/>
      <c r="I101" s="648" t="s">
        <v>195</v>
      </c>
      <c r="J101" s="648" t="s">
        <v>196</v>
      </c>
      <c r="K101" s="649" t="s">
        <v>197</v>
      </c>
    </row>
    <row r="102" spans="4:11" ht="20" x14ac:dyDescent="0.25">
      <c r="D102" s="634" t="s">
        <v>172</v>
      </c>
      <c r="E102" s="320"/>
      <c r="F102" s="208"/>
      <c r="G102" s="208"/>
      <c r="H102" s="208"/>
      <c r="I102" s="635">
        <f>COUNT(I10:I97)+COUNTIF(I10:I97,"Brutt")+COUNTIF(I10:I97,"(*)")</f>
        <v>11</v>
      </c>
      <c r="J102" s="635">
        <f>COUNT(J10:J97)+COUNTIF(J10:J97,"Brutt")+COUNTIF(J10:J97,"(*)")</f>
        <v>18</v>
      </c>
      <c r="K102" s="636">
        <f>I102+J102</f>
        <v>29</v>
      </c>
    </row>
    <row r="103" spans="4:11" ht="19" x14ac:dyDescent="0.25">
      <c r="D103" s="637" t="s">
        <v>174</v>
      </c>
      <c r="E103" s="320"/>
      <c r="F103" s="208"/>
      <c r="G103" s="208"/>
      <c r="H103" s="208"/>
      <c r="I103" s="635">
        <f>COUNT(I10:I97)</f>
        <v>10</v>
      </c>
      <c r="J103" s="635">
        <f>COUNT(J10:J97)</f>
        <v>17</v>
      </c>
      <c r="K103" s="636">
        <f t="shared" ref="K103" si="10">I103+J103</f>
        <v>27</v>
      </c>
    </row>
    <row r="104" spans="4:11" ht="19" x14ac:dyDescent="0.25">
      <c r="D104" s="637" t="s">
        <v>173</v>
      </c>
      <c r="E104" s="320"/>
      <c r="F104" s="208"/>
      <c r="G104" s="208"/>
      <c r="H104" s="208"/>
      <c r="I104" s="208"/>
      <c r="J104" s="208"/>
      <c r="K104" s="636">
        <f>K102+COUNTIF(L10:L97,"Arr")+COUNTIF(L10:L97,"Løype")</f>
        <v>31</v>
      </c>
    </row>
    <row r="105" spans="4:11" ht="19" x14ac:dyDescent="0.25">
      <c r="D105" s="637" t="s">
        <v>341</v>
      </c>
      <c r="E105" s="320"/>
      <c r="F105" s="208"/>
      <c r="G105" s="208"/>
      <c r="H105" s="208"/>
      <c r="I105" s="208"/>
      <c r="J105" s="208"/>
      <c r="K105" s="638">
        <f>IF(SUM(L10:L97)=0," ",AVERAGEIF(M10:M97,"&gt;0",F10:F97))</f>
        <v>72.266666666666666</v>
      </c>
    </row>
    <row r="106" spans="4:11" ht="19" x14ac:dyDescent="0.25">
      <c r="D106" s="637" t="s">
        <v>296</v>
      </c>
      <c r="E106" s="320"/>
      <c r="F106" s="208"/>
      <c r="G106" s="208"/>
      <c r="H106" s="208"/>
      <c r="I106" s="208"/>
      <c r="J106" s="208"/>
      <c r="K106" s="638">
        <f>AVERAGE(I8:J8)</f>
        <v>2.4500000000000002</v>
      </c>
    </row>
    <row r="107" spans="4:11" ht="19" x14ac:dyDescent="0.25">
      <c r="D107" s="637" t="s">
        <v>176</v>
      </c>
      <c r="E107" s="320"/>
      <c r="F107" s="208"/>
      <c r="G107" s="208"/>
      <c r="H107" s="208"/>
      <c r="I107" s="112">
        <f>I8*I103</f>
        <v>20</v>
      </c>
      <c r="J107" s="112">
        <f>J8*J103</f>
        <v>49.3</v>
      </c>
      <c r="K107" s="638">
        <f>I107+J107</f>
        <v>69.3</v>
      </c>
    </row>
    <row r="108" spans="4:11" ht="19" x14ac:dyDescent="0.25">
      <c r="D108" s="639" t="s">
        <v>286</v>
      </c>
      <c r="E108" s="320"/>
      <c r="F108" s="208"/>
      <c r="G108" s="208"/>
      <c r="H108" s="208"/>
      <c r="I108" s="103">
        <f>IF(SUM(I10:I97)=0," ",AVERAGE(I10:I97))</f>
        <v>2.3165509259259257E-2</v>
      </c>
      <c r="J108" s="103">
        <f>IF(SUM(J10:J97)=0," ",AVERAGE(J10:J97))</f>
        <v>2.2009803921568625E-2</v>
      </c>
      <c r="K108" s="640">
        <f>IF(SUM(I10:J97)=0," ",AVERAGE(I10:J97))</f>
        <v>2.2437842935528116E-2</v>
      </c>
    </row>
    <row r="109" spans="4:11" ht="20" thickBot="1" x14ac:dyDescent="0.3">
      <c r="D109" s="641" t="s">
        <v>287</v>
      </c>
      <c r="E109" s="642"/>
      <c r="F109" s="644"/>
      <c r="G109" s="644"/>
      <c r="H109" s="644"/>
      <c r="I109" s="643"/>
      <c r="J109" s="644"/>
      <c r="K109" s="645">
        <f>MIN(L10:L97)</f>
        <v>5.4198595146871011E-3</v>
      </c>
    </row>
    <row r="110" spans="4:11" ht="17" thickTop="1" x14ac:dyDescent="0.2"/>
  </sheetData>
  <autoFilter ref="C9:O95" xr:uid="{B1B9CFA5-2C96-B14C-8C00-F5AA139316DB}">
    <sortState xmlns:xlrd2="http://schemas.microsoft.com/office/spreadsheetml/2017/richdata2" ref="C10:O95">
      <sortCondition ref="L9:L95"/>
    </sortState>
  </autoFilter>
  <mergeCells count="3">
    <mergeCell ref="W7:X7"/>
    <mergeCell ref="S8:U8"/>
    <mergeCell ref="W8:X8"/>
  </mergeCells>
  <pageMargins left="0.7" right="0.7" top="0.75" bottom="0.75" header="0.3" footer="0.3"/>
  <pageSetup paperSize="9" orientation="portrait" horizontalDpi="0" verticalDpi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F4388-68A2-E645-8E20-E5BCE27BD6F4}">
  <dimension ref="B1:AC110"/>
  <sheetViews>
    <sheetView topLeftCell="A68" workbookViewId="0">
      <selection activeCell="AI32" sqref="AI32"/>
    </sheetView>
  </sheetViews>
  <sheetFormatPr baseColWidth="10" defaultColWidth="10.83203125" defaultRowHeight="16" x14ac:dyDescent="0.2"/>
  <cols>
    <col min="3" max="3" width="14.5" customWidth="1"/>
    <col min="4" max="5" width="20.1640625" customWidth="1"/>
    <col min="6" max="7" width="14.5" style="15" customWidth="1"/>
    <col min="8" max="8" width="14" style="15" customWidth="1"/>
    <col min="9" max="10" width="19.1640625" style="15" customWidth="1"/>
    <col min="11" max="11" width="17.6640625" style="15" customWidth="1"/>
    <col min="12" max="12" width="10.83203125" style="15"/>
    <col min="14" max="14" width="10.83203125" style="15"/>
    <col min="18" max="18" width="12.5" customWidth="1"/>
    <col min="19" max="19" width="13.5" customWidth="1"/>
    <col min="22" max="22" width="1.83203125" customWidth="1"/>
    <col min="23" max="23" width="15.83203125" customWidth="1"/>
    <col min="24" max="24" width="11" customWidth="1"/>
  </cols>
  <sheetData>
    <row r="1" spans="2:29" ht="8" customHeight="1" x14ac:dyDescent="0.2"/>
    <row r="2" spans="2:29" ht="8" customHeight="1" x14ac:dyDescent="0.2"/>
    <row r="5" spans="2:29" ht="26" x14ac:dyDescent="0.3">
      <c r="B5" s="21" t="s">
        <v>322</v>
      </c>
      <c r="C5" s="245" t="s">
        <v>391</v>
      </c>
      <c r="F5" s="667"/>
      <c r="G5" s="667"/>
      <c r="H5" s="671" t="s">
        <v>189</v>
      </c>
      <c r="I5" s="670">
        <f>'Løp 13'!I5+7</f>
        <v>46028</v>
      </c>
    </row>
    <row r="6" spans="2:29" ht="17" thickBot="1" x14ac:dyDescent="0.25">
      <c r="B6" s="15"/>
    </row>
    <row r="7" spans="2:29" ht="59" customHeight="1" thickBot="1" x14ac:dyDescent="0.35">
      <c r="B7" s="12" t="s">
        <v>194</v>
      </c>
      <c r="C7" s="662" t="s">
        <v>57</v>
      </c>
      <c r="D7" s="391" t="s">
        <v>58</v>
      </c>
      <c r="E7" s="663"/>
      <c r="F7" s="663" t="s">
        <v>234</v>
      </c>
      <c r="G7" s="391" t="s">
        <v>280</v>
      </c>
      <c r="H7" s="391" t="s">
        <v>235</v>
      </c>
      <c r="I7" s="391" t="s">
        <v>302</v>
      </c>
      <c r="J7" s="391" t="s">
        <v>303</v>
      </c>
      <c r="K7" s="391" t="s">
        <v>192</v>
      </c>
      <c r="L7" s="194" t="s">
        <v>209</v>
      </c>
      <c r="M7" s="392" t="s">
        <v>55</v>
      </c>
      <c r="N7" s="393" t="s">
        <v>242</v>
      </c>
      <c r="O7" s="393" t="s">
        <v>240</v>
      </c>
      <c r="Q7" s="319"/>
      <c r="R7" s="319"/>
      <c r="S7" s="755" t="str">
        <f>B5</f>
        <v>Løp 14</v>
      </c>
      <c r="T7" s="754" t="str">
        <f>C5</f>
        <v>Eberg</v>
      </c>
      <c r="U7" s="730"/>
      <c r="V7" s="730"/>
      <c r="W7" s="941"/>
      <c r="X7" s="941"/>
    </row>
    <row r="8" spans="2:29" ht="23" customHeight="1" thickTop="1" thickBot="1" x14ac:dyDescent="0.35">
      <c r="B8" s="22"/>
      <c r="C8" s="394"/>
      <c r="D8" s="395"/>
      <c r="E8" s="597"/>
      <c r="F8" s="668"/>
      <c r="G8" s="668"/>
      <c r="H8" s="664"/>
      <c r="I8" s="789">
        <v>2</v>
      </c>
      <c r="J8" s="789">
        <v>3.2</v>
      </c>
      <c r="K8" s="391"/>
      <c r="N8" s="720"/>
      <c r="O8" s="390"/>
      <c r="S8" s="942" t="s">
        <v>312</v>
      </c>
      <c r="T8" s="943"/>
      <c r="U8" s="944"/>
      <c r="V8" s="779"/>
      <c r="W8" s="945" t="s">
        <v>313</v>
      </c>
      <c r="X8" s="940"/>
      <c r="AB8" s="836" t="s">
        <v>361</v>
      </c>
      <c r="AC8" s="827"/>
    </row>
    <row r="9" spans="2:29" ht="21" thickBot="1" x14ac:dyDescent="0.3">
      <c r="B9" s="22"/>
      <c r="C9" s="109"/>
      <c r="D9" s="105"/>
      <c r="E9" s="598"/>
      <c r="F9" s="669"/>
      <c r="G9" s="669"/>
      <c r="H9" s="665"/>
      <c r="I9" s="12"/>
      <c r="J9" s="12"/>
      <c r="K9" s="12"/>
      <c r="N9" s="722"/>
      <c r="O9" s="200"/>
      <c r="Q9" s="110"/>
      <c r="S9" s="731"/>
      <c r="T9" s="727" t="s">
        <v>311</v>
      </c>
      <c r="U9" s="750" t="s">
        <v>55</v>
      </c>
      <c r="V9" s="780"/>
      <c r="W9" s="774"/>
      <c r="X9" s="732" t="s">
        <v>55</v>
      </c>
      <c r="AB9" s="834" t="s">
        <v>234</v>
      </c>
      <c r="AC9" s="835" t="s">
        <v>362</v>
      </c>
    </row>
    <row r="10" spans="2:29" ht="21" thickBot="1" x14ac:dyDescent="0.3">
      <c r="B10" s="16">
        <f t="shared" ref="B10:B72" si="0">B9+1</f>
        <v>1</v>
      </c>
      <c r="C10" s="106" t="s">
        <v>78</v>
      </c>
      <c r="D10" s="107" t="s">
        <v>79</v>
      </c>
      <c r="E10" s="599" t="str">
        <f t="shared" ref="E10:E41" si="1">_xlfn.CONCAT(C10:D10)</f>
        <v>LeifEngen</v>
      </c>
      <c r="F10" s="192">
        <f>YEAR(I$5)-_xlfn.XLOOKUP(E10,Deltakerliste!E$5:E$98,Deltakerliste!I$5:I$98)</f>
        <v>85</v>
      </c>
      <c r="G10" s="192">
        <f>_xlfn.XLOOKUP(E10,Deltakerliste!E$5:E$98,Deltakerliste!H$5:H$98)</f>
        <v>2</v>
      </c>
      <c r="H10" s="592">
        <f>VLOOKUP(F10,Deltakerliste!P$6:T$84,G10,FALSE)</f>
        <v>2.2249999999999996</v>
      </c>
      <c r="I10" s="86">
        <v>1.7291666666666667E-2</v>
      </c>
      <c r="J10" s="86"/>
      <c r="K10" s="13"/>
      <c r="L10" s="600">
        <f t="shared" ref="L10:L37" si="2">IF(OR(I10="Arr",J10="Arr",K10="Arr"),"Arr",IF(OR(I10="Brutt",J10="Brutt",K10="Brutt"),"Brutt",IF(OR(I10="Løype",J10="Løype",K10="Løype"),"Løype",IF(I10&gt;0,I10/I$8,J10/J$8))))</f>
        <v>8.6458333333333335E-3</v>
      </c>
      <c r="M10" s="594">
        <f>IF(L10="Løype",Poengsammendrag!$F$2,IF(L10="Arr",Poengsammendrag!$F$3,IF(L10="Brutt",50,IF(L10="Disk",50,ROUND(MAXA(100*(MIN(L$10:L$92)/L10),50),0)))))</f>
        <v>73</v>
      </c>
      <c r="N10" s="724">
        <f t="shared" ref="N10:N37" si="3">IF(L10="Arr","Arr",IF(L10="Brutt","Brutt",IF(L10="Løype","Løype",L10/H10)))</f>
        <v>3.885767790262173E-3</v>
      </c>
      <c r="O10" s="596">
        <f>IF(N10="Løype",Poengsammendrag!$F$2,IF(N10="Arr",Poengsammendrag!$F$3,IF(N10="Brutt",50,IF(N10="Disk",50,ROUND(MAXA(100*(MIN(N$10:N$92)/N10),50),0)))))</f>
        <v>100</v>
      </c>
      <c r="Q10" s="672"/>
      <c r="R10" s="672"/>
      <c r="S10" s="802" t="s">
        <v>368</v>
      </c>
      <c r="T10" s="734">
        <v>6.2825520833333327E-3</v>
      </c>
      <c r="U10" s="751">
        <v>100</v>
      </c>
      <c r="V10" s="781"/>
      <c r="W10" s="775" t="s">
        <v>338</v>
      </c>
      <c r="X10" s="739">
        <v>100</v>
      </c>
      <c r="AB10" s="832">
        <v>55</v>
      </c>
      <c r="AC10" s="833">
        <f t="shared" ref="AC10:AC50" si="4">COUNTIFS(F$10:F$96,AB10,M$10:M$96,"&gt;0")</f>
        <v>0</v>
      </c>
    </row>
    <row r="11" spans="2:29" ht="21" customHeight="1" thickBot="1" x14ac:dyDescent="0.3">
      <c r="B11" s="16">
        <f t="shared" si="0"/>
        <v>2</v>
      </c>
      <c r="C11" s="106" t="s">
        <v>149</v>
      </c>
      <c r="D11" s="107" t="s">
        <v>150</v>
      </c>
      <c r="E11" s="599" t="str">
        <f t="shared" si="1"/>
        <v>BenteSkorge</v>
      </c>
      <c r="F11" s="192">
        <f>YEAR(I$5)-_xlfn.XLOOKUP(E11,Deltakerliste!E$5:E$98,Deltakerliste!I$5:I$98)</f>
        <v>67</v>
      </c>
      <c r="G11" s="192">
        <f>_xlfn.XLOOKUP(E11,Deltakerliste!E$5:E$98,Deltakerliste!H$5:H$98)</f>
        <v>4</v>
      </c>
      <c r="H11" s="592">
        <f>VLOOKUP(F11,Deltakerliste!P$6:T$84,G11,FALSE)</f>
        <v>1.8422000000000009</v>
      </c>
      <c r="I11" s="132"/>
      <c r="J11" s="132">
        <v>2.431712962962963E-2</v>
      </c>
      <c r="K11" s="18"/>
      <c r="L11" s="600">
        <f t="shared" si="2"/>
        <v>7.5991030092592586E-3</v>
      </c>
      <c r="M11" s="594">
        <f>IF(L11="Løype",Poengsammendrag!$F$2,IF(L11="Arr",Poengsammendrag!$F$3,IF(L11="Brutt",50,IF(L11="Disk",50,ROUND(MAXA(100*(MIN(L$10:L$92)/L11),50),0)))))</f>
        <v>83</v>
      </c>
      <c r="N11" s="724">
        <f t="shared" si="3"/>
        <v>4.1250152042445198E-3</v>
      </c>
      <c r="O11" s="596">
        <f>IF(N11="Løype",Poengsammendrag!$F$2,IF(N11="Arr",Poengsammendrag!$F$3,IF(N11="Brutt",50,IF(N11="Disk",50,ROUND(MAXA(100*(MIN(N$10:N$92)/N11),50),0)))))</f>
        <v>94</v>
      </c>
      <c r="Q11" s="672"/>
      <c r="R11" s="672"/>
      <c r="S11" s="803" t="s">
        <v>222</v>
      </c>
      <c r="T11" s="736">
        <v>6.6153067129629635E-3</v>
      </c>
      <c r="U11" s="752">
        <v>95</v>
      </c>
      <c r="V11" s="781"/>
      <c r="W11" s="776" t="s">
        <v>149</v>
      </c>
      <c r="X11" s="740">
        <v>94</v>
      </c>
      <c r="AB11" s="828">
        <f>AB10+1</f>
        <v>56</v>
      </c>
      <c r="AC11" s="829">
        <f t="shared" si="4"/>
        <v>0</v>
      </c>
    </row>
    <row r="12" spans="2:29" ht="21" customHeight="1" thickBot="1" x14ac:dyDescent="0.3">
      <c r="B12" s="16">
        <f t="shared" si="0"/>
        <v>3</v>
      </c>
      <c r="C12" s="106" t="s">
        <v>64</v>
      </c>
      <c r="D12" s="107" t="s">
        <v>65</v>
      </c>
      <c r="E12" s="599" t="str">
        <f t="shared" si="1"/>
        <v>BjørnBerger</v>
      </c>
      <c r="F12" s="192">
        <f>YEAR(I$5)-_xlfn.XLOOKUP(E12,Deltakerliste!E$5:E$98,Deltakerliste!I$5:I$98)</f>
        <v>75</v>
      </c>
      <c r="G12" s="192">
        <f>_xlfn.XLOOKUP(E12,Deltakerliste!E$5:E$98,Deltakerliste!H$5:H$98)</f>
        <v>2</v>
      </c>
      <c r="H12" s="592">
        <f>VLOOKUP(F12,Deltakerliste!P$6:T$84,G12,FALSE)</f>
        <v>1.605</v>
      </c>
      <c r="I12" s="13"/>
      <c r="J12" s="13">
        <v>2.2233796296296297E-2</v>
      </c>
      <c r="K12" s="19"/>
      <c r="L12" s="600">
        <f t="shared" si="2"/>
        <v>6.9480613425925925E-3</v>
      </c>
      <c r="M12" s="594">
        <f>IF(L12="Løype",Poengsammendrag!$F$2,IF(L12="Arr",Poengsammendrag!$F$3,IF(L12="Brutt",50,IF(L12="Disk",50,ROUND(MAXA(100*(MIN(L$10:L$92)/L12),50),0)))))</f>
        <v>90</v>
      </c>
      <c r="N12" s="724">
        <f t="shared" si="3"/>
        <v>4.329010182300681E-3</v>
      </c>
      <c r="O12" s="596">
        <f>IF(N12="Løype",Poengsammendrag!$F$2,IF(N12="Arr",Poengsammendrag!$F$3,IF(N12="Brutt",50,IF(N12="Disk",50,ROUND(MAXA(100*(MIN(N$10:N$92)/N12),50),0)))))</f>
        <v>90</v>
      </c>
      <c r="Q12" s="672"/>
      <c r="R12" s="672"/>
      <c r="S12" s="803" t="s">
        <v>120</v>
      </c>
      <c r="T12" s="736">
        <v>6.6587094907407402E-3</v>
      </c>
      <c r="U12" s="752">
        <v>94</v>
      </c>
      <c r="V12" s="781"/>
      <c r="W12" s="776" t="s">
        <v>380</v>
      </c>
      <c r="X12" s="740">
        <v>90</v>
      </c>
      <c r="AB12" s="828">
        <f t="shared" ref="AB12:AB50" si="5">AB11+1</f>
        <v>57</v>
      </c>
      <c r="AC12" s="829">
        <f t="shared" si="4"/>
        <v>0</v>
      </c>
    </row>
    <row r="13" spans="2:29" ht="21" customHeight="1" thickBot="1" x14ac:dyDescent="0.3">
      <c r="B13" s="16">
        <f t="shared" si="0"/>
        <v>4</v>
      </c>
      <c r="C13" s="106" t="s">
        <v>120</v>
      </c>
      <c r="D13" s="107" t="s">
        <v>121</v>
      </c>
      <c r="E13" s="599" t="str">
        <f t="shared" si="1"/>
        <v>KlausLivik</v>
      </c>
      <c r="F13" s="192">
        <f>YEAR(I$5)-_xlfn.XLOOKUP(E13,Deltakerliste!E$5:E$98,Deltakerliste!I$5:I$98)</f>
        <v>72</v>
      </c>
      <c r="G13" s="192">
        <f>_xlfn.XLOOKUP(E13,Deltakerliste!E$5:E$98,Deltakerliste!H$5:H$98)</f>
        <v>2</v>
      </c>
      <c r="H13" s="592">
        <f>VLOOKUP(F13,Deltakerliste!P$6:T$84,G13,FALSE)</f>
        <v>1.4969999999999999</v>
      </c>
      <c r="I13" s="13"/>
      <c r="J13" s="13">
        <v>2.1307870370370369E-2</v>
      </c>
      <c r="K13" s="17"/>
      <c r="L13" s="600">
        <f t="shared" si="2"/>
        <v>6.6587094907407402E-3</v>
      </c>
      <c r="M13" s="594">
        <f>IF(L13="Løype",Poengsammendrag!$F$2,IF(L13="Arr",Poengsammendrag!$F$3,IF(L13="Brutt",50,IF(L13="Disk",50,ROUND(MAXA(100*(MIN(L$10:L$92)/L13),50),0)))))</f>
        <v>94</v>
      </c>
      <c r="N13" s="724">
        <f t="shared" si="3"/>
        <v>4.448035731957743E-3</v>
      </c>
      <c r="O13" s="596">
        <f>IF(N13="Løype",Poengsammendrag!$F$2,IF(N13="Arr",Poengsammendrag!$F$3,IF(N13="Brutt",50,IF(N13="Disk",50,ROUND(MAXA(100*(MIN(N$10:N$92)/N13),50),0)))))</f>
        <v>87</v>
      </c>
      <c r="Q13" s="672"/>
      <c r="R13" s="672"/>
      <c r="S13" s="803" t="s">
        <v>380</v>
      </c>
      <c r="T13" s="736">
        <v>6.9480613425925925E-3</v>
      </c>
      <c r="U13" s="752">
        <v>90</v>
      </c>
      <c r="V13" s="781"/>
      <c r="W13" s="776" t="s">
        <v>120</v>
      </c>
      <c r="X13" s="740">
        <v>87</v>
      </c>
      <c r="AB13" s="828">
        <f t="shared" si="5"/>
        <v>58</v>
      </c>
      <c r="AC13" s="829">
        <f t="shared" si="4"/>
        <v>0</v>
      </c>
    </row>
    <row r="14" spans="2:29" ht="21" customHeight="1" thickBot="1" x14ac:dyDescent="0.3">
      <c r="B14" s="16">
        <f t="shared" si="0"/>
        <v>5</v>
      </c>
      <c r="C14" s="106" t="s">
        <v>114</v>
      </c>
      <c r="D14" s="107" t="s">
        <v>115</v>
      </c>
      <c r="E14" s="599" t="str">
        <f t="shared" si="1"/>
        <v>MagnusLandstad</v>
      </c>
      <c r="F14" s="192">
        <f>YEAR(I$5)-_xlfn.XLOOKUP(E14,Deltakerliste!E$5:E$98,Deltakerliste!I$5:I$98)</f>
        <v>83</v>
      </c>
      <c r="G14" s="192">
        <f>_xlfn.XLOOKUP(E14,Deltakerliste!E$5:E$98,Deltakerliste!H$5:H$98)</f>
        <v>2</v>
      </c>
      <c r="H14" s="592">
        <f>VLOOKUP(F14,Deltakerliste!P$6:T$84,G14,FALSE)</f>
        <v>2.077</v>
      </c>
      <c r="I14" s="86"/>
      <c r="J14" s="86">
        <v>2.9895833333333333E-2</v>
      </c>
      <c r="K14" s="13"/>
      <c r="L14" s="600">
        <f t="shared" si="2"/>
        <v>9.3424479166666664E-3</v>
      </c>
      <c r="M14" s="594">
        <f>IF(L14="Løype",Poengsammendrag!$F$2,IF(L14="Arr",Poengsammendrag!$F$3,IF(L14="Brutt",50,IF(L14="Disk",50,ROUND(MAXA(100*(MIN(L$10:L$92)/L14),50),0)))))</f>
        <v>67</v>
      </c>
      <c r="N14" s="724">
        <f t="shared" si="3"/>
        <v>4.4980490691702776E-3</v>
      </c>
      <c r="O14" s="596">
        <f>IF(N14="Løype",Poengsammendrag!$F$2,IF(N14="Arr",Poengsammendrag!$F$3,IF(N14="Brutt",50,IF(N14="Disk",50,ROUND(MAXA(100*(MIN(N$10:N$92)/N14),50),0)))))</f>
        <v>86</v>
      </c>
      <c r="Q14" s="672"/>
      <c r="R14" s="672"/>
      <c r="S14" s="803" t="s">
        <v>134</v>
      </c>
      <c r="T14" s="736">
        <v>7.2410300925925923E-3</v>
      </c>
      <c r="U14" s="752">
        <v>87</v>
      </c>
      <c r="V14" s="781"/>
      <c r="W14" s="776" t="s">
        <v>114</v>
      </c>
      <c r="X14" s="740">
        <v>86</v>
      </c>
      <c r="AB14" s="828">
        <f t="shared" si="5"/>
        <v>59</v>
      </c>
      <c r="AC14" s="829">
        <f t="shared" si="4"/>
        <v>0</v>
      </c>
    </row>
    <row r="15" spans="2:29" ht="21" customHeight="1" thickBot="1" x14ac:dyDescent="0.3">
      <c r="B15" s="16">
        <f t="shared" si="0"/>
        <v>6</v>
      </c>
      <c r="C15" s="106" t="s">
        <v>222</v>
      </c>
      <c r="D15" s="107" t="s">
        <v>221</v>
      </c>
      <c r="E15" s="599" t="str">
        <f t="shared" si="1"/>
        <v>Kjell Maroni</v>
      </c>
      <c r="F15" s="192">
        <f>YEAR(I$5)-_xlfn.XLOOKUP(E15,Deltakerliste!E$5:E$98,Deltakerliste!I$5:I$98)</f>
        <v>70</v>
      </c>
      <c r="G15" s="192">
        <f>_xlfn.XLOOKUP(E15,Deltakerliste!E$5:E$98,Deltakerliste!H$5:H$98)</f>
        <v>2</v>
      </c>
      <c r="H15" s="592">
        <f>VLOOKUP(F15,Deltakerliste!P$6:T$84,G15,FALSE)</f>
        <v>1.4249999999999998</v>
      </c>
      <c r="I15" s="13"/>
      <c r="J15" s="13">
        <v>2.1168981481481483E-2</v>
      </c>
      <c r="K15" s="13"/>
      <c r="L15" s="600">
        <f t="shared" si="2"/>
        <v>6.6153067129629635E-3</v>
      </c>
      <c r="M15" s="594">
        <f>IF(L15="Løype",Poengsammendrag!$F$2,IF(L15="Arr",Poengsammendrag!$F$3,IF(L15="Brutt",50,IF(L15="Disk",50,ROUND(MAXA(100*(MIN(L$10:L$92)/L15),50),0)))))</f>
        <v>95</v>
      </c>
      <c r="N15" s="724">
        <f t="shared" si="3"/>
        <v>4.6423205003248875E-3</v>
      </c>
      <c r="O15" s="596">
        <f>IF(N15="Løype",Poengsammendrag!$F$2,IF(N15="Arr",Poengsammendrag!$F$3,IF(N15="Brutt",50,IF(N15="Disk",50,ROUND(MAXA(100*(MIN(N$10:N$92)/N15),50),0)))))</f>
        <v>84</v>
      </c>
      <c r="Q15" s="672"/>
      <c r="R15" s="672"/>
      <c r="S15" s="803" t="s">
        <v>149</v>
      </c>
      <c r="T15" s="736">
        <v>7.5991030092592586E-3</v>
      </c>
      <c r="U15" s="752">
        <v>83</v>
      </c>
      <c r="V15" s="781"/>
      <c r="W15" s="776" t="s">
        <v>222</v>
      </c>
      <c r="X15" s="740">
        <v>84</v>
      </c>
      <c r="AB15" s="828">
        <f t="shared" si="5"/>
        <v>60</v>
      </c>
      <c r="AC15" s="829">
        <f t="shared" si="4"/>
        <v>1</v>
      </c>
    </row>
    <row r="16" spans="2:29" ht="21" customHeight="1" thickBot="1" x14ac:dyDescent="0.3">
      <c r="B16" s="16">
        <f t="shared" si="0"/>
        <v>7</v>
      </c>
      <c r="C16" s="106" t="s">
        <v>122</v>
      </c>
      <c r="D16" s="107" t="s">
        <v>123</v>
      </c>
      <c r="E16" s="599" t="str">
        <f t="shared" si="1"/>
        <v>MartinMelhuus</v>
      </c>
      <c r="F16" s="192">
        <f>YEAR(I$5)-_xlfn.XLOOKUP(E16,Deltakerliste!E$5:E$98,Deltakerliste!I$5:I$98)</f>
        <v>82</v>
      </c>
      <c r="G16" s="192">
        <f>_xlfn.XLOOKUP(E16,Deltakerliste!E$5:E$98,Deltakerliste!H$5:H$98)</f>
        <v>2</v>
      </c>
      <c r="H16" s="592">
        <f>VLOOKUP(F16,Deltakerliste!P$6:T$84,G16,FALSE)</f>
        <v>2.0030000000000001</v>
      </c>
      <c r="I16" s="13">
        <v>1.8912037037037036E-2</v>
      </c>
      <c r="J16" s="13"/>
      <c r="K16" s="13"/>
      <c r="L16" s="600">
        <f t="shared" si="2"/>
        <v>9.4560185185185181E-3</v>
      </c>
      <c r="M16" s="594">
        <f>IF(L16="Løype",Poengsammendrag!$F$2,IF(L16="Arr",Poengsammendrag!$F$3,IF(L16="Brutt",50,IF(L16="Disk",50,ROUND(MAXA(100*(MIN(L$10:L$92)/L16),50),0)))))</f>
        <v>66</v>
      </c>
      <c r="N16" s="724">
        <f t="shared" si="3"/>
        <v>4.7209278674580713E-3</v>
      </c>
      <c r="O16" s="596">
        <f>IF(N16="Løype",Poengsammendrag!$F$2,IF(N16="Arr",Poengsammendrag!$F$3,IF(N16="Brutt",50,IF(N16="Disk",50,ROUND(MAXA(100*(MIN(N$10:N$92)/N16),50),0)))))</f>
        <v>82</v>
      </c>
      <c r="Q16" s="672"/>
      <c r="R16" s="672"/>
      <c r="S16" s="803" t="s">
        <v>101</v>
      </c>
      <c r="T16" s="736">
        <v>7.9137731481481472E-3</v>
      </c>
      <c r="U16" s="752">
        <v>79</v>
      </c>
      <c r="V16" s="781"/>
      <c r="W16" s="776" t="s">
        <v>122</v>
      </c>
      <c r="X16" s="740">
        <v>82</v>
      </c>
      <c r="AB16" s="828">
        <f t="shared" si="5"/>
        <v>61</v>
      </c>
      <c r="AC16" s="829">
        <f t="shared" si="4"/>
        <v>0</v>
      </c>
    </row>
    <row r="17" spans="2:29" ht="21" customHeight="1" thickBot="1" x14ac:dyDescent="0.3">
      <c r="B17" s="16">
        <f t="shared" si="0"/>
        <v>8</v>
      </c>
      <c r="C17" s="106" t="s">
        <v>124</v>
      </c>
      <c r="D17" s="107" t="s">
        <v>125</v>
      </c>
      <c r="E17" s="599" t="str">
        <f t="shared" si="1"/>
        <v>Heidi Midttun</v>
      </c>
      <c r="F17" s="192">
        <f>YEAR(I$5)-_xlfn.XLOOKUP(E17,Deltakerliste!E$5:E$98,Deltakerliste!I$5:I$98)</f>
        <v>71</v>
      </c>
      <c r="G17" s="192">
        <f>_xlfn.XLOOKUP(E17,Deltakerliste!E$5:E$98,Deltakerliste!H$5:H$98)</f>
        <v>4</v>
      </c>
      <c r="H17" s="592">
        <f>VLOOKUP(F17,Deltakerliste!P$6:T$84,G17,FALSE)</f>
        <v>1.9926000000000013</v>
      </c>
      <c r="I17" s="13">
        <v>1.9467592592592592E-2</v>
      </c>
      <c r="J17" s="13"/>
      <c r="K17" s="13"/>
      <c r="L17" s="600">
        <f t="shared" si="2"/>
        <v>9.7337962962962959E-3</v>
      </c>
      <c r="M17" s="594">
        <f>IF(L17="Løype",Poengsammendrag!$F$2,IF(L17="Arr",Poengsammendrag!$F$3,IF(L17="Brutt",50,IF(L17="Disk",50,ROUND(MAXA(100*(MIN(L$10:L$92)/L17),50),0)))))</f>
        <v>65</v>
      </c>
      <c r="N17" s="724">
        <f t="shared" si="3"/>
        <v>4.884972546570456E-3</v>
      </c>
      <c r="O17" s="596">
        <f>IF(N17="Løype",Poengsammendrag!$F$2,IF(N17="Arr",Poengsammendrag!$F$3,IF(N17="Brutt",50,IF(N17="Disk",50,ROUND(MAXA(100*(MIN(N$10:N$92)/N17),50),0)))))</f>
        <v>80</v>
      </c>
      <c r="Q17" s="672"/>
      <c r="R17" s="672"/>
      <c r="S17" s="803" t="s">
        <v>99</v>
      </c>
      <c r="T17" s="736">
        <v>8.2031249999999986E-3</v>
      </c>
      <c r="U17" s="752">
        <v>77</v>
      </c>
      <c r="V17" s="781"/>
      <c r="W17" s="776" t="s">
        <v>124</v>
      </c>
      <c r="X17" s="740">
        <v>80</v>
      </c>
      <c r="AB17" s="828">
        <f t="shared" si="5"/>
        <v>62</v>
      </c>
      <c r="AC17" s="829">
        <f t="shared" si="4"/>
        <v>0</v>
      </c>
    </row>
    <row r="18" spans="2:29" ht="21" customHeight="1" thickBot="1" x14ac:dyDescent="0.3">
      <c r="B18" s="16">
        <f t="shared" si="0"/>
        <v>9</v>
      </c>
      <c r="C18" s="106" t="s">
        <v>106</v>
      </c>
      <c r="D18" s="107" t="s">
        <v>107</v>
      </c>
      <c r="E18" s="599" t="str">
        <f t="shared" si="1"/>
        <v>Jon ArneKlemetsaune</v>
      </c>
      <c r="F18" s="192">
        <f>YEAR(I$5)-_xlfn.XLOOKUP(E18,Deltakerliste!E$5:E$98,Deltakerliste!I$5:I$98)</f>
        <v>77</v>
      </c>
      <c r="G18" s="192">
        <f>_xlfn.XLOOKUP(E18,Deltakerliste!E$5:E$98,Deltakerliste!H$5:H$98)</f>
        <v>2</v>
      </c>
      <c r="H18" s="592">
        <f>VLOOKUP(F18,Deltakerliste!P$6:T$84,G18,FALSE)</f>
        <v>1.7050000000000001</v>
      </c>
      <c r="I18" s="86"/>
      <c r="J18" s="86">
        <v>2.7557870370370371E-2</v>
      </c>
      <c r="K18" s="17"/>
      <c r="L18" s="600">
        <f t="shared" si="2"/>
        <v>8.6118344907407402E-3</v>
      </c>
      <c r="M18" s="594">
        <f>IF(L18="Løype",Poengsammendrag!$F$2,IF(L18="Arr",Poengsammendrag!$F$3,IF(L18="Brutt",50,IF(L18="Disk",50,ROUND(MAXA(100*(MIN(L$10:L$92)/L18),50),0)))))</f>
        <v>73</v>
      </c>
      <c r="N18" s="724">
        <f t="shared" si="3"/>
        <v>5.0509293200825455E-3</v>
      </c>
      <c r="O18" s="596">
        <f>IF(N18="Løype",Poengsammendrag!$F$2,IF(N18="Arr",Poengsammendrag!$F$3,IF(N18="Brutt",50,IF(N18="Disk",50,ROUND(MAXA(100*(MIN(N$10:N$92)/N18),50),0)))))</f>
        <v>77</v>
      </c>
      <c r="Q18" s="672"/>
      <c r="R18" s="672"/>
      <c r="S18" s="803" t="s">
        <v>346</v>
      </c>
      <c r="T18" s="736">
        <v>8.4526909722222217E-3</v>
      </c>
      <c r="U18" s="752">
        <v>74</v>
      </c>
      <c r="V18" s="781"/>
      <c r="W18" s="776" t="s">
        <v>106</v>
      </c>
      <c r="X18" s="740">
        <v>77</v>
      </c>
      <c r="AB18" s="828">
        <f t="shared" si="5"/>
        <v>63</v>
      </c>
      <c r="AC18" s="829">
        <f t="shared" si="4"/>
        <v>0</v>
      </c>
    </row>
    <row r="19" spans="2:29" ht="21" thickBot="1" x14ac:dyDescent="0.3">
      <c r="B19" s="16">
        <f t="shared" si="0"/>
        <v>10</v>
      </c>
      <c r="C19" s="106" t="s">
        <v>134</v>
      </c>
      <c r="D19" s="107" t="s">
        <v>135</v>
      </c>
      <c r="E19" s="599" t="str">
        <f t="shared" si="1"/>
        <v>IngeNørstebø</v>
      </c>
      <c r="F19" s="192">
        <f>YEAR(I$5)-_xlfn.XLOOKUP(E19,Deltakerliste!E$5:E$98,Deltakerliste!I$5:I$98)</f>
        <v>70</v>
      </c>
      <c r="G19" s="192">
        <f>_xlfn.XLOOKUP(E19,Deltakerliste!E$5:E$98,Deltakerliste!H$5:H$98)</f>
        <v>2</v>
      </c>
      <c r="H19" s="592">
        <f>VLOOKUP(F19,Deltakerliste!P$6:T$84,G19,FALSE)</f>
        <v>1.4249999999999998</v>
      </c>
      <c r="I19" s="13"/>
      <c r="J19" s="13">
        <v>2.3171296296296297E-2</v>
      </c>
      <c r="K19" s="13"/>
      <c r="L19" s="600">
        <f t="shared" si="2"/>
        <v>7.2410300925925923E-3</v>
      </c>
      <c r="M19" s="594">
        <f>IF(L19="Løype",Poengsammendrag!$F$2,IF(L19="Arr",Poengsammendrag!$F$3,IF(L19="Brutt",50,IF(L19="Disk",50,ROUND(MAXA(100*(MIN(L$10:L$92)/L19),50),0)))))</f>
        <v>87</v>
      </c>
      <c r="N19" s="724">
        <f t="shared" si="3"/>
        <v>5.0814246263807669E-3</v>
      </c>
      <c r="O19" s="596">
        <f>IF(N19="Løype",Poengsammendrag!$F$2,IF(N19="Arr",Poengsammendrag!$F$3,IF(N19="Brutt",50,IF(N19="Disk",50,ROUND(MAXA(100*(MIN(N$10:N$92)/N19),50),0)))))</f>
        <v>76</v>
      </c>
      <c r="Q19" s="672"/>
      <c r="R19" s="672"/>
      <c r="S19" s="803" t="s">
        <v>106</v>
      </c>
      <c r="T19" s="736">
        <v>8.6118344907407402E-3</v>
      </c>
      <c r="U19" s="752">
        <v>73</v>
      </c>
      <c r="V19" s="781"/>
      <c r="W19" s="776" t="s">
        <v>134</v>
      </c>
      <c r="X19" s="740">
        <v>76</v>
      </c>
      <c r="AB19" s="828">
        <f t="shared" si="5"/>
        <v>64</v>
      </c>
      <c r="AC19" s="829">
        <f t="shared" si="4"/>
        <v>0</v>
      </c>
    </row>
    <row r="20" spans="2:29" ht="21" thickBot="1" x14ac:dyDescent="0.3">
      <c r="B20" s="16">
        <f t="shared" si="0"/>
        <v>11</v>
      </c>
      <c r="C20" s="106" t="s">
        <v>88</v>
      </c>
      <c r="D20" s="107" t="s">
        <v>89</v>
      </c>
      <c r="E20" s="599" t="str">
        <f t="shared" si="1"/>
        <v>EdgarFuruholt</v>
      </c>
      <c r="F20" s="192">
        <f>YEAR(I$5)-_xlfn.XLOOKUP(E20,Deltakerliste!E$5:E$98,Deltakerliste!I$5:I$98)</f>
        <v>79</v>
      </c>
      <c r="G20" s="192">
        <f>_xlfn.XLOOKUP(E20,Deltakerliste!E$5:E$98,Deltakerliste!H$5:H$98)</f>
        <v>2</v>
      </c>
      <c r="H20" s="592">
        <f>VLOOKUP(F20,Deltakerliste!P$6:T$84,G20,FALSE)</f>
        <v>1.8050000000000002</v>
      </c>
      <c r="I20" s="18"/>
      <c r="J20" s="132">
        <v>2.9560185185185186E-2</v>
      </c>
      <c r="K20" s="18"/>
      <c r="L20" s="600">
        <f t="shared" si="2"/>
        <v>9.2375578703703699E-3</v>
      </c>
      <c r="M20" s="594">
        <f>IF(L20="Løype",Poengsammendrag!$F$2,IF(L20="Arr",Poengsammendrag!$F$3,IF(L20="Brutt",50,IF(L20="Disk",50,ROUND(MAXA(100*(MIN(L$10:L$92)/L20),50),0)))))</f>
        <v>68</v>
      </c>
      <c r="N20" s="724">
        <f t="shared" si="3"/>
        <v>5.1177605930029747E-3</v>
      </c>
      <c r="O20" s="596">
        <f>IF(N20="Løype",Poengsammendrag!$F$2,IF(N20="Arr",Poengsammendrag!$F$3,IF(N20="Brutt",50,IF(N20="Disk",50,ROUND(MAXA(100*(MIN(N$10:N$92)/N20),50),0)))))</f>
        <v>76</v>
      </c>
      <c r="Q20" s="672"/>
      <c r="R20" s="672"/>
      <c r="S20" s="803" t="s">
        <v>338</v>
      </c>
      <c r="T20" s="736">
        <v>8.6458333333333335E-3</v>
      </c>
      <c r="U20" s="752">
        <v>73</v>
      </c>
      <c r="V20" s="781"/>
      <c r="W20" s="776" t="s">
        <v>88</v>
      </c>
      <c r="X20" s="740">
        <v>76</v>
      </c>
      <c r="AB20" s="828">
        <f t="shared" si="5"/>
        <v>65</v>
      </c>
      <c r="AC20" s="829">
        <f t="shared" si="4"/>
        <v>0</v>
      </c>
    </row>
    <row r="21" spans="2:29" ht="21" customHeight="1" thickBot="1" x14ac:dyDescent="0.3">
      <c r="B21" s="16">
        <f t="shared" si="0"/>
        <v>12</v>
      </c>
      <c r="C21" s="106" t="s">
        <v>142</v>
      </c>
      <c r="D21" s="107" t="s">
        <v>143</v>
      </c>
      <c r="E21" s="599" t="str">
        <f t="shared" si="1"/>
        <v>EgilRepvik</v>
      </c>
      <c r="F21" s="192">
        <f>YEAR(I$5)-_xlfn.XLOOKUP(E21,Deltakerliste!E$5:E$98,Deltakerliste!I$5:I$98)</f>
        <v>80</v>
      </c>
      <c r="G21" s="192">
        <f>_xlfn.XLOOKUP(E21,Deltakerliste!E$5:E$98,Deltakerliste!H$5:H$98)</f>
        <v>2</v>
      </c>
      <c r="H21" s="592">
        <f>VLOOKUP(F21,Deltakerliste!P$6:T$84,G21,FALSE)</f>
        <v>1.8550000000000002</v>
      </c>
      <c r="I21" s="132">
        <v>1.9027777777777779E-2</v>
      </c>
      <c r="J21" s="18"/>
      <c r="K21" s="18"/>
      <c r="L21" s="600">
        <f t="shared" si="2"/>
        <v>9.5138888888888894E-3</v>
      </c>
      <c r="M21" s="594">
        <f>IF(L21="Løype",Poengsammendrag!$F$2,IF(L21="Arr",Poengsammendrag!$F$3,IF(L21="Brutt",50,IF(L21="Disk",50,ROUND(MAXA(100*(MIN(L$10:L$92)/L21),50),0)))))</f>
        <v>66</v>
      </c>
      <c r="N21" s="724">
        <f t="shared" si="3"/>
        <v>5.1287810721772987E-3</v>
      </c>
      <c r="O21" s="596">
        <f>IF(N21="Løype",Poengsammendrag!$F$2,IF(N21="Arr",Poengsammendrag!$F$3,IF(N21="Brutt",50,IF(N21="Disk",50,ROUND(MAXA(100*(MIN(N$10:N$92)/N21),50),0)))))</f>
        <v>76</v>
      </c>
      <c r="Q21" s="672"/>
      <c r="R21" s="672"/>
      <c r="S21" s="803" t="s">
        <v>163</v>
      </c>
      <c r="T21" s="736">
        <v>9.1905381944444448E-3</v>
      </c>
      <c r="U21" s="752">
        <v>68</v>
      </c>
      <c r="V21" s="781"/>
      <c r="W21" s="776" t="s">
        <v>356</v>
      </c>
      <c r="X21" s="740">
        <v>76</v>
      </c>
      <c r="AB21" s="828">
        <f t="shared" si="5"/>
        <v>66</v>
      </c>
      <c r="AC21" s="829">
        <f t="shared" si="4"/>
        <v>0</v>
      </c>
    </row>
    <row r="22" spans="2:29" ht="21" customHeight="1" thickBot="1" x14ac:dyDescent="0.3">
      <c r="B22" s="16">
        <f t="shared" si="0"/>
        <v>13</v>
      </c>
      <c r="C22" s="106" t="s">
        <v>265</v>
      </c>
      <c r="D22" s="107" t="s">
        <v>266</v>
      </c>
      <c r="E22" s="599" t="str">
        <f t="shared" si="1"/>
        <v>ØysteinWiggen</v>
      </c>
      <c r="F22" s="192">
        <f>YEAR(I$5)-_xlfn.XLOOKUP(E22,Deltakerliste!E$5:E$98,Deltakerliste!I$5:I$98)</f>
        <v>60</v>
      </c>
      <c r="G22" s="192">
        <f>_xlfn.XLOOKUP(E22,Deltakerliste!E$5:E$98,Deltakerliste!H$5:H$98)</f>
        <v>2</v>
      </c>
      <c r="H22" s="592">
        <f>VLOOKUP(F22,Deltakerliste!P$6:T$84,G22,FALSE)</f>
        <v>1.2000000000000002</v>
      </c>
      <c r="I22" s="134"/>
      <c r="J22" s="132">
        <v>2.0104166666666666E-2</v>
      </c>
      <c r="K22" s="18"/>
      <c r="L22" s="600">
        <f t="shared" si="2"/>
        <v>6.2825520833333327E-3</v>
      </c>
      <c r="M22" s="594">
        <f>IF(L22="Løype",Poengsammendrag!$F$2,IF(L22="Arr",Poengsammendrag!$F$3,IF(L22="Brutt",50,IF(L22="Disk",50,ROUND(MAXA(100*(MIN(L$10:L$92)/L22),50),0)))))</f>
        <v>100</v>
      </c>
      <c r="N22" s="724">
        <f t="shared" si="3"/>
        <v>5.2354600694444432E-3</v>
      </c>
      <c r="O22" s="596">
        <f>IF(N22="Løype",Poengsammendrag!$F$2,IF(N22="Arr",Poengsammendrag!$F$3,IF(N22="Brutt",50,IF(N22="Disk",50,ROUND(MAXA(100*(MIN(N$10:N$92)/N22),50),0)))))</f>
        <v>74</v>
      </c>
      <c r="Q22" s="672"/>
      <c r="R22" s="672"/>
      <c r="S22" s="803" t="s">
        <v>88</v>
      </c>
      <c r="T22" s="736">
        <v>9.2375578703703699E-3</v>
      </c>
      <c r="U22" s="752">
        <v>68</v>
      </c>
      <c r="V22" s="781"/>
      <c r="W22" s="776" t="s">
        <v>368</v>
      </c>
      <c r="X22" s="740">
        <v>74</v>
      </c>
      <c r="AB22" s="828">
        <f t="shared" si="5"/>
        <v>67</v>
      </c>
      <c r="AC22" s="829">
        <f t="shared" si="4"/>
        <v>2</v>
      </c>
    </row>
    <row r="23" spans="2:29" ht="21" customHeight="1" thickBot="1" x14ac:dyDescent="0.3">
      <c r="B23" s="16">
        <f t="shared" si="0"/>
        <v>14</v>
      </c>
      <c r="C23" s="106" t="s">
        <v>101</v>
      </c>
      <c r="D23" s="107" t="s">
        <v>102</v>
      </c>
      <c r="E23" s="599" t="str">
        <f t="shared" si="1"/>
        <v>EvenHofstad</v>
      </c>
      <c r="F23" s="192">
        <f>YEAR(I$5)-_xlfn.XLOOKUP(E23,Deltakerliste!E$5:E$98,Deltakerliste!I$5:I$98)</f>
        <v>72</v>
      </c>
      <c r="G23" s="192">
        <f>_xlfn.XLOOKUP(E23,Deltakerliste!E$5:E$98,Deltakerliste!H$5:H$98)</f>
        <v>2</v>
      </c>
      <c r="H23" s="592">
        <f>VLOOKUP(F23,Deltakerliste!P$6:T$84,G23,FALSE)</f>
        <v>1.4969999999999999</v>
      </c>
      <c r="I23" s="86"/>
      <c r="J23" s="86">
        <v>2.5324074074074075E-2</v>
      </c>
      <c r="K23" s="13"/>
      <c r="L23" s="600">
        <f t="shared" si="2"/>
        <v>7.9137731481481472E-3</v>
      </c>
      <c r="M23" s="594">
        <f>IF(L23="Løype",Poengsammendrag!$F$2,IF(L23="Arr",Poengsammendrag!$F$3,IF(L23="Brutt",50,IF(L23="Disk",50,ROUND(MAXA(100*(MIN(L$10:L$92)/L23),50),0)))))</f>
        <v>79</v>
      </c>
      <c r="N23" s="724">
        <f t="shared" si="3"/>
        <v>5.2864216086493977E-3</v>
      </c>
      <c r="O23" s="596">
        <f>IF(N23="Løype",Poengsammendrag!$F$2,IF(N23="Arr",Poengsammendrag!$F$3,IF(N23="Brutt",50,IF(N23="Disk",50,ROUND(MAXA(100*(MIN(N$10:N$92)/N23),50),0)))))</f>
        <v>74</v>
      </c>
      <c r="Q23" s="672"/>
      <c r="R23" s="672"/>
      <c r="S23" s="803" t="s">
        <v>114</v>
      </c>
      <c r="T23" s="736">
        <v>9.3424479166666664E-3</v>
      </c>
      <c r="U23" s="752">
        <v>67</v>
      </c>
      <c r="V23" s="781"/>
      <c r="W23" s="776" t="s">
        <v>101</v>
      </c>
      <c r="X23" s="740">
        <v>74</v>
      </c>
      <c r="AB23" s="828">
        <f t="shared" si="5"/>
        <v>68</v>
      </c>
      <c r="AC23" s="829">
        <f t="shared" si="4"/>
        <v>0</v>
      </c>
    </row>
    <row r="24" spans="2:29" ht="21" thickBot="1" x14ac:dyDescent="0.3">
      <c r="B24" s="16">
        <f t="shared" si="0"/>
        <v>15</v>
      </c>
      <c r="C24" s="106" t="s">
        <v>138</v>
      </c>
      <c r="D24" s="107" t="s">
        <v>137</v>
      </c>
      <c r="E24" s="599" t="str">
        <f t="shared" si="1"/>
        <v>GunnhildOftedal</v>
      </c>
      <c r="F24" s="192">
        <f>YEAR(I$5)-_xlfn.XLOOKUP(E24,Deltakerliste!E$5:E$98,Deltakerliste!I$5:I$98)</f>
        <v>73</v>
      </c>
      <c r="G24" s="192">
        <f>_xlfn.XLOOKUP(E24,Deltakerliste!E$5:E$98,Deltakerliste!H$5:H$98)</f>
        <v>4</v>
      </c>
      <c r="H24" s="592">
        <f>VLOOKUP(F24,Deltakerliste!P$6:T$84,G24,FALSE)</f>
        <v>2.0798000000000014</v>
      </c>
      <c r="I24" s="13"/>
      <c r="J24" s="13">
        <v>3.5879629629629629E-2</v>
      </c>
      <c r="K24" s="13"/>
      <c r="L24" s="600">
        <f t="shared" si="2"/>
        <v>1.1212384259259259E-2</v>
      </c>
      <c r="M24" s="594">
        <f>IF(L24="Løype",Poengsammendrag!$F$2,IF(L24="Arr",Poengsammendrag!$F$3,IF(L24="Brutt",50,IF(L24="Disk",50,ROUND(MAXA(100*(MIN(L$10:L$92)/L24),50),0)))))</f>
        <v>56</v>
      </c>
      <c r="N24" s="724">
        <f t="shared" si="3"/>
        <v>5.39108772923322E-3</v>
      </c>
      <c r="O24" s="596">
        <f>IF(N24="Løype",Poengsammendrag!$F$2,IF(N24="Arr",Poengsammendrag!$F$3,IF(N24="Brutt",50,IF(N24="Disk",50,ROUND(MAXA(100*(MIN(N$10:N$92)/N24),50),0)))))</f>
        <v>72</v>
      </c>
      <c r="Q24" s="672"/>
      <c r="R24" s="672"/>
      <c r="S24" s="803" t="s">
        <v>122</v>
      </c>
      <c r="T24" s="736">
        <v>9.4560185185185181E-3</v>
      </c>
      <c r="U24" s="752">
        <v>66</v>
      </c>
      <c r="V24" s="781"/>
      <c r="W24" s="776" t="s">
        <v>138</v>
      </c>
      <c r="X24" s="740">
        <v>72</v>
      </c>
      <c r="AB24" s="828">
        <f t="shared" si="5"/>
        <v>69</v>
      </c>
      <c r="AC24" s="829">
        <f t="shared" si="4"/>
        <v>1</v>
      </c>
    </row>
    <row r="25" spans="2:29" ht="21" thickBot="1" x14ac:dyDescent="0.3">
      <c r="B25" s="16">
        <f t="shared" si="0"/>
        <v>16</v>
      </c>
      <c r="C25" s="106" t="s">
        <v>99</v>
      </c>
      <c r="D25" s="107" t="s">
        <v>100</v>
      </c>
      <c r="E25" s="599" t="str">
        <f t="shared" si="1"/>
        <v>RobertHirsch</v>
      </c>
      <c r="F25" s="192">
        <f>YEAR(I$5)-_xlfn.XLOOKUP(E25,Deltakerliste!E$5:E$98,Deltakerliste!I$5:I$98)</f>
        <v>69</v>
      </c>
      <c r="G25" s="192">
        <f>_xlfn.XLOOKUP(E25,Deltakerliste!E$5:E$98,Deltakerliste!H$5:H$98)</f>
        <v>2</v>
      </c>
      <c r="H25" s="592">
        <f>VLOOKUP(F25,Deltakerliste!P$6:T$84,G25,FALSE)</f>
        <v>1.3989999999999998</v>
      </c>
      <c r="I25" s="86"/>
      <c r="J25" s="86">
        <v>2.6249999999999999E-2</v>
      </c>
      <c r="K25" s="13"/>
      <c r="L25" s="600">
        <f t="shared" si="2"/>
        <v>8.2031249999999986E-3</v>
      </c>
      <c r="M25" s="594">
        <f>IF(L25="Løype",Poengsammendrag!$F$2,IF(L25="Arr",Poengsammendrag!$F$3,IF(L25="Brutt",50,IF(L25="Disk",50,ROUND(MAXA(100*(MIN(L$10:L$92)/L25),50),0)))))</f>
        <v>77</v>
      </c>
      <c r="N25" s="724">
        <f t="shared" si="3"/>
        <v>5.863563259471051E-3</v>
      </c>
      <c r="O25" s="596">
        <f>IF(N25="Løype",Poengsammendrag!$F$2,IF(N25="Arr",Poengsammendrag!$F$3,IF(N25="Brutt",50,IF(N25="Disk",50,ROUND(MAXA(100*(MIN(N$10:N$92)/N25),50),0)))))</f>
        <v>66</v>
      </c>
      <c r="Q25" s="672"/>
      <c r="R25" s="672"/>
      <c r="S25" s="803" t="s">
        <v>356</v>
      </c>
      <c r="T25" s="736">
        <v>9.5138888888888894E-3</v>
      </c>
      <c r="U25" s="752">
        <v>66</v>
      </c>
      <c r="V25" s="781"/>
      <c r="W25" s="776" t="s">
        <v>99</v>
      </c>
      <c r="X25" s="740">
        <v>66</v>
      </c>
      <c r="AB25" s="828">
        <f t="shared" si="5"/>
        <v>70</v>
      </c>
      <c r="AC25" s="829">
        <f t="shared" si="4"/>
        <v>2</v>
      </c>
    </row>
    <row r="26" spans="2:29" ht="21" customHeight="1" thickBot="1" x14ac:dyDescent="0.3">
      <c r="B26" s="16">
        <f t="shared" si="0"/>
        <v>17</v>
      </c>
      <c r="C26" s="106" t="s">
        <v>116</v>
      </c>
      <c r="D26" s="107" t="s">
        <v>165</v>
      </c>
      <c r="E26" s="599" t="str">
        <f t="shared" si="1"/>
        <v>AndersWaage</v>
      </c>
      <c r="F26" s="192">
        <f>YEAR(I$5)-_xlfn.XLOOKUP(E26,Deltakerliste!E$5:E$98,Deltakerliste!I$5:I$98)</f>
        <v>78</v>
      </c>
      <c r="G26" s="192">
        <f>_xlfn.XLOOKUP(E26,Deltakerliste!E$5:E$98,Deltakerliste!H$5:H$98)</f>
        <v>2</v>
      </c>
      <c r="H26" s="592">
        <f>VLOOKUP(F26,Deltakerliste!P$6:T$84,G26,FALSE)</f>
        <v>1.7550000000000001</v>
      </c>
      <c r="I26" s="18"/>
      <c r="J26" s="132">
        <v>3.3518518518518517E-2</v>
      </c>
      <c r="K26" s="18"/>
      <c r="L26" s="600">
        <f t="shared" si="2"/>
        <v>1.0474537037037036E-2</v>
      </c>
      <c r="M26" s="594">
        <f>IF(L26="Løype",Poengsammendrag!$F$2,IF(L26="Arr",Poengsammendrag!$F$3,IF(L26="Brutt",50,IF(L26="Disk",50,ROUND(MAXA(100*(MIN(L$10:L$92)/L26),50),0)))))</f>
        <v>60</v>
      </c>
      <c r="N26" s="724">
        <f t="shared" si="3"/>
        <v>5.9683971721008746E-3</v>
      </c>
      <c r="O26" s="596">
        <f>IF(N26="Løype",Poengsammendrag!$F$2,IF(N26="Arr",Poengsammendrag!$F$3,IF(N26="Brutt",50,IF(N26="Disk",50,ROUND(MAXA(100*(MIN(N$10:N$92)/N26),50),0)))))</f>
        <v>65</v>
      </c>
      <c r="Q26" s="672"/>
      <c r="R26" s="672"/>
      <c r="S26" s="803" t="s">
        <v>350</v>
      </c>
      <c r="T26" s="736">
        <v>9.6390335648148147E-3</v>
      </c>
      <c r="U26" s="752">
        <v>65</v>
      </c>
      <c r="V26" s="781"/>
      <c r="W26" s="776" t="s">
        <v>314</v>
      </c>
      <c r="X26" s="740">
        <v>65</v>
      </c>
      <c r="AB26" s="828">
        <f t="shared" si="5"/>
        <v>71</v>
      </c>
      <c r="AC26" s="829">
        <f t="shared" si="4"/>
        <v>1</v>
      </c>
    </row>
    <row r="27" spans="2:29" ht="21" thickBot="1" x14ac:dyDescent="0.3">
      <c r="B27" s="16">
        <f t="shared" si="0"/>
        <v>18</v>
      </c>
      <c r="C27" s="106" t="s">
        <v>163</v>
      </c>
      <c r="D27" s="107" t="s">
        <v>164</v>
      </c>
      <c r="E27" s="599" t="str">
        <f t="shared" si="1"/>
        <v>ArnulfVilmo</v>
      </c>
      <c r="F27" s="192">
        <f>YEAR(I$5)-_xlfn.XLOOKUP(E27,Deltakerliste!E$5:E$98,Deltakerliste!I$5:I$98)</f>
        <v>73</v>
      </c>
      <c r="G27" s="192">
        <f>_xlfn.XLOOKUP(E27,Deltakerliste!E$5:E$98,Deltakerliste!H$5:H$98)</f>
        <v>2</v>
      </c>
      <c r="H27" s="592">
        <f>VLOOKUP(F27,Deltakerliste!P$6:T$84,G27,FALSE)</f>
        <v>1.5329999999999999</v>
      </c>
      <c r="I27" s="18"/>
      <c r="J27" s="132">
        <v>2.9409722222222223E-2</v>
      </c>
      <c r="K27" s="18"/>
      <c r="L27" s="600">
        <f t="shared" si="2"/>
        <v>9.1905381944444448E-3</v>
      </c>
      <c r="M27" s="594">
        <f>IF(L27="Løype",Poengsammendrag!$F$2,IF(L27="Arr",Poengsammendrag!$F$3,IF(L27="Brutt",50,IF(L27="Disk",50,ROUND(MAXA(100*(MIN(L$10:L$92)/L27),50),0)))))</f>
        <v>68</v>
      </c>
      <c r="N27" s="724">
        <f t="shared" si="3"/>
        <v>5.9951325469304925E-3</v>
      </c>
      <c r="O27" s="596">
        <f>IF(N27="Løype",Poengsammendrag!$F$2,IF(N27="Arr",Poengsammendrag!$F$3,IF(N27="Brutt",50,IF(N27="Disk",50,ROUND(MAXA(100*(MIN(N$10:N$92)/N27),50),0)))))</f>
        <v>65</v>
      </c>
      <c r="Q27" s="672"/>
      <c r="R27" s="672"/>
      <c r="S27" s="803" t="s">
        <v>124</v>
      </c>
      <c r="T27" s="736">
        <v>9.7337962962962959E-3</v>
      </c>
      <c r="U27" s="752">
        <v>65</v>
      </c>
      <c r="V27" s="781"/>
      <c r="W27" s="776" t="s">
        <v>163</v>
      </c>
      <c r="X27" s="740">
        <v>65</v>
      </c>
      <c r="AB27" s="828">
        <f t="shared" si="5"/>
        <v>72</v>
      </c>
      <c r="AC27" s="829">
        <f t="shared" si="4"/>
        <v>2</v>
      </c>
    </row>
    <row r="28" spans="2:29" ht="21" customHeight="1" thickBot="1" x14ac:dyDescent="0.3">
      <c r="B28" s="16">
        <f t="shared" si="0"/>
        <v>19</v>
      </c>
      <c r="C28" s="106" t="s">
        <v>72</v>
      </c>
      <c r="D28" s="107" t="s">
        <v>73</v>
      </c>
      <c r="E28" s="599" t="str">
        <f t="shared" si="1"/>
        <v>KåreEggereide</v>
      </c>
      <c r="F28" s="192">
        <f>YEAR(I$5)-_xlfn.XLOOKUP(E28,Deltakerliste!E$5:E$98,Deltakerliste!I$5:I$98)</f>
        <v>75</v>
      </c>
      <c r="G28" s="192">
        <f>_xlfn.XLOOKUP(E28,Deltakerliste!E$5:E$98,Deltakerliste!H$5:H$98)</f>
        <v>2</v>
      </c>
      <c r="H28" s="592">
        <f>VLOOKUP(F28,Deltakerliste!P$6:T$84,G28,FALSE)</f>
        <v>1.605</v>
      </c>
      <c r="I28" s="593"/>
      <c r="J28" s="13">
        <v>3.0844907407407408E-2</v>
      </c>
      <c r="K28" s="13"/>
      <c r="L28" s="600">
        <f t="shared" si="2"/>
        <v>9.6390335648148147E-3</v>
      </c>
      <c r="M28" s="594">
        <f>IF(L28="Løype",Poengsammendrag!$F$2,IF(L28="Arr",Poengsammendrag!$F$3,IF(L28="Brutt",50,IF(L28="Disk",50,ROUND(MAXA(100*(MIN(L$10:L$92)/L28),50),0)))))</f>
        <v>65</v>
      </c>
      <c r="N28" s="724">
        <f t="shared" si="3"/>
        <v>6.0056283892927194E-3</v>
      </c>
      <c r="O28" s="596">
        <f>IF(N28="Løype",Poengsammendrag!$F$2,IF(N28="Arr",Poengsammendrag!$F$3,IF(N28="Brutt",50,IF(N28="Disk",50,ROUND(MAXA(100*(MIN(N$10:N$92)/N28),50),0)))))</f>
        <v>65</v>
      </c>
      <c r="Q28" s="672"/>
      <c r="R28" s="672"/>
      <c r="S28" s="803" t="s">
        <v>68</v>
      </c>
      <c r="T28" s="736">
        <v>9.8451967592592601E-3</v>
      </c>
      <c r="U28" s="752">
        <v>64</v>
      </c>
      <c r="V28" s="781"/>
      <c r="W28" s="776" t="s">
        <v>350</v>
      </c>
      <c r="X28" s="740">
        <v>65</v>
      </c>
      <c r="AB28" s="828">
        <f t="shared" si="5"/>
        <v>73</v>
      </c>
      <c r="AC28" s="829">
        <f t="shared" si="4"/>
        <v>3</v>
      </c>
    </row>
    <row r="29" spans="2:29" ht="21" thickBot="1" x14ac:dyDescent="0.3">
      <c r="B29" s="16">
        <f t="shared" si="0"/>
        <v>20</v>
      </c>
      <c r="C29" s="106" t="s">
        <v>94</v>
      </c>
      <c r="D29" s="107" t="s">
        <v>95</v>
      </c>
      <c r="E29" s="599" t="str">
        <f t="shared" si="1"/>
        <v>TerjeHanssen</v>
      </c>
      <c r="F29" s="192">
        <f>YEAR(I$5)-_xlfn.XLOOKUP(E29,Deltakerliste!E$5:E$98,Deltakerliste!I$5:I$98)</f>
        <v>78</v>
      </c>
      <c r="G29" s="192">
        <f>_xlfn.XLOOKUP(E29,Deltakerliste!E$5:E$98,Deltakerliste!H$5:H$98)</f>
        <v>2</v>
      </c>
      <c r="H29" s="592">
        <f>VLOOKUP(F29,Deltakerliste!P$6:T$84,G29,FALSE)</f>
        <v>1.7550000000000001</v>
      </c>
      <c r="I29" s="86">
        <v>2.1261574074074075E-2</v>
      </c>
      <c r="J29" s="86"/>
      <c r="K29" s="17"/>
      <c r="L29" s="600">
        <f t="shared" si="2"/>
        <v>1.0630787037037038E-2</v>
      </c>
      <c r="M29" s="594">
        <f>IF(L29="Løype",Poengsammendrag!$F$2,IF(L29="Arr",Poengsammendrag!$F$3,IF(L29="Brutt",50,IF(L29="Disk",50,ROUND(MAXA(100*(MIN(L$10:L$92)/L29),50),0)))))</f>
        <v>59</v>
      </c>
      <c r="N29" s="724">
        <f t="shared" si="3"/>
        <v>6.0574285111322148E-3</v>
      </c>
      <c r="O29" s="596">
        <f>IF(N29="Løype",Poengsammendrag!$F$2,IF(N29="Arr",Poengsammendrag!$F$3,IF(N29="Brutt",50,IF(N29="Disk",50,ROUND(MAXA(100*(MIN(N$10:N$92)/N29),50),0)))))</f>
        <v>64</v>
      </c>
      <c r="Q29" s="672"/>
      <c r="R29" s="672"/>
      <c r="S29" s="803" t="s">
        <v>263</v>
      </c>
      <c r="T29" s="736">
        <v>1.0081018518518519E-2</v>
      </c>
      <c r="U29" s="752">
        <v>62</v>
      </c>
      <c r="V29" s="781"/>
      <c r="W29" s="776" t="s">
        <v>94</v>
      </c>
      <c r="X29" s="740">
        <v>64</v>
      </c>
      <c r="AB29" s="828">
        <f t="shared" si="5"/>
        <v>74</v>
      </c>
      <c r="AC29" s="829">
        <f t="shared" si="4"/>
        <v>2</v>
      </c>
    </row>
    <row r="30" spans="2:29" ht="21" thickBot="1" x14ac:dyDescent="0.3">
      <c r="B30" s="16">
        <f t="shared" si="0"/>
        <v>21</v>
      </c>
      <c r="C30" s="106" t="s">
        <v>159</v>
      </c>
      <c r="D30" s="107" t="s">
        <v>160</v>
      </c>
      <c r="E30" s="599" t="str">
        <f t="shared" si="1"/>
        <v>EigilSørli</v>
      </c>
      <c r="F30" s="192">
        <f>YEAR(I$5)-_xlfn.XLOOKUP(E30,Deltakerliste!E$5:E$98,Deltakerliste!I$5:I$98)</f>
        <v>86</v>
      </c>
      <c r="G30" s="192">
        <f>_xlfn.XLOOKUP(E30,Deltakerliste!E$5:E$98,Deltakerliste!H$5:H$98)</f>
        <v>2</v>
      </c>
      <c r="H30" s="592">
        <f>VLOOKUP(F30,Deltakerliste!P$6:T$84,G30,FALSE)</f>
        <v>2.3089999999999997</v>
      </c>
      <c r="I30" s="132">
        <v>2.8912037037037038E-2</v>
      </c>
      <c r="J30" s="18"/>
      <c r="K30" s="18"/>
      <c r="L30" s="600">
        <f t="shared" si="2"/>
        <v>1.4456018518518519E-2</v>
      </c>
      <c r="M30" s="594">
        <f>IF(L30="Løype",Poengsammendrag!$F$2,IF(L30="Arr",Poengsammendrag!$F$3,IF(L30="Brutt",50,IF(L30="Disk",50,ROUND(MAXA(100*(MIN(L$10:L$92)/L30),50),0)))))</f>
        <v>50</v>
      </c>
      <c r="N30" s="724">
        <f t="shared" si="3"/>
        <v>6.2607269460885758E-3</v>
      </c>
      <c r="O30" s="596">
        <f>IF(N30="Løype",Poengsammendrag!$F$2,IF(N30="Arr",Poengsammendrag!$F$3,IF(N30="Brutt",50,IF(N30="Disk",50,ROUND(MAXA(100*(MIN(N$10:N$92)/N30),50),0)))))</f>
        <v>62</v>
      </c>
      <c r="Q30" s="672"/>
      <c r="R30" s="672"/>
      <c r="S30" s="803" t="s">
        <v>314</v>
      </c>
      <c r="T30" s="736">
        <v>1.0474537037037036E-2</v>
      </c>
      <c r="U30" s="752">
        <v>60</v>
      </c>
      <c r="V30" s="781"/>
      <c r="W30" s="776" t="s">
        <v>357</v>
      </c>
      <c r="X30" s="740">
        <v>62</v>
      </c>
      <c r="AB30" s="828">
        <f t="shared" si="5"/>
        <v>75</v>
      </c>
      <c r="AC30" s="829">
        <f t="shared" si="4"/>
        <v>3</v>
      </c>
    </row>
    <row r="31" spans="2:29" ht="21" customHeight="1" thickBot="1" x14ac:dyDescent="0.3">
      <c r="B31" s="16">
        <f t="shared" si="0"/>
        <v>22</v>
      </c>
      <c r="C31" s="106" t="s">
        <v>68</v>
      </c>
      <c r="D31" s="107" t="s">
        <v>69</v>
      </c>
      <c r="E31" s="599" t="str">
        <f t="shared" si="1"/>
        <v>JanBøhle</v>
      </c>
      <c r="F31" s="192">
        <f>YEAR(I$5)-_xlfn.XLOOKUP(E31,Deltakerliste!E$5:E$98,Deltakerliste!I$5:I$98)</f>
        <v>74</v>
      </c>
      <c r="G31" s="192">
        <f>_xlfn.XLOOKUP(E31,Deltakerliste!E$5:E$98,Deltakerliste!H$5:H$98)</f>
        <v>2</v>
      </c>
      <c r="H31" s="592">
        <f>VLOOKUP(F31,Deltakerliste!P$6:T$84,G31,FALSE)</f>
        <v>1.569</v>
      </c>
      <c r="I31" s="86"/>
      <c r="J31" s="86">
        <v>3.1504629629629632E-2</v>
      </c>
      <c r="K31" s="13"/>
      <c r="L31" s="600">
        <f t="shared" si="2"/>
        <v>9.8451967592592601E-3</v>
      </c>
      <c r="M31" s="594">
        <f>IF(L31="Løype",Poengsammendrag!$F$2,IF(L31="Arr",Poengsammendrag!$F$3,IF(L31="Brutt",50,IF(L31="Disk",50,ROUND(MAXA(100*(MIN(L$10:L$92)/L31),50),0)))))</f>
        <v>64</v>
      </c>
      <c r="N31" s="724">
        <f t="shared" si="3"/>
        <v>6.2748226636451625E-3</v>
      </c>
      <c r="O31" s="596">
        <f>IF(N31="Løype",Poengsammendrag!$F$2,IF(N31="Arr",Poengsammendrag!$F$3,IF(N31="Brutt",50,IF(N31="Disk",50,ROUND(MAXA(100*(MIN(N$10:N$92)/N31),50),0)))))</f>
        <v>62</v>
      </c>
      <c r="Q31" s="672"/>
      <c r="R31" s="672"/>
      <c r="S31" s="803" t="s">
        <v>94</v>
      </c>
      <c r="T31" s="736">
        <v>1.0630787037037038E-2</v>
      </c>
      <c r="U31" s="752">
        <v>59</v>
      </c>
      <c r="V31" s="781"/>
      <c r="W31" s="776" t="s">
        <v>68</v>
      </c>
      <c r="X31" s="740">
        <v>62</v>
      </c>
      <c r="AB31" s="828">
        <f t="shared" si="5"/>
        <v>76</v>
      </c>
      <c r="AC31" s="829">
        <f t="shared" si="4"/>
        <v>0</v>
      </c>
    </row>
    <row r="32" spans="2:29" ht="21" customHeight="1" thickBot="1" x14ac:dyDescent="0.3">
      <c r="B32" s="16">
        <f t="shared" si="0"/>
        <v>23</v>
      </c>
      <c r="C32" s="106" t="s">
        <v>63</v>
      </c>
      <c r="D32" s="107" t="s">
        <v>336</v>
      </c>
      <c r="E32" s="599" t="str">
        <f t="shared" si="1"/>
        <v>ToreFornes</v>
      </c>
      <c r="F32" s="192">
        <f>YEAR(I$5)-_xlfn.XLOOKUP(E32,Deltakerliste!E$5:E$98,Deltakerliste!I$5:I$98)</f>
        <v>67</v>
      </c>
      <c r="G32" s="192">
        <f>_xlfn.XLOOKUP(E32,Deltakerliste!E$5:E$98,Deltakerliste!H$5:H$98)</f>
        <v>2</v>
      </c>
      <c r="H32" s="592">
        <f>VLOOKUP(F32,Deltakerliste!P$6:T$84,G32,FALSE)</f>
        <v>1.3469999999999998</v>
      </c>
      <c r="I32" s="86"/>
      <c r="J32" s="86">
        <v>2.704861111111111E-2</v>
      </c>
      <c r="K32" s="13"/>
      <c r="L32" s="600">
        <f t="shared" si="2"/>
        <v>8.4526909722222217E-3</v>
      </c>
      <c r="M32" s="594">
        <f>IF(L32="Løype",Poengsammendrag!$F$2,IF(L32="Arr",Poengsammendrag!$F$3,IF(L32="Brutt",50,IF(L32="Disk",50,ROUND(MAXA(100*(MIN(L$10:L$92)/L32),50),0)))))</f>
        <v>74</v>
      </c>
      <c r="N32" s="724">
        <f t="shared" si="3"/>
        <v>6.275197455250351E-3</v>
      </c>
      <c r="O32" s="596">
        <f>IF(N32="Løype",Poengsammendrag!$F$2,IF(N32="Arr",Poengsammendrag!$F$3,IF(N32="Brutt",50,IF(N32="Disk",50,ROUND(MAXA(100*(MIN(N$10:N$92)/N32),50),0)))))</f>
        <v>62</v>
      </c>
      <c r="S32" s="803" t="s">
        <v>138</v>
      </c>
      <c r="T32" s="736">
        <v>1.1212384259259259E-2</v>
      </c>
      <c r="U32" s="752">
        <v>56</v>
      </c>
      <c r="V32" s="781"/>
      <c r="W32" s="776" t="s">
        <v>346</v>
      </c>
      <c r="X32" s="740">
        <v>62</v>
      </c>
      <c r="AB32" s="828">
        <f t="shared" si="5"/>
        <v>77</v>
      </c>
      <c r="AC32" s="829">
        <f t="shared" si="4"/>
        <v>1</v>
      </c>
    </row>
    <row r="33" spans="2:29" ht="21" customHeight="1" thickBot="1" x14ac:dyDescent="0.3">
      <c r="B33" s="16">
        <f t="shared" si="0"/>
        <v>24</v>
      </c>
      <c r="C33" s="106" t="s">
        <v>263</v>
      </c>
      <c r="D33" s="107" t="s">
        <v>264</v>
      </c>
      <c r="E33" s="599" t="str">
        <f t="shared" si="1"/>
        <v>RuneHolt</v>
      </c>
      <c r="F33" s="192">
        <f>YEAR(I$5)-_xlfn.XLOOKUP(E33,Deltakerliste!E$5:E$98,Deltakerliste!I$5:I$98)</f>
        <v>73</v>
      </c>
      <c r="G33" s="192">
        <f>_xlfn.XLOOKUP(E33,Deltakerliste!E$5:E$98,Deltakerliste!H$5:H$98)</f>
        <v>2</v>
      </c>
      <c r="H33" s="592">
        <f>VLOOKUP(F33,Deltakerliste!P$6:T$84,G33,FALSE)</f>
        <v>1.5329999999999999</v>
      </c>
      <c r="I33" s="86">
        <v>2.0162037037037037E-2</v>
      </c>
      <c r="J33" s="134"/>
      <c r="K33" s="17"/>
      <c r="L33" s="600">
        <f t="shared" si="2"/>
        <v>1.0081018518518519E-2</v>
      </c>
      <c r="M33" s="594">
        <f>IF(L33="Løype",Poengsammendrag!$F$2,IF(L33="Arr",Poengsammendrag!$F$3,IF(L33="Brutt",50,IF(L33="Disk",50,ROUND(MAXA(100*(MIN(L$10:L$92)/L33),50),0)))))</f>
        <v>62</v>
      </c>
      <c r="N33" s="724">
        <f t="shared" si="3"/>
        <v>6.5760068613949898E-3</v>
      </c>
      <c r="O33" s="596">
        <f>IF(N33="Løype",Poengsammendrag!$F$2,IF(N33="Arr",Poengsammendrag!$F$3,IF(N33="Brutt",50,IF(N33="Disk",50,ROUND(MAXA(100*(MIN(N$10:N$92)/N33),50),0)))))</f>
        <v>59</v>
      </c>
      <c r="S33" s="803" t="s">
        <v>161</v>
      </c>
      <c r="T33" s="736">
        <v>1.2054398148148147E-2</v>
      </c>
      <c r="U33" s="752">
        <v>52</v>
      </c>
      <c r="V33" s="781"/>
      <c r="W33" s="776" t="s">
        <v>263</v>
      </c>
      <c r="X33" s="740">
        <v>59</v>
      </c>
      <c r="AB33" s="828">
        <f t="shared" si="5"/>
        <v>78</v>
      </c>
      <c r="AC33" s="829">
        <f t="shared" si="4"/>
        <v>3</v>
      </c>
    </row>
    <row r="34" spans="2:29" ht="21" customHeight="1" thickBot="1" x14ac:dyDescent="0.3">
      <c r="B34" s="16">
        <f t="shared" si="0"/>
        <v>25</v>
      </c>
      <c r="C34" s="106" t="s">
        <v>161</v>
      </c>
      <c r="D34" s="107" t="s">
        <v>162</v>
      </c>
      <c r="E34" s="599" t="str">
        <f t="shared" si="1"/>
        <v>Nils OlavVennevik</v>
      </c>
      <c r="F34" s="192">
        <f>YEAR(I$5)-_xlfn.XLOOKUP(E34,Deltakerliste!E$5:E$98,Deltakerliste!I$5:I$98)</f>
        <v>78</v>
      </c>
      <c r="G34" s="192">
        <f>_xlfn.XLOOKUP(E34,Deltakerliste!E$5:E$98,Deltakerliste!H$5:H$98)</f>
        <v>2</v>
      </c>
      <c r="H34" s="592">
        <f>VLOOKUP(F34,Deltakerliste!P$6:T$84,G34,FALSE)</f>
        <v>1.7550000000000001</v>
      </c>
      <c r="I34" s="132">
        <v>2.4108796296296295E-2</v>
      </c>
      <c r="J34" s="18"/>
      <c r="K34" s="18"/>
      <c r="L34" s="600">
        <f t="shared" si="2"/>
        <v>1.2054398148148147E-2</v>
      </c>
      <c r="M34" s="594">
        <f>IF(L34="Løype",Poengsammendrag!$F$2,IF(L34="Arr",Poengsammendrag!$F$3,IF(L34="Brutt",50,IF(L34="Disk",50,ROUND(MAXA(100*(MIN(L$10:L$92)/L34),50),0)))))</f>
        <v>52</v>
      </c>
      <c r="N34" s="724">
        <f t="shared" si="3"/>
        <v>6.8686029334177473E-3</v>
      </c>
      <c r="O34" s="596">
        <f>IF(N34="Løype",Poengsammendrag!$F$2,IF(N34="Arr",Poengsammendrag!$F$3,IF(N34="Brutt",50,IF(N34="Disk",50,ROUND(MAXA(100*(MIN(N$10:N$92)/N34),50),0)))))</f>
        <v>57</v>
      </c>
      <c r="S34" s="803" t="s">
        <v>168</v>
      </c>
      <c r="T34" s="736">
        <v>1.3212528935185184E-2</v>
      </c>
      <c r="U34" s="752">
        <v>50</v>
      </c>
      <c r="V34" s="781"/>
      <c r="W34" s="776" t="s">
        <v>161</v>
      </c>
      <c r="X34" s="740">
        <v>57</v>
      </c>
      <c r="AB34" s="828">
        <f t="shared" si="5"/>
        <v>79</v>
      </c>
      <c r="AC34" s="829">
        <f t="shared" si="4"/>
        <v>1</v>
      </c>
    </row>
    <row r="35" spans="2:29" ht="21" customHeight="1" thickBot="1" x14ac:dyDescent="0.3">
      <c r="B35" s="16">
        <f t="shared" si="0"/>
        <v>26</v>
      </c>
      <c r="C35" s="106" t="s">
        <v>168</v>
      </c>
      <c r="D35" s="107" t="s">
        <v>169</v>
      </c>
      <c r="E35" s="599" t="str">
        <f t="shared" si="1"/>
        <v>SteinØvstedal</v>
      </c>
      <c r="F35" s="192">
        <f>YEAR(I$5)-_xlfn.XLOOKUP(E35,Deltakerliste!E$5:E$98,Deltakerliste!I$5:I$98)</f>
        <v>75</v>
      </c>
      <c r="G35" s="192">
        <f>_xlfn.XLOOKUP(E35,Deltakerliste!E$5:E$98,Deltakerliste!H$5:H$98)</f>
        <v>2</v>
      </c>
      <c r="H35" s="592">
        <f>VLOOKUP(F35,Deltakerliste!P$6:T$84,G35,FALSE)</f>
        <v>1.605</v>
      </c>
      <c r="I35" s="132"/>
      <c r="J35" s="132">
        <v>4.2280092592592591E-2</v>
      </c>
      <c r="K35" s="18"/>
      <c r="L35" s="600">
        <f t="shared" si="2"/>
        <v>1.3212528935185184E-2</v>
      </c>
      <c r="M35" s="594">
        <f>IF(L35="Løype",Poengsammendrag!$F$2,IF(L35="Arr",Poengsammendrag!$F$3,IF(L35="Brutt",50,IF(L35="Disk",50,ROUND(MAXA(100*(MIN(L$10:L$92)/L35),50),0)))))</f>
        <v>50</v>
      </c>
      <c r="N35" s="724">
        <f t="shared" si="3"/>
        <v>8.2321052555670935E-3</v>
      </c>
      <c r="O35" s="596">
        <f>IF(N35="Løype",Poengsammendrag!$F$2,IF(N35="Arr",Poengsammendrag!$F$3,IF(N35="Brutt",50,IF(N35="Disk",50,ROUND(MAXA(100*(MIN(N$10:N$92)/N35),50),0)))))</f>
        <v>50</v>
      </c>
      <c r="S35" s="803" t="s">
        <v>357</v>
      </c>
      <c r="T35" s="736">
        <v>1.4456018518518519E-2</v>
      </c>
      <c r="U35" s="752">
        <v>50</v>
      </c>
      <c r="V35" s="781"/>
      <c r="W35" s="776" t="s">
        <v>168</v>
      </c>
      <c r="X35" s="740">
        <v>50</v>
      </c>
      <c r="AB35" s="828">
        <f t="shared" si="5"/>
        <v>80</v>
      </c>
      <c r="AC35" s="829">
        <f t="shared" si="4"/>
        <v>1</v>
      </c>
    </row>
    <row r="36" spans="2:29" ht="21" thickBot="1" x14ac:dyDescent="0.3">
      <c r="B36" s="16">
        <f t="shared" si="0"/>
        <v>27</v>
      </c>
      <c r="C36" s="106" t="s">
        <v>82</v>
      </c>
      <c r="D36" s="107" t="s">
        <v>83</v>
      </c>
      <c r="E36" s="599" t="str">
        <f t="shared" si="1"/>
        <v>RoarForbord</v>
      </c>
      <c r="F36" s="192">
        <f>YEAR(I$5)-_xlfn.XLOOKUP(E36,Deltakerliste!E$5:E$98,Deltakerliste!I$5:I$98)</f>
        <v>83</v>
      </c>
      <c r="G36" s="192">
        <f>_xlfn.XLOOKUP(E36,Deltakerliste!E$5:E$98,Deltakerliste!H$5:H$98)</f>
        <v>2</v>
      </c>
      <c r="H36" s="592">
        <f>VLOOKUP(F36,Deltakerliste!P$6:T$84,G36,FALSE)</f>
        <v>2.077</v>
      </c>
      <c r="I36" s="853">
        <v>4.6967592592592596E-2</v>
      </c>
      <c r="J36" s="86"/>
      <c r="K36" s="13"/>
      <c r="L36" s="600">
        <f t="shared" si="2"/>
        <v>2.3483796296296298E-2</v>
      </c>
      <c r="M36" s="594">
        <f>IF(L36="Løype",Poengsammendrag!$F$2,IF(L36="Arr",Poengsammendrag!$F$3,IF(L36="Brutt",50,IF(L36="Disk",50,ROUND(MAXA(100*(MIN(L$10:L$92)/L36),50),0)))))</f>
        <v>50</v>
      </c>
      <c r="N36" s="724">
        <f t="shared" si="3"/>
        <v>1.1306594268799373E-2</v>
      </c>
      <c r="O36" s="596">
        <f>IF(N36="Løype",Poengsammendrag!$F$2,IF(N36="Arr",Poengsammendrag!$F$3,IF(N36="Brutt",50,IF(N36="Disk",50,ROUND(MAXA(100*(MIN(N$10:N$92)/N36),50),0)))))</f>
        <v>50</v>
      </c>
      <c r="S36" s="803" t="s">
        <v>82</v>
      </c>
      <c r="T36" s="736">
        <v>2.3483796296296298E-2</v>
      </c>
      <c r="U36" s="752">
        <v>50</v>
      </c>
      <c r="V36" s="781"/>
      <c r="W36" s="776" t="s">
        <v>82</v>
      </c>
      <c r="X36" s="740">
        <v>50</v>
      </c>
      <c r="AB36" s="828">
        <f t="shared" si="5"/>
        <v>81</v>
      </c>
      <c r="AC36" s="829">
        <f t="shared" si="4"/>
        <v>0</v>
      </c>
    </row>
    <row r="37" spans="2:29" ht="21" customHeight="1" thickBot="1" x14ac:dyDescent="0.3">
      <c r="B37" s="16">
        <f t="shared" si="0"/>
        <v>28</v>
      </c>
      <c r="C37" s="106" t="s">
        <v>136</v>
      </c>
      <c r="D37" s="107" t="s">
        <v>137</v>
      </c>
      <c r="E37" s="599" t="str">
        <f t="shared" si="1"/>
        <v>HaraldOftedal</v>
      </c>
      <c r="F37" s="192">
        <f>YEAR(I$5)-_xlfn.XLOOKUP(E37,Deltakerliste!E$5:E$98,Deltakerliste!I$5:I$98)</f>
        <v>74</v>
      </c>
      <c r="G37" s="192">
        <f>_xlfn.XLOOKUP(E37,Deltakerliste!E$5:E$98,Deltakerliste!H$5:H$98)</f>
        <v>2</v>
      </c>
      <c r="H37" s="592">
        <f>VLOOKUP(F37,Deltakerliste!P$6:T$84,G37,FALSE)</f>
        <v>1.569</v>
      </c>
      <c r="I37" s="132"/>
      <c r="J37" s="132" t="s">
        <v>62</v>
      </c>
      <c r="K37" s="134"/>
      <c r="L37" s="600" t="str">
        <f t="shared" si="2"/>
        <v>Løype</v>
      </c>
      <c r="M37" s="594">
        <f>IF(L37="Løype",Poengsammendrag!$F$2,IF(L37="Arr",Poengsammendrag!$F$3,IF(L37="Brutt",50,IF(L37="Disk",50,ROUND(MAXA(100*(MIN(L$10:L$92)/L37),50),0)))))</f>
        <v>100</v>
      </c>
      <c r="N37" s="724" t="str">
        <f t="shared" si="3"/>
        <v>Løype</v>
      </c>
      <c r="O37" s="596">
        <f>IF(N37="Løype",Poengsammendrag!$F$2,IF(N37="Arr",Poengsammendrag!$F$3,IF(N37="Brutt",50,IF(N37="Disk",50,ROUND(MAXA(100*(MIN(N$10:N$92)/N37),50),0)))))</f>
        <v>100</v>
      </c>
      <c r="S37" s="803" t="s">
        <v>136</v>
      </c>
      <c r="T37" s="736" t="s">
        <v>62</v>
      </c>
      <c r="U37" s="752">
        <v>100</v>
      </c>
      <c r="V37" s="781"/>
      <c r="W37" s="776" t="s">
        <v>136</v>
      </c>
      <c r="X37" s="740">
        <v>100</v>
      </c>
      <c r="AB37" s="828">
        <f t="shared" si="5"/>
        <v>82</v>
      </c>
      <c r="AC37" s="829">
        <f t="shared" si="4"/>
        <v>1</v>
      </c>
    </row>
    <row r="38" spans="2:29" ht="21" customHeight="1" thickBot="1" x14ac:dyDescent="0.3">
      <c r="B38" s="16">
        <f t="shared" si="0"/>
        <v>29</v>
      </c>
      <c r="C38" s="106" t="s">
        <v>60</v>
      </c>
      <c r="D38" s="107" t="s">
        <v>61</v>
      </c>
      <c r="E38" s="599" t="str">
        <f t="shared" si="1"/>
        <v>JosteinAlvestad</v>
      </c>
      <c r="F38" s="192">
        <f>YEAR(I$5)-_xlfn.XLOOKUP(E38,Deltakerliste!E$5:E$98,Deltakerliste!I$5:I$98)</f>
        <v>71</v>
      </c>
      <c r="G38" s="192">
        <f>_xlfn.XLOOKUP(E38,Deltakerliste!E$5:E$98,Deltakerliste!H$5:H$98)</f>
        <v>2</v>
      </c>
      <c r="H38" s="592">
        <f>VLOOKUP(F38,Deltakerliste!P$6:T$84,G38,FALSE)</f>
        <v>1.4609999999999999</v>
      </c>
      <c r="I38" s="13"/>
      <c r="J38" s="13"/>
      <c r="K38" s="17"/>
      <c r="L38" s="600"/>
      <c r="M38" s="594"/>
      <c r="N38" s="724"/>
      <c r="O38" s="596"/>
      <c r="S38" s="803"/>
      <c r="T38" s="736"/>
      <c r="U38" s="752"/>
      <c r="V38" s="781"/>
      <c r="W38" s="776"/>
      <c r="X38" s="740"/>
      <c r="AB38" s="828">
        <f t="shared" si="5"/>
        <v>83</v>
      </c>
      <c r="AC38" s="829">
        <f t="shared" si="4"/>
        <v>2</v>
      </c>
    </row>
    <row r="39" spans="2:29" ht="21" customHeight="1" thickBot="1" x14ac:dyDescent="0.3">
      <c r="B39" s="16">
        <f t="shared" si="0"/>
        <v>30</v>
      </c>
      <c r="C39" s="106" t="s">
        <v>66</v>
      </c>
      <c r="D39" s="107" t="s">
        <v>67</v>
      </c>
      <c r="E39" s="599" t="str">
        <f t="shared" si="1"/>
        <v>FrankBjarkø</v>
      </c>
      <c r="F39" s="192">
        <f>YEAR(I$5)-_xlfn.XLOOKUP(E39,Deltakerliste!E$5:E$98,Deltakerliste!I$5:I$98)</f>
        <v>74</v>
      </c>
      <c r="G39" s="192">
        <f>_xlfn.XLOOKUP(E39,Deltakerliste!E$5:E$98,Deltakerliste!H$5:H$98)</f>
        <v>2</v>
      </c>
      <c r="H39" s="592">
        <f>VLOOKUP(F39,Deltakerliste!P$6:T$84,G39,FALSE)</f>
        <v>1.569</v>
      </c>
      <c r="I39" s="13"/>
      <c r="J39" s="13"/>
      <c r="K39" s="13"/>
      <c r="L39" s="600"/>
      <c r="M39" s="594"/>
      <c r="N39" s="724"/>
      <c r="O39" s="596"/>
      <c r="S39" s="803"/>
      <c r="T39" s="736"/>
      <c r="U39" s="752"/>
      <c r="V39" s="781"/>
      <c r="W39" s="776"/>
      <c r="X39" s="740"/>
      <c r="AB39" s="828">
        <f t="shared" si="5"/>
        <v>84</v>
      </c>
      <c r="AC39" s="829">
        <f t="shared" si="4"/>
        <v>0</v>
      </c>
    </row>
    <row r="40" spans="2:29" ht="21" thickBot="1" x14ac:dyDescent="0.3">
      <c r="B40" s="16">
        <f t="shared" si="0"/>
        <v>31</v>
      </c>
      <c r="C40" s="106" t="s">
        <v>364</v>
      </c>
      <c r="D40" s="107" t="s">
        <v>365</v>
      </c>
      <c r="E40" s="599" t="str">
        <f t="shared" si="1"/>
        <v>GerdBjørset</v>
      </c>
      <c r="F40" s="192">
        <f>YEAR(I$5)-_xlfn.XLOOKUP(E40,Deltakerliste!E$5:E$98,Deltakerliste!I$5:I$98)</f>
        <v>72</v>
      </c>
      <c r="G40" s="192">
        <f>_xlfn.XLOOKUP(E40,Deltakerliste!E$5:E$98,Deltakerliste!H$5:H$98)</f>
        <v>4</v>
      </c>
      <c r="H40" s="592">
        <f>VLOOKUP(F40,Deltakerliste!P$6:T$84,G40,FALSE)</f>
        <v>2.0362000000000013</v>
      </c>
      <c r="I40" s="13"/>
      <c r="J40" s="13"/>
      <c r="K40" s="13"/>
      <c r="L40" s="600"/>
      <c r="M40" s="594"/>
      <c r="N40" s="724"/>
      <c r="O40" s="596"/>
      <c r="S40" s="803"/>
      <c r="T40" s="736"/>
      <c r="U40" s="752"/>
      <c r="V40" s="781"/>
      <c r="W40" s="776"/>
      <c r="X40" s="740"/>
      <c r="AB40" s="828">
        <f t="shared" si="5"/>
        <v>85</v>
      </c>
      <c r="AC40" s="829">
        <f t="shared" si="4"/>
        <v>1</v>
      </c>
    </row>
    <row r="41" spans="2:29" ht="21" thickBot="1" x14ac:dyDescent="0.3">
      <c r="B41" s="16">
        <f t="shared" si="0"/>
        <v>32</v>
      </c>
      <c r="C41" s="106" t="s">
        <v>64</v>
      </c>
      <c r="D41" s="107" t="s">
        <v>267</v>
      </c>
      <c r="E41" s="599" t="str">
        <f t="shared" si="1"/>
        <v>BjørnBrenne</v>
      </c>
      <c r="F41" s="192">
        <f>YEAR(I$5)-_xlfn.XLOOKUP(E41,Deltakerliste!E$5:E$98,Deltakerliste!I$5:I$98)</f>
        <v>81</v>
      </c>
      <c r="G41" s="192">
        <f>_xlfn.XLOOKUP(E41,Deltakerliste!E$5:E$98,Deltakerliste!H$5:H$98)</f>
        <v>2</v>
      </c>
      <c r="H41" s="592">
        <f>VLOOKUP(F41,Deltakerliste!P$6:T$84,G41,FALSE)</f>
        <v>1.9290000000000003</v>
      </c>
      <c r="I41" s="86"/>
      <c r="J41" s="86"/>
      <c r="K41" s="13"/>
      <c r="L41" s="600"/>
      <c r="M41" s="594"/>
      <c r="N41" s="724"/>
      <c r="O41" s="596"/>
      <c r="S41" s="803"/>
      <c r="T41" s="736"/>
      <c r="U41" s="752"/>
      <c r="V41" s="781"/>
      <c r="W41" s="776"/>
      <c r="X41" s="740"/>
      <c r="AB41" s="828">
        <f t="shared" si="5"/>
        <v>86</v>
      </c>
      <c r="AC41" s="829">
        <f t="shared" si="4"/>
        <v>1</v>
      </c>
    </row>
    <row r="42" spans="2:29" ht="21" customHeight="1" thickBot="1" x14ac:dyDescent="0.3">
      <c r="B42" s="16">
        <f t="shared" si="0"/>
        <v>33</v>
      </c>
      <c r="C42" s="106" t="s">
        <v>342</v>
      </c>
      <c r="D42" s="107" t="s">
        <v>388</v>
      </c>
      <c r="E42" s="599" t="str">
        <f t="shared" ref="E42:E73" si="6">_xlfn.CONCAT(C42:D42)</f>
        <v>ArildClausen</v>
      </c>
      <c r="F42" s="192">
        <f>YEAR(I$5)-_xlfn.XLOOKUP(E42,Deltakerliste!E$5:E$98,Deltakerliste!I$5:I$98)</f>
        <v>58</v>
      </c>
      <c r="G42" s="192">
        <f>_xlfn.XLOOKUP(E42,Deltakerliste!E$5:E$98,Deltakerliste!H$5:H$98)</f>
        <v>2</v>
      </c>
      <c r="H42" s="592">
        <f>VLOOKUP(F42,Deltakerliste!P$6:T$84,G42,FALSE)</f>
        <v>1.1720000000000002</v>
      </c>
      <c r="I42" s="86"/>
      <c r="J42" s="86"/>
      <c r="K42" s="13"/>
      <c r="L42" s="600"/>
      <c r="M42" s="594"/>
      <c r="N42" s="724"/>
      <c r="O42" s="596"/>
      <c r="S42" s="803"/>
      <c r="T42" s="796"/>
      <c r="U42" s="765"/>
      <c r="V42" s="782"/>
      <c r="W42" s="777"/>
      <c r="X42" s="762"/>
      <c r="AB42" s="828">
        <f t="shared" si="5"/>
        <v>87</v>
      </c>
      <c r="AC42" s="829">
        <f t="shared" si="4"/>
        <v>0</v>
      </c>
    </row>
    <row r="43" spans="2:29" ht="21" thickBot="1" x14ac:dyDescent="0.3">
      <c r="B43" s="16">
        <f t="shared" si="0"/>
        <v>34</v>
      </c>
      <c r="C43" s="106" t="s">
        <v>70</v>
      </c>
      <c r="D43" s="107" t="s">
        <v>71</v>
      </c>
      <c r="E43" s="599" t="str">
        <f t="shared" si="6"/>
        <v>TrondDamås</v>
      </c>
      <c r="F43" s="192">
        <f>YEAR(I$5)-_xlfn.XLOOKUP(E43,Deltakerliste!E$5:E$98,Deltakerliste!I$5:I$98)</f>
        <v>76</v>
      </c>
      <c r="G43" s="192">
        <f>_xlfn.XLOOKUP(E43,Deltakerliste!E$5:E$98,Deltakerliste!H$5:H$98)</f>
        <v>2</v>
      </c>
      <c r="H43" s="592">
        <f>VLOOKUP(F43,Deltakerliste!P$6:T$84,G43,FALSE)</f>
        <v>1.655</v>
      </c>
      <c r="I43" s="13"/>
      <c r="J43" s="13"/>
      <c r="K43" s="13"/>
      <c r="L43" s="600"/>
      <c r="M43" s="594"/>
      <c r="N43" s="724"/>
      <c r="O43" s="596"/>
      <c r="S43" s="803"/>
      <c r="T43" s="797"/>
      <c r="U43" s="770"/>
      <c r="V43" s="778"/>
      <c r="W43" s="783"/>
      <c r="X43" s="740"/>
      <c r="AB43" s="828">
        <f t="shared" si="5"/>
        <v>88</v>
      </c>
      <c r="AC43" s="829">
        <f t="shared" si="4"/>
        <v>0</v>
      </c>
    </row>
    <row r="44" spans="2:29" ht="21" customHeight="1" thickBot="1" x14ac:dyDescent="0.3">
      <c r="B44" s="16">
        <f t="shared" si="0"/>
        <v>35</v>
      </c>
      <c r="C44" s="106" t="s">
        <v>74</v>
      </c>
      <c r="D44" s="107" t="s">
        <v>75</v>
      </c>
      <c r="E44" s="599" t="str">
        <f t="shared" si="6"/>
        <v>StinaElfving</v>
      </c>
      <c r="F44" s="192">
        <f>YEAR(I$5)-_xlfn.XLOOKUP(E44,Deltakerliste!E$5:E$98,Deltakerliste!I$5:I$98)</f>
        <v>76</v>
      </c>
      <c r="G44" s="192">
        <f>_xlfn.XLOOKUP(E44,Deltakerliste!E$5:E$98,Deltakerliste!H$5:H$98)</f>
        <v>4</v>
      </c>
      <c r="H44" s="592">
        <f>VLOOKUP(F44,Deltakerliste!P$6:T$84,G44,FALSE)</f>
        <v>2.2246000000000015</v>
      </c>
      <c r="I44" s="13"/>
      <c r="J44" s="13"/>
      <c r="K44" s="17"/>
      <c r="L44" s="600"/>
      <c r="M44" s="594"/>
      <c r="N44" s="724"/>
      <c r="O44" s="596"/>
      <c r="S44" s="803"/>
      <c r="T44" s="797"/>
      <c r="U44" s="770"/>
      <c r="V44" s="772"/>
      <c r="W44" s="783"/>
      <c r="X44" s="740"/>
      <c r="AB44" s="828">
        <f t="shared" si="5"/>
        <v>89</v>
      </c>
      <c r="AC44" s="829">
        <f t="shared" si="4"/>
        <v>0</v>
      </c>
    </row>
    <row r="45" spans="2:29" ht="21" thickBot="1" x14ac:dyDescent="0.3">
      <c r="B45" s="16">
        <f t="shared" si="0"/>
        <v>36</v>
      </c>
      <c r="C45" s="106" t="s">
        <v>216</v>
      </c>
      <c r="D45" s="107" t="s">
        <v>77</v>
      </c>
      <c r="E45" s="599" t="str">
        <f t="shared" si="6"/>
        <v>Åse RitaEllingsen</v>
      </c>
      <c r="F45" s="192">
        <f>YEAR(I$5)-_xlfn.XLOOKUP(E45,Deltakerliste!E$5:E$98,Deltakerliste!I$5:I$98)</f>
        <v>62</v>
      </c>
      <c r="G45" s="192">
        <f>_xlfn.XLOOKUP(E45,Deltakerliste!E$5:E$98,Deltakerliste!H$5:H$98)</f>
        <v>4</v>
      </c>
      <c r="H45" s="592">
        <f>VLOOKUP(F45,Deltakerliste!P$6:T$84,G45,FALSE)</f>
        <v>1.6834000000000005</v>
      </c>
      <c r="I45" s="86"/>
      <c r="J45" s="14"/>
      <c r="K45" s="13"/>
      <c r="L45" s="600"/>
      <c r="M45" s="594"/>
      <c r="N45" s="724"/>
      <c r="O45" s="596"/>
      <c r="S45" s="803"/>
      <c r="T45" s="797"/>
      <c r="U45" s="770"/>
      <c r="V45" s="772"/>
      <c r="W45" s="783"/>
      <c r="X45" s="740"/>
      <c r="AB45" s="828">
        <f t="shared" si="5"/>
        <v>90</v>
      </c>
      <c r="AC45" s="829">
        <f t="shared" si="4"/>
        <v>0</v>
      </c>
    </row>
    <row r="46" spans="2:29" ht="21" thickBot="1" x14ac:dyDescent="0.3">
      <c r="B46" s="16">
        <f t="shared" si="0"/>
        <v>37</v>
      </c>
      <c r="C46" s="106" t="s">
        <v>76</v>
      </c>
      <c r="D46" s="107" t="s">
        <v>77</v>
      </c>
      <c r="E46" s="599" t="str">
        <f t="shared" si="6"/>
        <v>ReinoldEllingsen</v>
      </c>
      <c r="F46" s="192">
        <f>YEAR(I$5)-_xlfn.XLOOKUP(E46,Deltakerliste!E$5:E$98,Deltakerliste!I$5:I$98)</f>
        <v>75</v>
      </c>
      <c r="G46" s="192">
        <f>_xlfn.XLOOKUP(E46,Deltakerliste!E$5:E$98,Deltakerliste!H$5:H$98)</f>
        <v>2</v>
      </c>
      <c r="H46" s="592">
        <f>VLOOKUP(F46,Deltakerliste!P$6:T$84,G46,FALSE)</f>
        <v>1.605</v>
      </c>
      <c r="I46" s="13"/>
      <c r="J46" s="855"/>
      <c r="K46" s="13"/>
      <c r="L46" s="600"/>
      <c r="M46" s="594"/>
      <c r="N46" s="724"/>
      <c r="O46" s="596"/>
      <c r="S46" s="803"/>
      <c r="T46" s="797"/>
      <c r="U46" s="770"/>
      <c r="V46" s="772"/>
      <c r="W46" s="783"/>
      <c r="X46" s="740"/>
      <c r="AB46" s="828">
        <f t="shared" si="5"/>
        <v>91</v>
      </c>
      <c r="AC46" s="829">
        <f t="shared" si="4"/>
        <v>0</v>
      </c>
    </row>
    <row r="47" spans="2:29" ht="21" customHeight="1" thickBot="1" x14ac:dyDescent="0.3">
      <c r="B47" s="16">
        <f t="shared" si="0"/>
        <v>38</v>
      </c>
      <c r="C47" s="106" t="s">
        <v>80</v>
      </c>
      <c r="D47" s="107" t="s">
        <v>81</v>
      </c>
      <c r="E47" s="599" t="str">
        <f t="shared" si="6"/>
        <v>HalvorFlatberg</v>
      </c>
      <c r="F47" s="192">
        <f>YEAR(I$5)-_xlfn.XLOOKUP(E47,Deltakerliste!E$5:E$98,Deltakerliste!I$5:I$98)</f>
        <v>80</v>
      </c>
      <c r="G47" s="192">
        <f>_xlfn.XLOOKUP(E47,Deltakerliste!E$5:E$98,Deltakerliste!H$5:H$98)</f>
        <v>2</v>
      </c>
      <c r="H47" s="592">
        <f>VLOOKUP(F47,Deltakerliste!P$6:T$84,G47,FALSE)</f>
        <v>1.8550000000000002</v>
      </c>
      <c r="I47" s="86"/>
      <c r="J47" s="86"/>
      <c r="K47" s="13"/>
      <c r="L47" s="600"/>
      <c r="M47" s="594"/>
      <c r="N47" s="724"/>
      <c r="O47" s="596"/>
      <c r="S47" s="803"/>
      <c r="T47" s="797"/>
      <c r="U47" s="770"/>
      <c r="V47" s="772"/>
      <c r="W47" s="783"/>
      <c r="X47" s="740"/>
      <c r="AB47" s="828">
        <f t="shared" si="5"/>
        <v>92</v>
      </c>
      <c r="AC47" s="829">
        <f t="shared" si="4"/>
        <v>0</v>
      </c>
    </row>
    <row r="48" spans="2:29" ht="21" customHeight="1" thickBot="1" x14ac:dyDescent="0.3">
      <c r="B48" s="16">
        <f t="shared" si="0"/>
        <v>39</v>
      </c>
      <c r="C48" s="106" t="s">
        <v>271</v>
      </c>
      <c r="D48" s="107" t="s">
        <v>272</v>
      </c>
      <c r="E48" s="599" t="str">
        <f t="shared" si="6"/>
        <v>Arne KjellFoldvik</v>
      </c>
      <c r="F48" s="192">
        <f>YEAR(I$5)-_xlfn.XLOOKUP(E48,Deltakerliste!E$5:E$98,Deltakerliste!I$5:I$98)</f>
        <v>92</v>
      </c>
      <c r="G48" s="192">
        <f>_xlfn.XLOOKUP(E48,Deltakerliste!E$5:E$98,Deltakerliste!H$5:H$98)</f>
        <v>2</v>
      </c>
      <c r="H48" s="592">
        <f>VLOOKUP(F48,Deltakerliste!P$6:T$84,G48,FALSE)</f>
        <v>2.8130000000000002</v>
      </c>
      <c r="I48" s="14"/>
      <c r="J48" s="14"/>
      <c r="K48" s="13"/>
      <c r="L48" s="600"/>
      <c r="M48" s="594"/>
      <c r="N48" s="724"/>
      <c r="O48" s="596"/>
      <c r="S48" s="803"/>
      <c r="T48" s="797"/>
      <c r="U48" s="770"/>
      <c r="V48" s="772"/>
      <c r="W48" s="783"/>
      <c r="X48" s="740"/>
      <c r="AB48" s="828">
        <f t="shared" si="5"/>
        <v>93</v>
      </c>
      <c r="AC48" s="829">
        <f t="shared" si="4"/>
        <v>0</v>
      </c>
    </row>
    <row r="49" spans="2:29" ht="21" customHeight="1" thickBot="1" x14ac:dyDescent="0.3">
      <c r="B49" s="16">
        <f t="shared" si="0"/>
        <v>40</v>
      </c>
      <c r="C49" s="106" t="s">
        <v>377</v>
      </c>
      <c r="D49" s="107" t="s">
        <v>83</v>
      </c>
      <c r="E49" s="599" t="str">
        <f t="shared" si="6"/>
        <v>HildeForbord</v>
      </c>
      <c r="F49" s="192">
        <f>YEAR(I$5)-_xlfn.XLOOKUP(E49,Deltakerliste!E$5:E$98,Deltakerliste!I$5:I$98)</f>
        <v>60</v>
      </c>
      <c r="G49" s="192">
        <f>_xlfn.XLOOKUP(E49,Deltakerliste!E$5:E$98,Deltakerliste!H$5:H$98)</f>
        <v>4</v>
      </c>
      <c r="H49" s="592">
        <f>VLOOKUP(F49,Deltakerliste!P$6:T$84,G49,FALSE)</f>
        <v>1.6250000000000002</v>
      </c>
      <c r="I49" s="14"/>
      <c r="J49" s="14"/>
      <c r="K49" s="13"/>
      <c r="L49" s="600"/>
      <c r="M49" s="594"/>
      <c r="N49" s="724"/>
      <c r="O49" s="596"/>
      <c r="S49" s="803"/>
      <c r="T49" s="796"/>
      <c r="U49" s="793"/>
      <c r="V49" s="794"/>
      <c r="W49" s="795"/>
      <c r="X49" s="762"/>
      <c r="AB49" s="828">
        <f t="shared" si="5"/>
        <v>94</v>
      </c>
      <c r="AC49" s="829">
        <f t="shared" si="4"/>
        <v>0</v>
      </c>
    </row>
    <row r="50" spans="2:29" ht="21" thickBot="1" x14ac:dyDescent="0.3">
      <c r="B50" s="16">
        <f t="shared" si="0"/>
        <v>41</v>
      </c>
      <c r="C50" s="106" t="s">
        <v>84</v>
      </c>
      <c r="D50" s="107" t="s">
        <v>85</v>
      </c>
      <c r="E50" s="599" t="str">
        <f t="shared" si="6"/>
        <v>PaulForseth</v>
      </c>
      <c r="F50" s="192">
        <f>YEAR(I$5)-_xlfn.XLOOKUP(E50,Deltakerliste!E$5:E$98,Deltakerliste!I$5:I$98)</f>
        <v>94</v>
      </c>
      <c r="G50" s="192">
        <f>_xlfn.XLOOKUP(E50,Deltakerliste!E$5:E$98,Deltakerliste!H$5:H$98)</f>
        <v>2</v>
      </c>
      <c r="H50" s="592">
        <f>VLOOKUP(F50,Deltakerliste!P$6:T$84,G50,FALSE)</f>
        <v>2.9810000000000003</v>
      </c>
      <c r="I50" s="86"/>
      <c r="J50" s="86"/>
      <c r="K50" s="17"/>
      <c r="L50" s="600"/>
      <c r="M50" s="594"/>
      <c r="N50" s="724"/>
      <c r="O50" s="596"/>
      <c r="S50" s="803"/>
      <c r="T50" s="851"/>
      <c r="U50" s="770"/>
      <c r="V50" s="772"/>
      <c r="W50" s="783"/>
      <c r="X50" s="740"/>
      <c r="AB50" s="830">
        <f t="shared" si="5"/>
        <v>95</v>
      </c>
      <c r="AC50" s="831">
        <f t="shared" si="4"/>
        <v>0</v>
      </c>
    </row>
    <row r="51" spans="2:29" ht="21" customHeight="1" thickBot="1" x14ac:dyDescent="0.3">
      <c r="B51" s="16">
        <f t="shared" si="0"/>
        <v>42</v>
      </c>
      <c r="C51" s="106" t="s">
        <v>86</v>
      </c>
      <c r="D51" s="107" t="s">
        <v>87</v>
      </c>
      <c r="E51" s="599" t="str">
        <f t="shared" si="6"/>
        <v>KristianFougner</v>
      </c>
      <c r="F51" s="192">
        <f>YEAR(I$5)-_xlfn.XLOOKUP(E51,Deltakerliste!E$5:E$98,Deltakerliste!I$5:I$98)</f>
        <v>76</v>
      </c>
      <c r="G51" s="192">
        <f>_xlfn.XLOOKUP(E51,Deltakerliste!E$5:E$98,Deltakerliste!H$5:H$98)</f>
        <v>2</v>
      </c>
      <c r="H51" s="592">
        <f>VLOOKUP(F51,Deltakerliste!P$6:T$84,G51,FALSE)</f>
        <v>1.655</v>
      </c>
      <c r="I51" s="86"/>
      <c r="J51" s="86"/>
      <c r="K51" s="13"/>
      <c r="L51" s="600"/>
      <c r="M51" s="594"/>
      <c r="N51" s="724"/>
      <c r="O51" s="596"/>
      <c r="S51" s="803"/>
      <c r="T51" s="797"/>
      <c r="U51" s="770"/>
      <c r="V51" s="772"/>
      <c r="W51" s="783"/>
      <c r="X51" s="740"/>
    </row>
    <row r="52" spans="2:29" ht="21" thickBot="1" x14ac:dyDescent="0.3">
      <c r="B52" s="16">
        <f t="shared" si="0"/>
        <v>43</v>
      </c>
      <c r="C52" s="106" t="s">
        <v>207</v>
      </c>
      <c r="D52" s="107" t="s">
        <v>89</v>
      </c>
      <c r="E52" s="599" t="str">
        <f t="shared" si="6"/>
        <v>AnneFuruholt</v>
      </c>
      <c r="F52" s="192">
        <f>YEAR(I$5)-_xlfn.XLOOKUP(E52,Deltakerliste!E$5:E$98,Deltakerliste!I$5:I$98)</f>
        <v>79</v>
      </c>
      <c r="G52" s="192">
        <f>_xlfn.XLOOKUP(E52,Deltakerliste!E$5:E$98,Deltakerliste!H$5:H$98)</f>
        <v>4</v>
      </c>
      <c r="H52" s="592">
        <f>VLOOKUP(F52,Deltakerliste!P$6:T$84,G52,FALSE)</f>
        <v>2.3974000000000011</v>
      </c>
      <c r="I52" s="13"/>
      <c r="J52" s="13"/>
      <c r="K52" s="13"/>
      <c r="L52" s="600"/>
      <c r="M52" s="594"/>
      <c r="N52" s="724"/>
      <c r="O52" s="596"/>
      <c r="S52" s="803"/>
      <c r="T52" s="798"/>
      <c r="U52" s="770"/>
      <c r="V52" s="772"/>
      <c r="W52" s="783"/>
      <c r="X52" s="740"/>
      <c r="AC52" s="651">
        <f>SUM(AC10:AC50)</f>
        <v>28</v>
      </c>
    </row>
    <row r="53" spans="2:29" ht="21" thickBot="1" x14ac:dyDescent="0.3">
      <c r="B53" s="16">
        <f t="shared" si="0"/>
        <v>44</v>
      </c>
      <c r="C53" s="106" t="s">
        <v>116</v>
      </c>
      <c r="D53" s="107" t="s">
        <v>353</v>
      </c>
      <c r="E53" s="599" t="str">
        <f t="shared" si="6"/>
        <v>AndersGjermo</v>
      </c>
      <c r="F53" s="192">
        <f>YEAR(I$5)-_xlfn.XLOOKUP(E53,Deltakerliste!E$5:E$98,Deltakerliste!I$5:I$98)</f>
        <v>68</v>
      </c>
      <c r="G53" s="192">
        <f>_xlfn.XLOOKUP(E53,Deltakerliste!E$5:E$98,Deltakerliste!H$5:H$98)</f>
        <v>2</v>
      </c>
      <c r="H53" s="592">
        <f>VLOOKUP(F53,Deltakerliste!P$6:T$84,G53,FALSE)</f>
        <v>1.3729999999999998</v>
      </c>
      <c r="I53" s="132"/>
      <c r="J53" s="132"/>
      <c r="K53" s="18"/>
      <c r="L53" s="600"/>
      <c r="M53" s="594"/>
      <c r="N53" s="724"/>
      <c r="O53" s="596"/>
      <c r="S53" s="803"/>
      <c r="T53" s="798"/>
      <c r="U53" s="770"/>
      <c r="V53" s="772"/>
      <c r="W53" s="783"/>
      <c r="X53" s="740"/>
    </row>
    <row r="54" spans="2:29" ht="21" thickBot="1" x14ac:dyDescent="0.3">
      <c r="B54" s="16">
        <f t="shared" si="0"/>
        <v>45</v>
      </c>
      <c r="C54" s="106" t="s">
        <v>90</v>
      </c>
      <c r="D54" s="107" t="s">
        <v>91</v>
      </c>
      <c r="E54" s="599" t="str">
        <f t="shared" si="6"/>
        <v>TorGjermstad</v>
      </c>
      <c r="F54" s="192">
        <f>YEAR(I$5)-_xlfn.XLOOKUP(E54,Deltakerliste!E$5:E$98,Deltakerliste!I$5:I$98)</f>
        <v>76</v>
      </c>
      <c r="G54" s="192">
        <f>_xlfn.XLOOKUP(E54,Deltakerliste!E$5:E$98,Deltakerliste!H$5:H$98)</f>
        <v>2</v>
      </c>
      <c r="H54" s="592">
        <f>VLOOKUP(F54,Deltakerliste!P$6:T$84,G54,FALSE)</f>
        <v>1.655</v>
      </c>
      <c r="I54" s="86"/>
      <c r="J54" s="86"/>
      <c r="K54" s="13"/>
      <c r="L54" s="600"/>
      <c r="M54" s="594"/>
      <c r="N54" s="724"/>
      <c r="O54" s="596"/>
      <c r="S54" s="846"/>
      <c r="T54" s="847"/>
      <c r="U54" s="848"/>
      <c r="V54" s="778"/>
      <c r="W54" s="849"/>
      <c r="X54" s="850"/>
    </row>
    <row r="55" spans="2:29" ht="21" customHeight="1" thickBot="1" x14ac:dyDescent="0.3">
      <c r="B55" s="16">
        <f t="shared" si="0"/>
        <v>46</v>
      </c>
      <c r="C55" s="106" t="s">
        <v>92</v>
      </c>
      <c r="D55" s="107" t="s">
        <v>93</v>
      </c>
      <c r="E55" s="599" t="str">
        <f t="shared" si="6"/>
        <v>Jens ØysteinGjersvold</v>
      </c>
      <c r="F55" s="192">
        <f>YEAR(I$5)-_xlfn.XLOOKUP(E55,Deltakerliste!E$5:E$98,Deltakerliste!I$5:I$98)</f>
        <v>74</v>
      </c>
      <c r="G55" s="192">
        <f>_xlfn.XLOOKUP(E55,Deltakerliste!E$5:E$98,Deltakerliste!H$5:H$98)</f>
        <v>2</v>
      </c>
      <c r="H55" s="592">
        <f>VLOOKUP(F55,Deltakerliste!P$6:T$84,G55,FALSE)</f>
        <v>1.569</v>
      </c>
      <c r="I55" s="14"/>
      <c r="J55" s="14"/>
      <c r="K55" s="18"/>
      <c r="L55" s="600"/>
      <c r="M55" s="594"/>
      <c r="N55" s="724"/>
      <c r="O55" s="596"/>
      <c r="S55" s="803"/>
      <c r="T55" s="798"/>
      <c r="U55" s="770"/>
      <c r="V55" s="772"/>
      <c r="W55" s="783"/>
      <c r="X55" s="740"/>
    </row>
    <row r="56" spans="2:29" ht="21" thickBot="1" x14ac:dyDescent="0.3">
      <c r="B56" s="16">
        <f t="shared" si="0"/>
        <v>47</v>
      </c>
      <c r="C56" s="106" t="s">
        <v>60</v>
      </c>
      <c r="D56" s="107" t="s">
        <v>372</v>
      </c>
      <c r="E56" s="599" t="str">
        <f t="shared" si="6"/>
        <v>JosteinGrepstad</v>
      </c>
      <c r="F56" s="192">
        <f>YEAR(I$5)-_xlfn.XLOOKUP(E56,Deltakerliste!E$5:E$98,Deltakerliste!I$5:I$98)</f>
        <v>75</v>
      </c>
      <c r="G56" s="192">
        <f>_xlfn.XLOOKUP(E56,Deltakerliste!E$5:E$98,Deltakerliste!H$5:H$98)</f>
        <v>2</v>
      </c>
      <c r="H56" s="592">
        <f>VLOOKUP(F56,Deltakerliste!P$6:T$84,G56,FALSE)</f>
        <v>1.605</v>
      </c>
      <c r="I56" s="14"/>
      <c r="J56" s="14"/>
      <c r="K56" s="18"/>
      <c r="L56" s="600"/>
      <c r="M56" s="594"/>
      <c r="N56" s="724"/>
      <c r="O56" s="596"/>
      <c r="S56" s="803"/>
      <c r="T56" s="798"/>
      <c r="U56" s="770"/>
      <c r="V56" s="772"/>
      <c r="W56" s="783"/>
      <c r="X56" s="740"/>
    </row>
    <row r="57" spans="2:29" ht="21" thickBot="1" x14ac:dyDescent="0.3">
      <c r="B57" s="16">
        <f t="shared" si="0"/>
        <v>48</v>
      </c>
      <c r="C57" s="106" t="s">
        <v>64</v>
      </c>
      <c r="D57" s="107" t="s">
        <v>366</v>
      </c>
      <c r="E57" s="599" t="str">
        <f t="shared" si="6"/>
        <v>BjørnHafskjold</v>
      </c>
      <c r="F57" s="192">
        <f>YEAR(I$5)-_xlfn.XLOOKUP(E57,Deltakerliste!E$5:E$98,Deltakerliste!I$5:I$98)</f>
        <v>79</v>
      </c>
      <c r="G57" s="192">
        <f>_xlfn.XLOOKUP(E57,Deltakerliste!E$5:E$98,Deltakerliste!H$5:H$98)</f>
        <v>2</v>
      </c>
      <c r="H57" s="592">
        <f>VLOOKUP(F57,Deltakerliste!P$6:T$84,G57,FALSE)</f>
        <v>1.8050000000000002</v>
      </c>
      <c r="I57" s="14"/>
      <c r="J57" s="14"/>
      <c r="K57" s="18"/>
      <c r="L57" s="600"/>
      <c r="M57" s="594"/>
      <c r="N57" s="724"/>
      <c r="O57" s="596"/>
      <c r="S57" s="804"/>
      <c r="T57" s="801"/>
      <c r="U57" s="771"/>
      <c r="V57" s="773"/>
      <c r="W57" s="784"/>
      <c r="X57" s="741"/>
    </row>
    <row r="58" spans="2:29" ht="20" customHeight="1" thickBot="1" x14ac:dyDescent="0.3">
      <c r="B58" s="16">
        <f t="shared" si="0"/>
        <v>49</v>
      </c>
      <c r="C58" s="106" t="s">
        <v>96</v>
      </c>
      <c r="D58" s="107" t="s">
        <v>97</v>
      </c>
      <c r="E58" s="599" t="str">
        <f t="shared" si="6"/>
        <v>StigHaugskott</v>
      </c>
      <c r="F58" s="192">
        <f>YEAR(I$5)-_xlfn.XLOOKUP(E58,Deltakerliste!E$5:E$98,Deltakerliste!I$5:I$98)</f>
        <v>87</v>
      </c>
      <c r="G58" s="192">
        <f>_xlfn.XLOOKUP(E58,Deltakerliste!E$5:E$98,Deltakerliste!H$5:H$98)</f>
        <v>2</v>
      </c>
      <c r="H58" s="592">
        <f>VLOOKUP(F58,Deltakerliste!P$6:T$84,G58,FALSE)</f>
        <v>2.3929999999999998</v>
      </c>
      <c r="I58" s="86"/>
      <c r="J58" s="86"/>
      <c r="K58" s="86"/>
      <c r="L58" s="600"/>
      <c r="M58" s="594"/>
      <c r="N58" s="724"/>
      <c r="O58" s="596"/>
    </row>
    <row r="59" spans="2:29" ht="21" thickBot="1" x14ac:dyDescent="0.3">
      <c r="B59" s="16">
        <f t="shared" si="0"/>
        <v>50</v>
      </c>
      <c r="C59" s="106" t="s">
        <v>63</v>
      </c>
      <c r="D59" s="107" t="s">
        <v>98</v>
      </c>
      <c r="E59" s="599" t="str">
        <f t="shared" si="6"/>
        <v>ToreHeggem</v>
      </c>
      <c r="F59" s="192">
        <f>YEAR(I$5)-_xlfn.XLOOKUP(E59,Deltakerliste!E$5:E$98,Deltakerliste!I$5:I$98)</f>
        <v>73</v>
      </c>
      <c r="G59" s="192">
        <f>_xlfn.XLOOKUP(E59,Deltakerliste!E$5:E$98,Deltakerliste!H$5:H$98)</f>
        <v>2</v>
      </c>
      <c r="H59" s="592">
        <f>VLOOKUP(F59,Deltakerliste!P$6:T$84,G59,FALSE)</f>
        <v>1.5329999999999999</v>
      </c>
      <c r="I59" s="86"/>
      <c r="J59" s="86"/>
      <c r="K59" s="13"/>
      <c r="L59" s="600"/>
      <c r="M59" s="594"/>
      <c r="N59" s="724"/>
      <c r="O59" s="596"/>
    </row>
    <row r="60" spans="2:29" ht="21" customHeight="1" thickBot="1" x14ac:dyDescent="0.3">
      <c r="B60" s="16">
        <f t="shared" si="0"/>
        <v>51</v>
      </c>
      <c r="C60" s="106" t="s">
        <v>342</v>
      </c>
      <c r="D60" s="107" t="s">
        <v>343</v>
      </c>
      <c r="E60" s="599" t="str">
        <f t="shared" si="6"/>
        <v>ArildHeggeset</v>
      </c>
      <c r="F60" s="192">
        <f>YEAR(I$5)-_xlfn.XLOOKUP(E60,Deltakerliste!E$5:E$98,Deltakerliste!I$5:I$98)</f>
        <v>59</v>
      </c>
      <c r="G60" s="192">
        <f>_xlfn.XLOOKUP(E60,Deltakerliste!E$5:E$98,Deltakerliste!H$5:H$98)</f>
        <v>2</v>
      </c>
      <c r="H60" s="592">
        <f>VLOOKUP(F60,Deltakerliste!P$6:T$84,G60,FALSE)</f>
        <v>1.1860000000000002</v>
      </c>
      <c r="I60" s="86"/>
      <c r="J60" s="86"/>
      <c r="K60" s="13"/>
      <c r="L60" s="600"/>
      <c r="M60" s="594"/>
      <c r="N60" s="724"/>
      <c r="O60" s="596"/>
    </row>
    <row r="61" spans="2:29" ht="21" customHeight="1" thickBot="1" x14ac:dyDescent="0.3">
      <c r="B61" s="16">
        <f t="shared" si="0"/>
        <v>52</v>
      </c>
      <c r="C61" s="106" t="s">
        <v>309</v>
      </c>
      <c r="D61" s="107" t="s">
        <v>310</v>
      </c>
      <c r="E61" s="599" t="str">
        <f t="shared" si="6"/>
        <v>VigdisHeimly</v>
      </c>
      <c r="F61" s="192">
        <f>YEAR(I$5)-_xlfn.XLOOKUP(E61,Deltakerliste!E$5:E$98,Deltakerliste!I$5:I$98)</f>
        <v>67</v>
      </c>
      <c r="G61" s="192">
        <f>_xlfn.XLOOKUP(E61,Deltakerliste!E$5:E$98,Deltakerliste!H$5:H$98)</f>
        <v>4</v>
      </c>
      <c r="H61" s="592">
        <f>VLOOKUP(F61,Deltakerliste!P$6:T$84,G61,FALSE)</f>
        <v>1.8422000000000009</v>
      </c>
      <c r="I61" s="86"/>
      <c r="J61" s="86"/>
      <c r="K61" s="17"/>
      <c r="L61" s="600"/>
      <c r="M61" s="594"/>
      <c r="N61" s="724"/>
      <c r="O61" s="596"/>
    </row>
    <row r="62" spans="2:29" ht="21" customHeight="1" thickBot="1" x14ac:dyDescent="0.3">
      <c r="B62" s="16">
        <f t="shared" si="0"/>
        <v>53</v>
      </c>
      <c r="C62" s="106" t="s">
        <v>118</v>
      </c>
      <c r="D62" s="107" t="s">
        <v>383</v>
      </c>
      <c r="E62" s="599" t="str">
        <f t="shared" si="6"/>
        <v>KnutHelland</v>
      </c>
      <c r="F62" s="192">
        <f>YEAR(I$5)-_xlfn.XLOOKUP(E62,Deltakerliste!E$5:E$98,Deltakerliste!I$5:I$98)</f>
        <v>64</v>
      </c>
      <c r="G62" s="192">
        <f>_xlfn.XLOOKUP(E62,Deltakerliste!E$5:E$98,Deltakerliste!H$5:H$98)</f>
        <v>2</v>
      </c>
      <c r="H62" s="592">
        <f>VLOOKUP(F62,Deltakerliste!P$6:T$84,G62,FALSE)</f>
        <v>1.2759999999999998</v>
      </c>
      <c r="I62" s="86"/>
      <c r="J62" s="86"/>
      <c r="K62" s="17"/>
      <c r="L62" s="600"/>
      <c r="M62" s="594"/>
      <c r="N62" s="724"/>
      <c r="O62" s="596"/>
    </row>
    <row r="63" spans="2:29" ht="21" thickBot="1" x14ac:dyDescent="0.3">
      <c r="B63" s="16">
        <f t="shared" si="0"/>
        <v>54</v>
      </c>
      <c r="C63" s="106" t="s">
        <v>126</v>
      </c>
      <c r="D63" s="107" t="s">
        <v>383</v>
      </c>
      <c r="E63" s="599" t="str">
        <f t="shared" si="6"/>
        <v>ArneHelland</v>
      </c>
      <c r="F63" s="192">
        <f>YEAR(I$5)-_xlfn.XLOOKUP(E63,Deltakerliste!E$5:E$98,Deltakerliste!I$5:I$98)</f>
        <v>61</v>
      </c>
      <c r="G63" s="192">
        <f>_xlfn.XLOOKUP(E63,Deltakerliste!E$5:E$98,Deltakerliste!H$5:H$98)</f>
        <v>2</v>
      </c>
      <c r="H63" s="592">
        <f>VLOOKUP(F63,Deltakerliste!P$6:T$84,G63,FALSE)</f>
        <v>1.2190000000000001</v>
      </c>
      <c r="I63" s="86"/>
      <c r="J63" s="86"/>
      <c r="K63" s="17"/>
      <c r="L63" s="600"/>
      <c r="M63" s="594"/>
      <c r="N63" s="724"/>
      <c r="O63" s="596"/>
    </row>
    <row r="64" spans="2:29" ht="21" thickBot="1" x14ac:dyDescent="0.3">
      <c r="B64" s="16">
        <f t="shared" si="0"/>
        <v>55</v>
      </c>
      <c r="C64" s="106" t="s">
        <v>103</v>
      </c>
      <c r="D64" s="107" t="s">
        <v>104</v>
      </c>
      <c r="E64" s="599" t="str">
        <f t="shared" si="6"/>
        <v>SveinHove</v>
      </c>
      <c r="F64" s="192">
        <f>YEAR(I$5)-_xlfn.XLOOKUP(E64,Deltakerliste!E$5:E$98,Deltakerliste!I$5:I$98)</f>
        <v>79</v>
      </c>
      <c r="G64" s="192">
        <f>_xlfn.XLOOKUP(E64,Deltakerliste!E$5:E$98,Deltakerliste!H$5:H$98)</f>
        <v>2</v>
      </c>
      <c r="H64" s="592">
        <f>VLOOKUP(F64,Deltakerliste!P$6:T$84,G64,FALSE)</f>
        <v>1.8050000000000002</v>
      </c>
      <c r="I64" s="86"/>
      <c r="J64" s="86"/>
      <c r="K64" s="17"/>
      <c r="L64" s="600"/>
      <c r="M64" s="594"/>
      <c r="N64" s="724"/>
      <c r="O64" s="596"/>
    </row>
    <row r="65" spans="2:17" ht="21" thickBot="1" x14ac:dyDescent="0.3">
      <c r="B65" s="16">
        <f t="shared" si="0"/>
        <v>56</v>
      </c>
      <c r="C65" s="106" t="s">
        <v>269</v>
      </c>
      <c r="D65" s="107" t="s">
        <v>270</v>
      </c>
      <c r="E65" s="599" t="str">
        <f t="shared" si="6"/>
        <v>Per OlavJohansen</v>
      </c>
      <c r="F65" s="192">
        <f>YEAR(I$5)-_xlfn.XLOOKUP(E65,Deltakerliste!E$5:E$98,Deltakerliste!I$5:I$98)</f>
        <v>68</v>
      </c>
      <c r="G65" s="192">
        <f>_xlfn.XLOOKUP(E65,Deltakerliste!E$5:E$98,Deltakerliste!H$5:H$98)</f>
        <v>2</v>
      </c>
      <c r="H65" s="592">
        <f>VLOOKUP(F65,Deltakerliste!P$6:T$84,G65,FALSE)</f>
        <v>1.3729999999999998</v>
      </c>
      <c r="I65" s="132"/>
      <c r="J65" s="132"/>
      <c r="K65" s="134"/>
      <c r="L65" s="600"/>
      <c r="M65" s="594"/>
      <c r="N65" s="724"/>
      <c r="O65" s="596"/>
    </row>
    <row r="66" spans="2:17" ht="21" thickBot="1" x14ac:dyDescent="0.3">
      <c r="B66" s="16">
        <f t="shared" si="0"/>
        <v>57</v>
      </c>
      <c r="C66" s="106" t="s">
        <v>63</v>
      </c>
      <c r="D66" s="107" t="s">
        <v>105</v>
      </c>
      <c r="E66" s="599" t="str">
        <f t="shared" si="6"/>
        <v>ToreKiste</v>
      </c>
      <c r="F66" s="192">
        <f>YEAR(I$5)-_xlfn.XLOOKUP(E66,Deltakerliste!E$5:E$98,Deltakerliste!I$5:I$98)</f>
        <v>81</v>
      </c>
      <c r="G66" s="192">
        <f>_xlfn.XLOOKUP(E66,Deltakerliste!E$5:E$98,Deltakerliste!H$5:H$98)</f>
        <v>2</v>
      </c>
      <c r="H66" s="592">
        <f>VLOOKUP(F66,Deltakerliste!P$6:T$84,G66,FALSE)</f>
        <v>1.9290000000000003</v>
      </c>
      <c r="I66" s="86"/>
      <c r="J66" s="86"/>
      <c r="K66" s="13"/>
      <c r="L66" s="600"/>
      <c r="M66" s="594"/>
      <c r="N66" s="724"/>
      <c r="O66" s="596"/>
    </row>
    <row r="67" spans="2:17" ht="21" thickBot="1" x14ac:dyDescent="0.3">
      <c r="B67" s="16">
        <f t="shared" si="0"/>
        <v>58</v>
      </c>
      <c r="C67" s="106" t="s">
        <v>108</v>
      </c>
      <c r="D67" s="107" t="s">
        <v>109</v>
      </c>
      <c r="E67" s="599" t="str">
        <f t="shared" si="6"/>
        <v>Finn FayeKnudsen</v>
      </c>
      <c r="F67" s="192">
        <f>YEAR(I$5)-_xlfn.XLOOKUP(E67,Deltakerliste!E$5:E$98,Deltakerliste!I$5:I$98)</f>
        <v>84</v>
      </c>
      <c r="G67" s="192">
        <f>_xlfn.XLOOKUP(E67,Deltakerliste!E$5:E$98,Deltakerliste!H$5:H$98)</f>
        <v>2</v>
      </c>
      <c r="H67" s="592">
        <f>VLOOKUP(F67,Deltakerliste!P$6:T$84,G67,FALSE)</f>
        <v>2.1509999999999998</v>
      </c>
      <c r="I67" s="86"/>
      <c r="J67" s="86"/>
      <c r="K67" s="13"/>
      <c r="L67" s="600"/>
      <c r="M67" s="594"/>
      <c r="N67" s="724"/>
      <c r="O67" s="596"/>
    </row>
    <row r="68" spans="2:17" ht="21" thickBot="1" x14ac:dyDescent="0.3">
      <c r="B68" s="16">
        <f t="shared" si="0"/>
        <v>59</v>
      </c>
      <c r="C68" s="106" t="s">
        <v>110</v>
      </c>
      <c r="D68" s="107" t="s">
        <v>111</v>
      </c>
      <c r="E68" s="599" t="str">
        <f t="shared" si="6"/>
        <v>Jan ErikKofoed</v>
      </c>
      <c r="F68" s="192">
        <f>YEAR(I$5)-_xlfn.XLOOKUP(E68,Deltakerliste!E$5:E$98,Deltakerliste!I$5:I$98)</f>
        <v>72</v>
      </c>
      <c r="G68" s="192">
        <f>_xlfn.XLOOKUP(E68,Deltakerliste!E$5:E$98,Deltakerliste!H$5:H$98)</f>
        <v>2</v>
      </c>
      <c r="H68" s="592">
        <f>VLOOKUP(F68,Deltakerliste!P$6:T$84,G68,FALSE)</f>
        <v>1.4969999999999999</v>
      </c>
      <c r="I68" s="86"/>
      <c r="J68" s="86"/>
      <c r="K68" s="13"/>
      <c r="L68" s="600"/>
      <c r="M68" s="594"/>
      <c r="N68" s="724"/>
      <c r="O68" s="596"/>
    </row>
    <row r="69" spans="2:17" ht="21" thickBot="1" x14ac:dyDescent="0.3">
      <c r="B69" s="16">
        <f t="shared" si="0"/>
        <v>60</v>
      </c>
      <c r="C69" s="106" t="s">
        <v>251</v>
      </c>
      <c r="D69" s="107" t="s">
        <v>252</v>
      </c>
      <c r="E69" s="599" t="str">
        <f t="shared" si="6"/>
        <v>OttarKristiansen</v>
      </c>
      <c r="F69" s="192">
        <f>YEAR(I$5)-_xlfn.XLOOKUP(E69,Deltakerliste!E$5:E$98,Deltakerliste!I$5:I$98)</f>
        <v>77</v>
      </c>
      <c r="G69" s="192">
        <f>_xlfn.XLOOKUP(E69,Deltakerliste!E$5:E$98,Deltakerliste!H$5:H$98)</f>
        <v>2</v>
      </c>
      <c r="H69" s="592">
        <f>VLOOKUP(F69,Deltakerliste!P$6:T$84,G69,FALSE)</f>
        <v>1.7050000000000001</v>
      </c>
      <c r="I69" s="86"/>
      <c r="J69" s="86"/>
      <c r="K69" s="17"/>
      <c r="L69" s="600"/>
      <c r="M69" s="594"/>
      <c r="N69" s="724"/>
      <c r="O69" s="596"/>
    </row>
    <row r="70" spans="2:17" ht="21" thickBot="1" x14ac:dyDescent="0.3">
      <c r="B70" s="16">
        <f t="shared" si="0"/>
        <v>61</v>
      </c>
      <c r="C70" s="106" t="s">
        <v>299</v>
      </c>
      <c r="D70" s="107" t="s">
        <v>300</v>
      </c>
      <c r="E70" s="599" t="str">
        <f t="shared" si="6"/>
        <v>OlavKvittem</v>
      </c>
      <c r="F70" s="192">
        <f>YEAR(I$5)-_xlfn.XLOOKUP(E70,Deltakerliste!E$5:E$98,Deltakerliste!I$5:I$98)</f>
        <v>71</v>
      </c>
      <c r="G70" s="192">
        <f>_xlfn.XLOOKUP(E70,Deltakerliste!E$5:E$98,Deltakerliste!H$5:H$98)</f>
        <v>2</v>
      </c>
      <c r="H70" s="592">
        <f>VLOOKUP(F70,Deltakerliste!P$6:T$84,G70,FALSE)</f>
        <v>1.4609999999999999</v>
      </c>
      <c r="I70" s="86"/>
      <c r="J70" s="86"/>
      <c r="K70" s="13"/>
      <c r="L70" s="600"/>
      <c r="M70" s="594"/>
      <c r="N70" s="724"/>
      <c r="O70" s="596"/>
    </row>
    <row r="71" spans="2:17" ht="21" thickBot="1" x14ac:dyDescent="0.3">
      <c r="B71" s="16">
        <f t="shared" si="0"/>
        <v>62</v>
      </c>
      <c r="C71" s="106" t="s">
        <v>112</v>
      </c>
      <c r="D71" s="107" t="s">
        <v>113</v>
      </c>
      <c r="E71" s="599" t="str">
        <f t="shared" si="6"/>
        <v>ToridKvaal</v>
      </c>
      <c r="F71" s="192">
        <f>YEAR(I$5)-_xlfn.XLOOKUP(E71,Deltakerliste!E$5:E$98,Deltakerliste!I$5:I$98)</f>
        <v>84</v>
      </c>
      <c r="G71" s="192">
        <f>_xlfn.XLOOKUP(E71,Deltakerliste!E$5:E$98,Deltakerliste!H$5:H$98)</f>
        <v>4</v>
      </c>
      <c r="H71" s="592">
        <f>VLOOKUP(F71,Deltakerliste!P$6:T$84,G71,FALSE)</f>
        <v>2.7814000000000005</v>
      </c>
      <c r="I71" s="86"/>
      <c r="J71" s="86"/>
      <c r="K71" s="13"/>
      <c r="L71" s="600"/>
      <c r="M71" s="594"/>
      <c r="N71" s="724"/>
      <c r="O71" s="596"/>
    </row>
    <row r="72" spans="2:17" ht="21" thickBot="1" x14ac:dyDescent="0.3">
      <c r="B72" s="16">
        <f t="shared" si="0"/>
        <v>63</v>
      </c>
      <c r="C72" s="106" t="s">
        <v>254</v>
      </c>
      <c r="D72" s="107" t="s">
        <v>255</v>
      </c>
      <c r="E72" s="599" t="str">
        <f t="shared" si="6"/>
        <v>ArnfinnLangeland</v>
      </c>
      <c r="F72" s="192">
        <f>YEAR(I$5)-_xlfn.XLOOKUP(E72,Deltakerliste!E$5:E$98,Deltakerliste!I$5:I$98)</f>
        <v>90</v>
      </c>
      <c r="G72" s="192">
        <f>_xlfn.XLOOKUP(E72,Deltakerliste!E$5:E$98,Deltakerliste!H$5:H$98)</f>
        <v>2</v>
      </c>
      <c r="H72" s="592">
        <f>VLOOKUP(F72,Deltakerliste!P$6:T$84,G72,FALSE)</f>
        <v>2.645</v>
      </c>
      <c r="I72" s="86"/>
      <c r="J72" s="86"/>
      <c r="K72" s="13"/>
      <c r="L72" s="600"/>
      <c r="M72" s="594"/>
      <c r="N72" s="724"/>
      <c r="O72" s="596"/>
    </row>
    <row r="73" spans="2:17" ht="21" thickBot="1" x14ac:dyDescent="0.3">
      <c r="B73" s="16">
        <f t="shared" ref="B73:B94" si="7">B72+1</f>
        <v>64</v>
      </c>
      <c r="C73" s="106" t="s">
        <v>116</v>
      </c>
      <c r="D73" s="107" t="s">
        <v>117</v>
      </c>
      <c r="E73" s="599" t="str">
        <f t="shared" si="6"/>
        <v>AndersLauglo</v>
      </c>
      <c r="F73" s="192">
        <f>YEAR(I$5)-_xlfn.XLOOKUP(E73,Deltakerliste!E$5:E$98,Deltakerliste!I$5:I$98)</f>
        <v>87</v>
      </c>
      <c r="G73" s="192">
        <f>_xlfn.XLOOKUP(E73,Deltakerliste!E$5:E$98,Deltakerliste!H$5:H$98)</f>
        <v>2</v>
      </c>
      <c r="H73" s="592">
        <f>VLOOKUP(F73,Deltakerliste!P$6:T$84,G73,FALSE)</f>
        <v>2.3929999999999998</v>
      </c>
      <c r="I73" s="13"/>
      <c r="J73" s="13"/>
      <c r="K73" s="86"/>
      <c r="L73" s="600"/>
      <c r="M73" s="594"/>
      <c r="N73" s="724"/>
      <c r="O73" s="596"/>
    </row>
    <row r="74" spans="2:17" ht="21" thickBot="1" x14ac:dyDescent="0.3">
      <c r="B74" s="16">
        <f t="shared" si="7"/>
        <v>65</v>
      </c>
      <c r="C74" s="106" t="s">
        <v>118</v>
      </c>
      <c r="D74" s="107" t="s">
        <v>119</v>
      </c>
      <c r="E74" s="599" t="str">
        <f t="shared" ref="E74:E94" si="8">_xlfn.CONCAT(C74:D74)</f>
        <v>KnutLillealtern</v>
      </c>
      <c r="F74" s="192">
        <f>YEAR(I$5)-_xlfn.XLOOKUP(E74,Deltakerliste!E$5:E$98,Deltakerliste!I$5:I$98)</f>
        <v>77</v>
      </c>
      <c r="G74" s="192">
        <f>_xlfn.XLOOKUP(E74,Deltakerliste!E$5:E$98,Deltakerliste!H$5:H$98)</f>
        <v>2</v>
      </c>
      <c r="H74" s="592">
        <f>VLOOKUP(F74,Deltakerliste!P$6:T$84,G74,FALSE)</f>
        <v>1.7050000000000001</v>
      </c>
      <c r="I74" s="13"/>
      <c r="J74" s="13"/>
      <c r="K74" s="17"/>
      <c r="L74" s="600"/>
      <c r="M74" s="594"/>
      <c r="N74" s="724"/>
      <c r="O74" s="596"/>
    </row>
    <row r="75" spans="2:17" ht="21" thickBot="1" x14ac:dyDescent="0.3">
      <c r="B75" s="16">
        <f t="shared" si="7"/>
        <v>66</v>
      </c>
      <c r="C75" s="106" t="s">
        <v>248</v>
      </c>
      <c r="D75" s="107" t="s">
        <v>249</v>
      </c>
      <c r="E75" s="599" t="str">
        <f t="shared" si="8"/>
        <v>ErikLund</v>
      </c>
      <c r="F75" s="192">
        <f>YEAR(I$5)-_xlfn.XLOOKUP(E75,Deltakerliste!E$5:E$98,Deltakerliste!I$5:I$98)</f>
        <v>79</v>
      </c>
      <c r="G75" s="192">
        <f>_xlfn.XLOOKUP(E75,Deltakerliste!E$5:E$98,Deltakerliste!H$5:H$98)</f>
        <v>2</v>
      </c>
      <c r="H75" s="592">
        <f>VLOOKUP(F75,Deltakerliste!P$6:T$84,G75,FALSE)</f>
        <v>1.8050000000000002</v>
      </c>
      <c r="I75" s="13"/>
      <c r="J75" s="13"/>
      <c r="K75" s="17"/>
      <c r="L75" s="600"/>
      <c r="M75" s="594"/>
      <c r="N75" s="724"/>
      <c r="O75" s="596"/>
      <c r="Q75" s="112"/>
    </row>
    <row r="76" spans="2:17" ht="21" thickBot="1" x14ac:dyDescent="0.3">
      <c r="B76" s="16">
        <f t="shared" si="7"/>
        <v>67</v>
      </c>
      <c r="C76" s="106" t="s">
        <v>126</v>
      </c>
      <c r="D76" s="107" t="s">
        <v>127</v>
      </c>
      <c r="E76" s="599" t="str">
        <f t="shared" si="8"/>
        <v>ArneMikkelsen</v>
      </c>
      <c r="F76" s="192">
        <f>YEAR(I$5)-_xlfn.XLOOKUP(E76,Deltakerliste!E$5:E$98,Deltakerliste!I$5:I$98)</f>
        <v>73</v>
      </c>
      <c r="G76" s="192">
        <f>_xlfn.XLOOKUP(E76,Deltakerliste!E$5:E$98,Deltakerliste!H$5:H$98)</f>
        <v>2</v>
      </c>
      <c r="H76" s="592">
        <f>VLOOKUP(F76,Deltakerliste!P$6:T$84,G76,FALSE)</f>
        <v>1.5329999999999999</v>
      </c>
      <c r="I76" s="13"/>
      <c r="J76" s="13"/>
      <c r="K76" s="13"/>
      <c r="L76" s="600"/>
      <c r="M76" s="594"/>
      <c r="N76" s="724"/>
      <c r="O76" s="596"/>
    </row>
    <row r="77" spans="2:17" ht="21" thickBot="1" x14ac:dyDescent="0.3">
      <c r="B77" s="16">
        <f t="shared" si="7"/>
        <v>68</v>
      </c>
      <c r="C77" s="106" t="s">
        <v>128</v>
      </c>
      <c r="D77" s="107" t="s">
        <v>129</v>
      </c>
      <c r="E77" s="599" t="str">
        <f t="shared" si="8"/>
        <v>OddMusum</v>
      </c>
      <c r="F77" s="192">
        <f>YEAR(I$5)-_xlfn.XLOOKUP(E77,Deltakerliste!E$5:E$98,Deltakerliste!I$5:I$98)</f>
        <v>84</v>
      </c>
      <c r="G77" s="192">
        <f>_xlfn.XLOOKUP(E77,Deltakerliste!E$5:E$98,Deltakerliste!H$5:H$98)</f>
        <v>2</v>
      </c>
      <c r="H77" s="592">
        <f>VLOOKUP(F77,Deltakerliste!P$6:T$84,G77,FALSE)</f>
        <v>2.1509999999999998</v>
      </c>
      <c r="I77" s="13"/>
      <c r="J77" s="13"/>
      <c r="K77" s="13"/>
      <c r="L77" s="600"/>
      <c r="M77" s="594"/>
      <c r="N77" s="724"/>
      <c r="O77" s="596"/>
    </row>
    <row r="78" spans="2:17" ht="21" thickBot="1" x14ac:dyDescent="0.3">
      <c r="B78" s="16">
        <f t="shared" si="7"/>
        <v>69</v>
      </c>
      <c r="C78" s="106" t="s">
        <v>130</v>
      </c>
      <c r="D78" s="107" t="s">
        <v>131</v>
      </c>
      <c r="E78" s="599" t="str">
        <f t="shared" si="8"/>
        <v>AtleMørk</v>
      </c>
      <c r="F78" s="192">
        <f>YEAR(I$5)-_xlfn.XLOOKUP(E78,Deltakerliste!E$5:E$98,Deltakerliste!I$5:I$98)</f>
        <v>77</v>
      </c>
      <c r="G78" s="192">
        <f>_xlfn.XLOOKUP(E78,Deltakerliste!E$5:E$98,Deltakerliste!H$5:H$98)</f>
        <v>2</v>
      </c>
      <c r="H78" s="592">
        <f>VLOOKUP(F78,Deltakerliste!P$6:T$84,G78,FALSE)</f>
        <v>1.7050000000000001</v>
      </c>
      <c r="I78" s="132"/>
      <c r="J78" s="132"/>
      <c r="K78" s="132"/>
      <c r="L78" s="600"/>
      <c r="M78" s="594"/>
      <c r="N78" s="724"/>
      <c r="O78" s="596"/>
    </row>
    <row r="79" spans="2:17" ht="21" thickBot="1" x14ac:dyDescent="0.3">
      <c r="B79" s="16">
        <f t="shared" si="7"/>
        <v>70</v>
      </c>
      <c r="C79" s="106" t="s">
        <v>132</v>
      </c>
      <c r="D79" s="107" t="s">
        <v>133</v>
      </c>
      <c r="E79" s="599" t="str">
        <f t="shared" si="8"/>
        <v>JarleNestvold</v>
      </c>
      <c r="F79" s="192">
        <f>YEAR(I$5)-_xlfn.XLOOKUP(E79,Deltakerliste!E$5:E$98,Deltakerliste!I$5:I$98)</f>
        <v>89</v>
      </c>
      <c r="G79" s="192">
        <f>_xlfn.XLOOKUP(E79,Deltakerliste!E$5:E$98,Deltakerliste!H$5:H$98)</f>
        <v>2</v>
      </c>
      <c r="H79" s="592">
        <f>VLOOKUP(F79,Deltakerliste!P$6:T$84,G79,FALSE)</f>
        <v>2.5609999999999999</v>
      </c>
      <c r="I79" s="132"/>
      <c r="J79" s="18"/>
      <c r="K79" s="18"/>
      <c r="L79" s="600"/>
      <c r="M79" s="594"/>
      <c r="N79" s="724"/>
      <c r="O79" s="596"/>
    </row>
    <row r="80" spans="2:17" ht="21" thickBot="1" x14ac:dyDescent="0.3">
      <c r="B80" s="16">
        <f t="shared" si="7"/>
        <v>71</v>
      </c>
      <c r="C80" s="106" t="s">
        <v>265</v>
      </c>
      <c r="D80" s="107" t="s">
        <v>344</v>
      </c>
      <c r="E80" s="599" t="str">
        <f t="shared" si="8"/>
        <v>ØysteinNytrø</v>
      </c>
      <c r="F80" s="192">
        <f>YEAR(I$5)-_xlfn.XLOOKUP(E80,Deltakerliste!E$5:E$98,Deltakerliste!I$5:I$98)</f>
        <v>66</v>
      </c>
      <c r="G80" s="192">
        <f>_xlfn.XLOOKUP(E80,Deltakerliste!E$5:E$98,Deltakerliste!H$5:H$98)</f>
        <v>2</v>
      </c>
      <c r="H80" s="592">
        <f>VLOOKUP(F80,Deltakerliste!P$6:T$84,G80,FALSE)</f>
        <v>1.3209999999999997</v>
      </c>
      <c r="I80" s="18"/>
      <c r="J80" s="132"/>
      <c r="K80" s="18"/>
      <c r="L80" s="600"/>
      <c r="M80" s="594"/>
      <c r="N80" s="724"/>
      <c r="O80" s="596"/>
    </row>
    <row r="81" spans="2:15" ht="21" thickBot="1" x14ac:dyDescent="0.3">
      <c r="B81" s="16">
        <f t="shared" si="7"/>
        <v>72</v>
      </c>
      <c r="C81" s="106" t="s">
        <v>72</v>
      </c>
      <c r="D81" s="107" t="s">
        <v>139</v>
      </c>
      <c r="E81" s="599" t="str">
        <f t="shared" si="8"/>
        <v>KåreOnsøyen</v>
      </c>
      <c r="F81" s="192">
        <f>YEAR(I$5)-_xlfn.XLOOKUP(E81,Deltakerliste!E$5:E$98,Deltakerliste!I$5:I$98)</f>
        <v>78</v>
      </c>
      <c r="G81" s="192">
        <f>_xlfn.XLOOKUP(E81,Deltakerliste!E$5:E$98,Deltakerliste!H$5:H$98)</f>
        <v>2</v>
      </c>
      <c r="H81" s="592">
        <f>VLOOKUP(F81,Deltakerliste!P$6:T$84,G81,FALSE)</f>
        <v>1.7550000000000001</v>
      </c>
      <c r="I81" s="13"/>
      <c r="J81" s="13"/>
      <c r="K81" s="13"/>
      <c r="L81" s="600"/>
      <c r="M81" s="594"/>
      <c r="N81" s="724"/>
      <c r="O81" s="596"/>
    </row>
    <row r="82" spans="2:15" ht="21" thickBot="1" x14ac:dyDescent="0.3">
      <c r="B82" s="16">
        <f t="shared" si="7"/>
        <v>73</v>
      </c>
      <c r="C82" s="106" t="s">
        <v>140</v>
      </c>
      <c r="D82" s="107" t="s">
        <v>141</v>
      </c>
      <c r="E82" s="599" t="str">
        <f t="shared" si="8"/>
        <v>Grete BergeOwren</v>
      </c>
      <c r="F82" s="192">
        <f>YEAR(I$5)-_xlfn.XLOOKUP(E82,Deltakerliste!E$5:E$98,Deltakerliste!I$5:I$98)</f>
        <v>68</v>
      </c>
      <c r="G82" s="192">
        <f>_xlfn.XLOOKUP(E82,Deltakerliste!E$5:E$98,Deltakerliste!H$5:H$98)</f>
        <v>4</v>
      </c>
      <c r="H82" s="592">
        <f>VLOOKUP(F82,Deltakerliste!P$6:T$84,G82,FALSE)</f>
        <v>1.877800000000001</v>
      </c>
      <c r="I82" s="18"/>
      <c r="J82" s="18"/>
      <c r="K82" s="18"/>
      <c r="L82" s="600"/>
      <c r="M82" s="594"/>
      <c r="N82" s="724"/>
      <c r="O82" s="596"/>
    </row>
    <row r="83" spans="2:15" ht="21" thickBot="1" x14ac:dyDescent="0.3">
      <c r="B83" s="16">
        <f t="shared" si="7"/>
        <v>74</v>
      </c>
      <c r="C83" s="111" t="s">
        <v>144</v>
      </c>
      <c r="D83" s="193" t="s">
        <v>145</v>
      </c>
      <c r="E83" s="599" t="str">
        <f t="shared" si="8"/>
        <v>Bjørn Rindstad</v>
      </c>
      <c r="F83" s="192">
        <f>YEAR(I$5)-_xlfn.XLOOKUP(E83,Deltakerliste!E$5:E$98,Deltakerliste!I$5:I$98)</f>
        <v>75</v>
      </c>
      <c r="G83" s="192">
        <f>_xlfn.XLOOKUP(E83,Deltakerliste!E$5:E$98,Deltakerliste!H$5:H$98)</f>
        <v>2</v>
      </c>
      <c r="H83" s="592">
        <f>VLOOKUP(F83,Deltakerliste!P$6:T$84,G83,FALSE)</f>
        <v>1.605</v>
      </c>
      <c r="I83" s="18"/>
      <c r="J83" s="18"/>
      <c r="K83" s="18"/>
      <c r="L83" s="600"/>
      <c r="M83" s="594"/>
      <c r="N83" s="724"/>
      <c r="O83" s="596"/>
    </row>
    <row r="84" spans="2:15" ht="21" thickBot="1" x14ac:dyDescent="0.3">
      <c r="B84" s="16">
        <f t="shared" si="7"/>
        <v>75</v>
      </c>
      <c r="C84" s="111" t="s">
        <v>78</v>
      </c>
      <c r="D84" s="193" t="s">
        <v>146</v>
      </c>
      <c r="E84" s="599" t="str">
        <f t="shared" si="8"/>
        <v>LeifRøhjell</v>
      </c>
      <c r="F84" s="192">
        <f>YEAR(I$5)-_xlfn.XLOOKUP(E84,Deltakerliste!E$5:E$98,Deltakerliste!I$5:I$98)</f>
        <v>82</v>
      </c>
      <c r="G84" s="192">
        <f>_xlfn.XLOOKUP(E84,Deltakerliste!E$5:E$98,Deltakerliste!H$5:H$98)</f>
        <v>2</v>
      </c>
      <c r="H84" s="592">
        <f>VLOOKUP(F84,Deltakerliste!P$6:T$84,G84,FALSE)</f>
        <v>2.0030000000000001</v>
      </c>
      <c r="I84" s="132"/>
      <c r="J84" s="18"/>
      <c r="K84" s="18"/>
      <c r="L84" s="600"/>
      <c r="M84" s="594"/>
      <c r="N84" s="724"/>
      <c r="O84" s="596"/>
    </row>
    <row r="85" spans="2:15" ht="21" thickBot="1" x14ac:dyDescent="0.3">
      <c r="B85" s="16">
        <f t="shared" si="7"/>
        <v>76</v>
      </c>
      <c r="C85" s="111" t="s">
        <v>228</v>
      </c>
      <c r="D85" s="108" t="s">
        <v>229</v>
      </c>
      <c r="E85" s="599" t="str">
        <f t="shared" si="8"/>
        <v>May-LisRønning</v>
      </c>
      <c r="F85" s="192">
        <f>YEAR(I$5)-_xlfn.XLOOKUP(E85,Deltakerliste!E$5:E$98,Deltakerliste!I$5:I$98)</f>
        <v>56</v>
      </c>
      <c r="G85" s="192">
        <f>_xlfn.XLOOKUP(E85,Deltakerliste!E$5:E$98,Deltakerliste!H$5:H$98)</f>
        <v>4</v>
      </c>
      <c r="H85" s="592">
        <f>VLOOKUP(F85,Deltakerliste!P$6:T$84,G85,FALSE)</f>
        <v>1.5329999999999997</v>
      </c>
      <c r="I85" s="18"/>
      <c r="J85" s="18"/>
      <c r="K85" s="18"/>
      <c r="L85" s="600"/>
      <c r="M85" s="594"/>
      <c r="N85" s="724"/>
      <c r="O85" s="596"/>
    </row>
    <row r="86" spans="2:15" ht="21" thickBot="1" x14ac:dyDescent="0.3">
      <c r="B86" s="16">
        <f t="shared" si="7"/>
        <v>77</v>
      </c>
      <c r="C86" s="111" t="s">
        <v>147</v>
      </c>
      <c r="D86" s="193" t="s">
        <v>148</v>
      </c>
      <c r="E86" s="599" t="str">
        <f t="shared" si="8"/>
        <v>ViggoSchei</v>
      </c>
      <c r="F86" s="192">
        <f>YEAR(I$5)-_xlfn.XLOOKUP(E86,Deltakerliste!E$5:E$98,Deltakerliste!I$5:I$98)</f>
        <v>75</v>
      </c>
      <c r="G86" s="192">
        <f>_xlfn.XLOOKUP(E86,Deltakerliste!E$5:E$98,Deltakerliste!H$5:H$98)</f>
        <v>2</v>
      </c>
      <c r="H86" s="592">
        <f>VLOOKUP(F86,Deltakerliste!P$6:T$84,G86,FALSE)</f>
        <v>1.605</v>
      </c>
      <c r="I86" s="18"/>
      <c r="J86" s="132"/>
      <c r="K86" s="18"/>
      <c r="L86" s="600"/>
      <c r="M86" s="594"/>
      <c r="N86" s="724"/>
      <c r="O86" s="596"/>
    </row>
    <row r="87" spans="2:15" ht="21" thickBot="1" x14ac:dyDescent="0.3">
      <c r="B87" s="16">
        <f t="shared" si="7"/>
        <v>78</v>
      </c>
      <c r="C87" s="111" t="s">
        <v>298</v>
      </c>
      <c r="D87" s="193" t="s">
        <v>297</v>
      </c>
      <c r="E87" s="599" t="str">
        <f t="shared" si="8"/>
        <v>ØyvindSchjelderup</v>
      </c>
      <c r="F87" s="192">
        <f>YEAR(I$5)-_xlfn.XLOOKUP(E87,Deltakerliste!E$5:E$98,Deltakerliste!I$5:I$98)</f>
        <v>61</v>
      </c>
      <c r="G87" s="192">
        <f>_xlfn.XLOOKUP(E87,Deltakerliste!E$5:E$98,Deltakerliste!H$5:H$98)</f>
        <v>2</v>
      </c>
      <c r="H87" s="592">
        <f>VLOOKUP(F87,Deltakerliste!P$6:T$84,G87,FALSE)</f>
        <v>1.2190000000000001</v>
      </c>
      <c r="I87" s="18"/>
      <c r="J87" s="18"/>
      <c r="K87" s="18"/>
      <c r="L87" s="600"/>
      <c r="M87" s="594"/>
      <c r="N87" s="724"/>
      <c r="O87" s="596"/>
    </row>
    <row r="88" spans="2:15" ht="21" thickBot="1" x14ac:dyDescent="0.3">
      <c r="B88" s="16">
        <f t="shared" si="7"/>
        <v>79</v>
      </c>
      <c r="C88" s="111" t="s">
        <v>153</v>
      </c>
      <c r="D88" s="108" t="s">
        <v>154</v>
      </c>
      <c r="E88" s="599" t="str">
        <f t="shared" si="8"/>
        <v>ReidunSmaavik</v>
      </c>
      <c r="F88" s="192">
        <f>YEAR(I$5)-_xlfn.XLOOKUP(E88,Deltakerliste!E$5:E$98,Deltakerliste!I$5:I$98)</f>
        <v>71</v>
      </c>
      <c r="G88" s="192">
        <f>_xlfn.XLOOKUP(E88,Deltakerliste!E$5:E$98,Deltakerliste!H$5:H$98)</f>
        <v>4</v>
      </c>
      <c r="H88" s="592">
        <f>VLOOKUP(F88,Deltakerliste!P$6:T$84,G88,FALSE)</f>
        <v>1.9926000000000013</v>
      </c>
      <c r="I88" s="132"/>
      <c r="J88" s="18"/>
      <c r="K88" s="18"/>
      <c r="L88" s="600"/>
      <c r="M88" s="594"/>
      <c r="N88" s="724"/>
      <c r="O88" s="596"/>
    </row>
    <row r="89" spans="2:15" ht="21" thickBot="1" x14ac:dyDescent="0.3">
      <c r="B89" s="16">
        <f t="shared" si="7"/>
        <v>80</v>
      </c>
      <c r="C89" s="111" t="s">
        <v>155</v>
      </c>
      <c r="D89" s="108" t="s">
        <v>156</v>
      </c>
      <c r="E89" s="599" t="str">
        <f t="shared" si="8"/>
        <v>KjellrunSporild</v>
      </c>
      <c r="F89" s="192">
        <f>YEAR(I$5)-_xlfn.XLOOKUP(E89,Deltakerliste!E$5:E$98,Deltakerliste!I$5:I$98)</f>
        <v>71</v>
      </c>
      <c r="G89" s="192">
        <f>_xlfn.XLOOKUP(E89,Deltakerliste!E$5:E$98,Deltakerliste!H$5:H$98)</f>
        <v>4</v>
      </c>
      <c r="H89" s="592">
        <f>VLOOKUP(F89,Deltakerliste!P$6:T$84,G89,FALSE)</f>
        <v>1.9926000000000013</v>
      </c>
      <c r="I89" s="18"/>
      <c r="J89" s="132"/>
      <c r="K89" s="18"/>
      <c r="L89" s="600"/>
      <c r="M89" s="594"/>
      <c r="N89" s="724"/>
      <c r="O89" s="596"/>
    </row>
    <row r="90" spans="2:15" ht="21" thickBot="1" x14ac:dyDescent="0.3">
      <c r="B90" s="16">
        <f t="shared" si="7"/>
        <v>81</v>
      </c>
      <c r="C90" s="193" t="s">
        <v>232</v>
      </c>
      <c r="D90" s="133" t="s">
        <v>231</v>
      </c>
      <c r="E90" s="599" t="str">
        <f t="shared" si="8"/>
        <v>BeritSunnset</v>
      </c>
      <c r="F90" s="192">
        <f>YEAR(I$5)-_xlfn.XLOOKUP(E90,Deltakerliste!E$5:E$98,Deltakerliste!I$5:I$98)</f>
        <v>63</v>
      </c>
      <c r="G90" s="192">
        <f>_xlfn.XLOOKUP(E90,Deltakerliste!E$5:E$98,Deltakerliste!H$5:H$98)</f>
        <v>4</v>
      </c>
      <c r="H90" s="592">
        <f>VLOOKUP(F90,Deltakerliste!P$6:T$84,G90,FALSE)</f>
        <v>1.7126000000000006</v>
      </c>
      <c r="I90" s="18"/>
      <c r="J90" s="18"/>
      <c r="K90" s="18"/>
      <c r="L90" s="600"/>
      <c r="M90" s="594"/>
      <c r="N90" s="724"/>
      <c r="O90" s="596"/>
    </row>
    <row r="91" spans="2:15" ht="21" thickBot="1" x14ac:dyDescent="0.3">
      <c r="B91" s="16">
        <f t="shared" si="7"/>
        <v>82</v>
      </c>
      <c r="C91" s="193" t="s">
        <v>230</v>
      </c>
      <c r="D91" s="108" t="s">
        <v>231</v>
      </c>
      <c r="E91" s="599" t="str">
        <f t="shared" si="8"/>
        <v>TrineSunnset</v>
      </c>
      <c r="F91" s="192">
        <f>YEAR(I$5)-_xlfn.XLOOKUP(E91,Deltakerliste!E$5:E$98,Deltakerliste!I$5:I$98)</f>
        <v>63</v>
      </c>
      <c r="G91" s="192">
        <f>_xlfn.XLOOKUP(E91,Deltakerliste!E$5:E$98,Deltakerliste!H$5:H$98)</f>
        <v>4</v>
      </c>
      <c r="H91" s="592">
        <f>VLOOKUP(F91,Deltakerliste!P$6:T$84,G91,FALSE)</f>
        <v>1.7126000000000006</v>
      </c>
      <c r="I91" s="18"/>
      <c r="J91" s="18"/>
      <c r="K91" s="18"/>
      <c r="L91" s="600"/>
      <c r="M91" s="594"/>
      <c r="N91" s="724"/>
      <c r="O91" s="596"/>
    </row>
    <row r="92" spans="2:15" ht="21" thickBot="1" x14ac:dyDescent="0.3">
      <c r="B92" s="16">
        <f t="shared" si="7"/>
        <v>83</v>
      </c>
      <c r="C92" s="193" t="s">
        <v>307</v>
      </c>
      <c r="D92" s="108" t="s">
        <v>308</v>
      </c>
      <c r="E92" s="599" t="str">
        <f t="shared" si="8"/>
        <v>RolfWærnes</v>
      </c>
      <c r="F92" s="192">
        <f>YEAR(I$5)-_xlfn.XLOOKUP(E92,Deltakerliste!E$5:E$98,Deltakerliste!I$5:I$98)</f>
        <v>75</v>
      </c>
      <c r="G92" s="192">
        <f>_xlfn.XLOOKUP(E92,Deltakerliste!E$5:E$98,Deltakerliste!H$5:H$98)</f>
        <v>2</v>
      </c>
      <c r="H92" s="592">
        <f>VLOOKUP(F92,Deltakerliste!P$6:T$84,G92,FALSE)</f>
        <v>1.605</v>
      </c>
      <c r="I92" s="18"/>
      <c r="J92" s="132"/>
      <c r="K92" s="18"/>
      <c r="L92" s="790"/>
      <c r="M92" s="594"/>
      <c r="N92" s="724"/>
      <c r="O92" s="596"/>
    </row>
    <row r="93" spans="2:15" ht="21" thickBot="1" x14ac:dyDescent="0.3">
      <c r="B93" s="16">
        <f t="shared" si="7"/>
        <v>84</v>
      </c>
      <c r="C93" s="193" t="s">
        <v>166</v>
      </c>
      <c r="D93" s="108" t="s">
        <v>167</v>
      </c>
      <c r="E93" s="599" t="str">
        <f t="shared" si="8"/>
        <v>GunnarØsterbø</v>
      </c>
      <c r="F93" s="192">
        <f>YEAR(I$5)-_xlfn.XLOOKUP(E93,Deltakerliste!E$5:E$98,Deltakerliste!I$5:I$98)</f>
        <v>87</v>
      </c>
      <c r="G93" s="192">
        <f>_xlfn.XLOOKUP(E93,Deltakerliste!E$5:E$98,Deltakerliste!H$5:H$98)</f>
        <v>2</v>
      </c>
      <c r="H93" s="592">
        <f>VLOOKUP(F93,Deltakerliste!P$6:T$84,G93,FALSE)</f>
        <v>2.3929999999999998</v>
      </c>
      <c r="I93" s="18"/>
      <c r="J93" s="132"/>
      <c r="K93" s="18"/>
      <c r="L93" s="791"/>
      <c r="M93" s="594"/>
      <c r="N93" s="792"/>
      <c r="O93" s="596"/>
    </row>
    <row r="94" spans="2:15" ht="21" thickBot="1" x14ac:dyDescent="0.3">
      <c r="B94" s="16">
        <f t="shared" si="7"/>
        <v>85</v>
      </c>
      <c r="C94" s="193" t="s">
        <v>170</v>
      </c>
      <c r="D94" s="108" t="s">
        <v>171</v>
      </c>
      <c r="E94" s="599" t="str">
        <f t="shared" si="8"/>
        <v>ØisteinÅsmul</v>
      </c>
      <c r="F94" s="192">
        <f>YEAR(I$5)-_xlfn.XLOOKUP(E94,Deltakerliste!E$5:E$98,Deltakerliste!I$5:I$98)</f>
        <v>81</v>
      </c>
      <c r="G94" s="192">
        <f>_xlfn.XLOOKUP(E94,Deltakerliste!E$5:E$98,Deltakerliste!H$5:H$98)</f>
        <v>2</v>
      </c>
      <c r="H94" s="592">
        <f>VLOOKUP(F94,Deltakerliste!P$6:T$84,G94,FALSE)</f>
        <v>1.9290000000000003</v>
      </c>
      <c r="I94" s="132"/>
      <c r="J94" s="132"/>
      <c r="K94" s="18"/>
      <c r="L94" s="725"/>
      <c r="M94" s="717"/>
      <c r="N94" s="726"/>
      <c r="O94" s="719"/>
    </row>
    <row r="100" spans="4:11" ht="17" thickBot="1" x14ac:dyDescent="0.25"/>
    <row r="101" spans="4:11" ht="21" thickTop="1" thickBot="1" x14ac:dyDescent="0.3">
      <c r="D101" s="646" t="s">
        <v>288</v>
      </c>
      <c r="E101" s="647"/>
      <c r="F101" s="666"/>
      <c r="G101" s="666"/>
      <c r="H101" s="666"/>
      <c r="I101" s="648" t="s">
        <v>195</v>
      </c>
      <c r="J101" s="648" t="s">
        <v>196</v>
      </c>
      <c r="K101" s="649" t="s">
        <v>197</v>
      </c>
    </row>
    <row r="102" spans="4:11" ht="20" x14ac:dyDescent="0.25">
      <c r="D102" s="634" t="s">
        <v>172</v>
      </c>
      <c r="E102" s="320"/>
      <c r="F102" s="208"/>
      <c r="G102" s="208"/>
      <c r="H102" s="208"/>
      <c r="I102" s="635">
        <f>COUNT(I10:I96)+COUNTIF(I10:I96,"Brutt")+COUNTIF(I10:I96,"(*)")</f>
        <v>9</v>
      </c>
      <c r="J102" s="635">
        <f>COUNT(J10:J96)+COUNTIF(J10:J96,"Brutt")+COUNTIF(J10:J96,"(*)")</f>
        <v>18</v>
      </c>
      <c r="K102" s="636">
        <f>I102+J102</f>
        <v>27</v>
      </c>
    </row>
    <row r="103" spans="4:11" ht="19" x14ac:dyDescent="0.25">
      <c r="D103" s="637" t="s">
        <v>174</v>
      </c>
      <c r="E103" s="320"/>
      <c r="F103" s="208"/>
      <c r="G103" s="208"/>
      <c r="H103" s="208"/>
      <c r="I103" s="635">
        <f>COUNT(I10:I96)</f>
        <v>9</v>
      </c>
      <c r="J103" s="635">
        <f>COUNT(J10:J96)</f>
        <v>18</v>
      </c>
      <c r="K103" s="636">
        <f t="shared" ref="K103" si="9">I103+J103</f>
        <v>27</v>
      </c>
    </row>
    <row r="104" spans="4:11" ht="19" x14ac:dyDescent="0.25">
      <c r="D104" s="637" t="s">
        <v>173</v>
      </c>
      <c r="E104" s="320"/>
      <c r="F104" s="208"/>
      <c r="G104" s="208"/>
      <c r="H104" s="208"/>
      <c r="I104" s="208"/>
      <c r="J104" s="208"/>
      <c r="K104" s="636">
        <f>K102+COUNTIF(L10:L96,"Arr")+COUNTIF(L10:L96,"Løype")</f>
        <v>28</v>
      </c>
    </row>
    <row r="105" spans="4:11" ht="19" x14ac:dyDescent="0.25">
      <c r="D105" s="637" t="s">
        <v>341</v>
      </c>
      <c r="E105" s="320"/>
      <c r="F105" s="208"/>
      <c r="G105" s="208"/>
      <c r="H105" s="208"/>
      <c r="I105" s="208"/>
      <c r="J105" s="208"/>
      <c r="K105" s="638">
        <f>IF(SUM(L10:L96)=0," ",AVERAGEIF(M10:M96,"&gt;0",F10:F96))</f>
        <v>74.964285714285708</v>
      </c>
    </row>
    <row r="106" spans="4:11" ht="19" x14ac:dyDescent="0.25">
      <c r="D106" s="637" t="s">
        <v>296</v>
      </c>
      <c r="E106" s="320"/>
      <c r="F106" s="208"/>
      <c r="G106" s="208"/>
      <c r="H106" s="208"/>
      <c r="I106" s="208"/>
      <c r="J106" s="208"/>
      <c r="K106" s="638">
        <f>AVERAGE(I8:J8)</f>
        <v>2.6</v>
      </c>
    </row>
    <row r="107" spans="4:11" ht="19" x14ac:dyDescent="0.25">
      <c r="D107" s="637" t="s">
        <v>176</v>
      </c>
      <c r="E107" s="320"/>
      <c r="F107" s="208"/>
      <c r="G107" s="208"/>
      <c r="H107" s="208"/>
      <c r="I107" s="112">
        <f>I8*I103</f>
        <v>18</v>
      </c>
      <c r="J107" s="112">
        <f>J8*J103</f>
        <v>57.6</v>
      </c>
      <c r="K107" s="638">
        <f>I107+J107</f>
        <v>75.599999999999994</v>
      </c>
    </row>
    <row r="108" spans="4:11" ht="19" x14ac:dyDescent="0.25">
      <c r="D108" s="639" t="s">
        <v>286</v>
      </c>
      <c r="E108" s="320"/>
      <c r="F108" s="208"/>
      <c r="G108" s="208"/>
      <c r="H108" s="208"/>
      <c r="I108" s="103">
        <f>IF(SUM(I10:I96)=0," ",AVERAGE(I10:I96))</f>
        <v>2.4012345679012344E-2</v>
      </c>
      <c r="J108" s="103">
        <f>IF(SUM(J10:J96)=0," ",AVERAGE(J10:J96))</f>
        <v>2.7854295267489712E-2</v>
      </c>
      <c r="K108" s="640">
        <f>IF(SUM(I10:J96)=0," ",AVERAGE(I10:J96))</f>
        <v>2.6573645404663917E-2</v>
      </c>
    </row>
    <row r="109" spans="4:11" ht="20" thickBot="1" x14ac:dyDescent="0.3">
      <c r="D109" s="641" t="s">
        <v>287</v>
      </c>
      <c r="E109" s="642"/>
      <c r="F109" s="644"/>
      <c r="G109" s="644"/>
      <c r="H109" s="644"/>
      <c r="I109" s="643"/>
      <c r="J109" s="644"/>
      <c r="K109" s="645">
        <f>MIN(L10:L96)</f>
        <v>6.2825520833333327E-3</v>
      </c>
    </row>
    <row r="110" spans="4:11" ht="17" thickTop="1" x14ac:dyDescent="0.2"/>
  </sheetData>
  <autoFilter ref="C9:O94" xr:uid="{393F4388-68A2-E645-8E20-E5BCE27BD6F4}">
    <sortState xmlns:xlrd2="http://schemas.microsoft.com/office/spreadsheetml/2017/richdata2" ref="C10:O94">
      <sortCondition ref="N9:N94"/>
    </sortState>
  </autoFilter>
  <mergeCells count="3">
    <mergeCell ref="W7:X7"/>
    <mergeCell ref="S8:U8"/>
    <mergeCell ref="W8:X8"/>
  </mergeCells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4CC84-26A1-524F-AB89-A55AB865F2A2}">
  <sheetPr>
    <tabColor theme="9" tint="0.59999389629810485"/>
  </sheetPr>
  <dimension ref="B2:DA167"/>
  <sheetViews>
    <sheetView tabSelected="1" topLeftCell="B55" zoomScale="73" zoomScaleNormal="73" workbookViewId="0">
      <pane xSplit="17" topLeftCell="S1" activePane="topRight" state="frozen"/>
      <selection activeCell="B1" sqref="B1"/>
      <selection pane="topRight" activeCell="J124" sqref="J124"/>
    </sheetView>
  </sheetViews>
  <sheetFormatPr baseColWidth="10" defaultColWidth="10.83203125" defaultRowHeight="16" x14ac:dyDescent="0.2"/>
  <cols>
    <col min="1" max="1" width="4" customWidth="1"/>
    <col min="2" max="2" width="10.83203125" style="15"/>
    <col min="3" max="3" width="21.6640625" customWidth="1"/>
    <col min="4" max="4" width="29" customWidth="1"/>
    <col min="5" max="5" width="23.5" hidden="1" customWidth="1"/>
    <col min="6" max="6" width="5.5" customWidth="1"/>
    <col min="7" max="8" width="13.83203125" style="651" customWidth="1"/>
    <col min="9" max="9" width="6.1640625" customWidth="1"/>
    <col min="10" max="10" width="14" style="15" customWidth="1"/>
    <col min="11" max="11" width="13.33203125" style="15" customWidth="1"/>
    <col min="12" max="12" width="6" customWidth="1"/>
    <col min="13" max="14" width="10.83203125" style="15" customWidth="1"/>
    <col min="15" max="15" width="6" style="15" customWidth="1"/>
    <col min="16" max="17" width="10.83203125" style="15" customWidth="1"/>
    <col min="18" max="18" width="6" customWidth="1"/>
    <col min="21" max="21" width="10.83203125" hidden="1" customWidth="1"/>
    <col min="24" max="24" width="10.83203125" hidden="1" customWidth="1"/>
    <col min="27" max="27" width="10.83203125" hidden="1" customWidth="1"/>
    <col min="30" max="30" width="10.83203125" hidden="1" customWidth="1"/>
    <col min="33" max="33" width="0" hidden="1" customWidth="1"/>
    <col min="36" max="36" width="0" hidden="1" customWidth="1"/>
    <col min="39" max="39" width="0" hidden="1" customWidth="1"/>
    <col min="42" max="42" width="0" hidden="1" customWidth="1"/>
    <col min="45" max="45" width="0" hidden="1" customWidth="1"/>
    <col min="48" max="48" width="0" hidden="1" customWidth="1"/>
    <col min="51" max="51" width="0" hidden="1" customWidth="1"/>
    <col min="54" max="54" width="0" hidden="1" customWidth="1"/>
    <col min="57" max="57" width="10.83203125" hidden="1" customWidth="1"/>
    <col min="60" max="60" width="0" hidden="1" customWidth="1"/>
    <col min="63" max="63" width="0" hidden="1" customWidth="1"/>
    <col min="66" max="66" width="0" hidden="1" customWidth="1"/>
    <col min="69" max="69" width="0" hidden="1" customWidth="1"/>
    <col min="72" max="72" width="0" hidden="1" customWidth="1"/>
    <col min="75" max="75" width="0" hidden="1" customWidth="1"/>
    <col min="78" max="78" width="0" hidden="1" customWidth="1"/>
    <col min="81" max="81" width="0" hidden="1" customWidth="1"/>
    <col min="84" max="84" width="0" hidden="1" customWidth="1"/>
    <col min="87" max="87" width="0" hidden="1" customWidth="1"/>
    <col min="90" max="90" width="0" hidden="1" customWidth="1"/>
    <col min="93" max="93" width="0" hidden="1" customWidth="1"/>
    <col min="96" max="96" width="0" hidden="1" customWidth="1"/>
    <col min="99" max="99" width="0" hidden="1" customWidth="1"/>
    <col min="102" max="102" width="0" hidden="1" customWidth="1"/>
  </cols>
  <sheetData>
    <row r="2" spans="2:105" x14ac:dyDescent="0.2">
      <c r="D2" s="682" t="s">
        <v>293</v>
      </c>
      <c r="E2" s="683"/>
      <c r="F2" s="684">
        <v>100</v>
      </c>
      <c r="O2" s="863"/>
      <c r="P2" s="864" t="s">
        <v>396</v>
      </c>
      <c r="Q2" s="865"/>
    </row>
    <row r="3" spans="2:105" x14ac:dyDescent="0.2">
      <c r="D3" s="685" t="s">
        <v>294</v>
      </c>
      <c r="E3" s="686"/>
      <c r="F3" s="687">
        <v>94</v>
      </c>
      <c r="P3" s="866" t="s">
        <v>397</v>
      </c>
      <c r="Q3" s="867">
        <v>4</v>
      </c>
    </row>
    <row r="4" spans="2:105" ht="17" thickBot="1" x14ac:dyDescent="0.25"/>
    <row r="5" spans="2:105" ht="34" customHeight="1" thickTop="1" x14ac:dyDescent="0.3">
      <c r="G5" s="924" t="s">
        <v>290</v>
      </c>
      <c r="H5" s="924" t="s">
        <v>295</v>
      </c>
      <c r="I5" s="650"/>
      <c r="J5" s="927" t="s">
        <v>50</v>
      </c>
      <c r="K5" s="928"/>
      <c r="L5" s="611"/>
      <c r="M5" s="933" t="s">
        <v>289</v>
      </c>
      <c r="N5" s="934"/>
      <c r="O5" s="650"/>
      <c r="P5" s="920" t="s">
        <v>398</v>
      </c>
      <c r="Q5" s="921"/>
      <c r="R5" s="611"/>
      <c r="S5" s="914" t="str">
        <f>'Løp 1'!$B5</f>
        <v>Løp 1</v>
      </c>
      <c r="T5" s="915"/>
      <c r="U5" s="690" t="s">
        <v>193</v>
      </c>
      <c r="V5" s="914" t="str">
        <f>'Løp 2'!$B5</f>
        <v>Løp 2</v>
      </c>
      <c r="W5" s="915"/>
      <c r="X5" s="690" t="s">
        <v>198</v>
      </c>
      <c r="Y5" s="914" t="str">
        <f>'Løp 3'!$B5</f>
        <v>Løp 3</v>
      </c>
      <c r="Z5" s="915"/>
      <c r="AA5" s="690" t="s">
        <v>199</v>
      </c>
      <c r="AB5" s="914" t="str">
        <f>'Løp 4'!$B5</f>
        <v>Løp 4</v>
      </c>
      <c r="AC5" s="915"/>
      <c r="AD5" s="697" t="s">
        <v>200</v>
      </c>
      <c r="AE5" s="914" t="str">
        <f>'Løp 5'!$B5</f>
        <v>Løp 5</v>
      </c>
      <c r="AF5" s="915"/>
      <c r="AG5" s="690" t="s">
        <v>201</v>
      </c>
      <c r="AH5" s="914" t="str">
        <f>'Løp 6'!$B5</f>
        <v>Løp 6</v>
      </c>
      <c r="AI5" s="915"/>
      <c r="AJ5" s="690" t="s">
        <v>202</v>
      </c>
      <c r="AK5" s="914" t="str">
        <f>'Løp 7'!$B5</f>
        <v>Løp 7</v>
      </c>
      <c r="AL5" s="915"/>
      <c r="AM5" s="690" t="s">
        <v>203</v>
      </c>
      <c r="AN5" s="914" t="str">
        <f>'Løp 8'!$B5</f>
        <v>Løp 8</v>
      </c>
      <c r="AO5" s="915"/>
      <c r="AP5" s="697" t="s">
        <v>204</v>
      </c>
      <c r="AQ5" s="914" t="str">
        <f>'Løp 9'!$B5</f>
        <v>Løp 9</v>
      </c>
      <c r="AR5" s="915"/>
      <c r="AS5" s="690" t="s">
        <v>205</v>
      </c>
      <c r="AT5" s="914" t="str">
        <f>'Løp 10'!$B5</f>
        <v>Løp 10</v>
      </c>
      <c r="AU5" s="915"/>
      <c r="AV5" s="690" t="s">
        <v>206</v>
      </c>
      <c r="AW5" s="914" t="str">
        <f>'Løp 11'!$B5</f>
        <v>Løp 11</v>
      </c>
      <c r="AX5" s="915"/>
      <c r="AY5" s="690" t="s">
        <v>208</v>
      </c>
      <c r="AZ5" s="914" t="str">
        <f>'Løp 12'!$B5</f>
        <v>Løp 12</v>
      </c>
      <c r="BA5" s="915"/>
      <c r="BB5" s="697" t="s">
        <v>211</v>
      </c>
      <c r="BC5" s="914" t="str">
        <f>'Løp 13'!$B5</f>
        <v>Løp 13</v>
      </c>
      <c r="BD5" s="915"/>
      <c r="BE5" s="697" t="s">
        <v>321</v>
      </c>
      <c r="BF5" s="914" t="str">
        <f>'Løp 14'!$B5</f>
        <v>Løp 14</v>
      </c>
      <c r="BG5" s="915"/>
      <c r="BH5" s="697" t="s">
        <v>322</v>
      </c>
      <c r="BI5" s="914" t="str">
        <f>'Løp 15'!$B5</f>
        <v>Løp 15</v>
      </c>
      <c r="BJ5" s="915"/>
      <c r="BK5" s="697" t="s">
        <v>323</v>
      </c>
      <c r="BL5" s="914" t="str">
        <f>'Løp 16'!$B5</f>
        <v>Løp 16</v>
      </c>
      <c r="BM5" s="915"/>
      <c r="BN5" s="697" t="s">
        <v>324</v>
      </c>
      <c r="BO5" s="914" t="str">
        <f>'Løp 17'!$B5</f>
        <v>Løp 17</v>
      </c>
      <c r="BP5" s="915"/>
      <c r="BQ5" s="697" t="s">
        <v>325</v>
      </c>
      <c r="BR5" s="914" t="str">
        <f>'Løp 18'!$B5</f>
        <v>Løp 18</v>
      </c>
      <c r="BS5" s="915"/>
      <c r="BT5" s="697" t="s">
        <v>326</v>
      </c>
      <c r="BU5" s="914" t="str">
        <f>'Løp 19'!$B5</f>
        <v>Løp 19</v>
      </c>
      <c r="BV5" s="915"/>
      <c r="BW5" s="697" t="s">
        <v>327</v>
      </c>
      <c r="BX5" s="914" t="str">
        <f>'Løp 20'!$B5</f>
        <v>Løp 20</v>
      </c>
      <c r="BY5" s="915"/>
      <c r="BZ5" s="697" t="s">
        <v>328</v>
      </c>
      <c r="CA5" s="914" t="str">
        <f>'Løp 21'!$B5</f>
        <v>Løp 21</v>
      </c>
      <c r="CB5" s="915"/>
      <c r="CC5" s="697" t="s">
        <v>329</v>
      </c>
      <c r="CD5" s="914" t="str">
        <f>'Løp 22'!$B5</f>
        <v>Løp 22</v>
      </c>
      <c r="CE5" s="915"/>
      <c r="CF5" s="697" t="s">
        <v>330</v>
      </c>
      <c r="CG5" s="914" t="str">
        <f>'Løp 23'!$B5</f>
        <v>Løp 23</v>
      </c>
      <c r="CH5" s="915"/>
      <c r="CI5" s="697" t="s">
        <v>331</v>
      </c>
      <c r="CJ5" s="914" t="str">
        <f>'Løp 24'!$B5</f>
        <v>Løp 24</v>
      </c>
      <c r="CK5" s="915"/>
      <c r="CL5" s="697" t="s">
        <v>332</v>
      </c>
      <c r="CM5" s="914" t="str">
        <f>'Løp 25'!$B5</f>
        <v>Løp 25</v>
      </c>
      <c r="CN5" s="915"/>
      <c r="CO5" s="697" t="s">
        <v>333</v>
      </c>
      <c r="CP5" s="914" t="str">
        <f>'Løp 26'!$B5</f>
        <v>Løp 26</v>
      </c>
      <c r="CQ5" s="915"/>
      <c r="CR5" s="697" t="s">
        <v>334</v>
      </c>
      <c r="CS5" s="914" t="str">
        <f>'Løp 27'!$B5</f>
        <v>Løp 27</v>
      </c>
      <c r="CT5" s="915"/>
      <c r="CU5" s="697" t="s">
        <v>335</v>
      </c>
      <c r="CV5" s="914" t="str">
        <f>'Løp 28'!$B5</f>
        <v>Løp 28</v>
      </c>
      <c r="CW5" s="915"/>
      <c r="CX5" s="697" t="s">
        <v>410</v>
      </c>
      <c r="CY5" s="914" t="str">
        <f>'Løp 29'!$B5</f>
        <v>Løp 29</v>
      </c>
      <c r="CZ5" s="915"/>
      <c r="DA5" s="697" t="s">
        <v>420</v>
      </c>
    </row>
    <row r="6" spans="2:105" ht="26" customHeight="1" x14ac:dyDescent="0.3">
      <c r="G6" s="925"/>
      <c r="H6" s="925"/>
      <c r="I6" s="650"/>
      <c r="J6" s="929"/>
      <c r="K6" s="930"/>
      <c r="L6" s="611"/>
      <c r="M6" s="935"/>
      <c r="N6" s="936"/>
      <c r="O6" s="650"/>
      <c r="P6" s="922"/>
      <c r="Q6" s="923"/>
      <c r="R6" s="611"/>
      <c r="S6" s="916">
        <f>'Løp 1'!$I5</f>
        <v>45937</v>
      </c>
      <c r="T6" s="917"/>
      <c r="U6" s="691"/>
      <c r="V6" s="916">
        <f>'Løp 2'!$I5</f>
        <v>45944</v>
      </c>
      <c r="W6" s="917"/>
      <c r="X6" s="691"/>
      <c r="Y6" s="916">
        <f>'Løp 3'!$I5</f>
        <v>45951</v>
      </c>
      <c r="Z6" s="917"/>
      <c r="AA6" s="691"/>
      <c r="AB6" s="916">
        <f>'Løp 4'!$I5</f>
        <v>45958</v>
      </c>
      <c r="AC6" s="917"/>
      <c r="AD6" s="694"/>
      <c r="AE6" s="916">
        <f>'Løp 5'!$I5</f>
        <v>45965</v>
      </c>
      <c r="AF6" s="917"/>
      <c r="AG6" s="691"/>
      <c r="AH6" s="916">
        <f>'Løp 6'!$I5</f>
        <v>45972</v>
      </c>
      <c r="AI6" s="917"/>
      <c r="AJ6" s="691"/>
      <c r="AK6" s="916">
        <f>'Løp 7'!$I5</f>
        <v>45979</v>
      </c>
      <c r="AL6" s="917"/>
      <c r="AM6" s="691"/>
      <c r="AN6" s="916">
        <f>'Løp 8'!$I5</f>
        <v>45986</v>
      </c>
      <c r="AO6" s="917"/>
      <c r="AP6" s="694"/>
      <c r="AQ6" s="916">
        <f>'Løp 9'!$I5</f>
        <v>45993</v>
      </c>
      <c r="AR6" s="917"/>
      <c r="AS6" s="691"/>
      <c r="AT6" s="916">
        <f>'Løp 10'!$I5</f>
        <v>46000</v>
      </c>
      <c r="AU6" s="917"/>
      <c r="AV6" s="691"/>
      <c r="AW6" s="916">
        <f>'Løp 11'!$I5</f>
        <v>46007</v>
      </c>
      <c r="AX6" s="917"/>
      <c r="AY6" s="691"/>
      <c r="AZ6" s="916">
        <f>'Løp 12'!$I5</f>
        <v>46014</v>
      </c>
      <c r="BA6" s="917"/>
      <c r="BB6" s="694"/>
      <c r="BC6" s="916">
        <f>'Løp 13'!$I5</f>
        <v>46021</v>
      </c>
      <c r="BD6" s="917"/>
      <c r="BE6" s="691"/>
      <c r="BF6" s="916">
        <f>'Løp 14'!$I5</f>
        <v>46028</v>
      </c>
      <c r="BG6" s="917"/>
      <c r="BH6" s="691"/>
      <c r="BI6" s="916">
        <f>'Løp 15'!$I5</f>
        <v>46035</v>
      </c>
      <c r="BJ6" s="917"/>
      <c r="BK6" s="691"/>
      <c r="BL6" s="916">
        <f>'Løp 16'!$I5</f>
        <v>46042</v>
      </c>
      <c r="BM6" s="917"/>
      <c r="BN6" s="694"/>
      <c r="BO6" s="916">
        <f>'Løp 17'!$I5</f>
        <v>46049</v>
      </c>
      <c r="BP6" s="917"/>
      <c r="BQ6" s="691"/>
      <c r="BR6" s="916">
        <f>'Løp 18'!$I5</f>
        <v>46056</v>
      </c>
      <c r="BS6" s="917"/>
      <c r="BT6" s="691"/>
      <c r="BU6" s="916">
        <f>'Løp 19'!$I5</f>
        <v>46063</v>
      </c>
      <c r="BV6" s="917"/>
      <c r="BW6" s="691"/>
      <c r="BX6" s="916">
        <f>'Løp 20'!$I5</f>
        <v>46070</v>
      </c>
      <c r="BY6" s="917"/>
      <c r="BZ6" s="694"/>
      <c r="CA6" s="916">
        <f>'Løp 21'!$I5</f>
        <v>46077</v>
      </c>
      <c r="CB6" s="917"/>
      <c r="CC6" s="691"/>
      <c r="CD6" s="916">
        <f>'Løp 22'!$I5</f>
        <v>46084</v>
      </c>
      <c r="CE6" s="917"/>
      <c r="CF6" s="691"/>
      <c r="CG6" s="916">
        <f>'Løp 23'!$I5</f>
        <v>46091</v>
      </c>
      <c r="CH6" s="917"/>
      <c r="CI6" s="691"/>
      <c r="CJ6" s="916">
        <f>'Løp 24'!$I5</f>
        <v>46098</v>
      </c>
      <c r="CK6" s="917"/>
      <c r="CL6" s="694"/>
      <c r="CM6" s="916">
        <f>'Løp 25'!$I5</f>
        <v>46105</v>
      </c>
      <c r="CN6" s="917"/>
      <c r="CO6" s="691"/>
      <c r="CP6" s="916">
        <f>'Løp 26'!$I5</f>
        <v>46112</v>
      </c>
      <c r="CQ6" s="917"/>
      <c r="CR6" s="691"/>
      <c r="CS6" s="916">
        <f>'Løp 27'!$I5</f>
        <v>46119</v>
      </c>
      <c r="CT6" s="917"/>
      <c r="CU6" s="691"/>
      <c r="CV6" s="916">
        <f>'Løp 28'!$I5</f>
        <v>46126</v>
      </c>
      <c r="CW6" s="917"/>
      <c r="CX6" s="694"/>
      <c r="CY6" s="916">
        <f>'Løp 29'!$I5</f>
        <v>46133</v>
      </c>
      <c r="CZ6" s="917"/>
      <c r="DA6" s="694"/>
    </row>
    <row r="7" spans="2:105" ht="28" customHeight="1" thickBot="1" x14ac:dyDescent="0.35">
      <c r="G7" s="925"/>
      <c r="H7" s="925"/>
      <c r="I7" s="650"/>
      <c r="J7" s="931"/>
      <c r="K7" s="932"/>
      <c r="L7" s="611"/>
      <c r="M7" s="937"/>
      <c r="N7" s="938"/>
      <c r="O7" s="650"/>
      <c r="P7" s="868">
        <f>Q3</f>
        <v>4</v>
      </c>
      <c r="Q7" s="869" t="s">
        <v>31</v>
      </c>
      <c r="R7" s="611"/>
      <c r="S7" s="918" t="str">
        <f>'Løp 1'!$C5</f>
        <v>Brekkåsen</v>
      </c>
      <c r="T7" s="919"/>
      <c r="U7" s="692"/>
      <c r="V7" s="918" t="str">
        <f>'Løp 2'!$C5</f>
        <v>Fuglmyra</v>
      </c>
      <c r="W7" s="919"/>
      <c r="X7" s="693"/>
      <c r="Y7" s="918" t="str">
        <f>'Løp 3'!$C5</f>
        <v>Solemsåsen</v>
      </c>
      <c r="Z7" s="919"/>
      <c r="AA7" s="692"/>
      <c r="AB7" s="918" t="str">
        <f>'Løp 4'!$C5</f>
        <v>Litlåsen</v>
      </c>
      <c r="AC7" s="919"/>
      <c r="AD7" s="695"/>
      <c r="AE7" s="918" t="str">
        <f>'Løp 5'!$C5</f>
        <v>Hauken</v>
      </c>
      <c r="AF7" s="919"/>
      <c r="AG7" s="692"/>
      <c r="AH7" s="918" t="str">
        <f>'Løp 6'!$C5</f>
        <v>Baklidammen</v>
      </c>
      <c r="AI7" s="919"/>
      <c r="AJ7" s="693"/>
      <c r="AK7" s="918" t="str">
        <f>'Løp 7'!$C5</f>
        <v>Saupstad</v>
      </c>
      <c r="AL7" s="919"/>
      <c r="AM7" s="692"/>
      <c r="AN7" s="918" t="str">
        <f>'Løp 8'!$C5</f>
        <v>Chamonix</v>
      </c>
      <c r="AO7" s="919"/>
      <c r="AP7" s="695"/>
      <c r="AQ7" s="918" t="str">
        <f>'Løp 9'!$C5</f>
        <v>Nilsbyen</v>
      </c>
      <c r="AR7" s="919"/>
      <c r="AS7" s="692"/>
      <c r="AT7" s="918" t="str">
        <f>'Løp 10'!$C5</f>
        <v>Stavset Altura</v>
      </c>
      <c r="AU7" s="919"/>
      <c r="AV7" s="693"/>
      <c r="AW7" s="918" t="str">
        <f>'Løp 11'!$C5</f>
        <v>Sverresborg</v>
      </c>
      <c r="AX7" s="919"/>
      <c r="AY7" s="692"/>
      <c r="AZ7" s="918" t="str">
        <f>'Løp 12'!$C5</f>
        <v>Rotvoll</v>
      </c>
      <c r="BA7" s="919"/>
      <c r="BB7" s="695"/>
      <c r="BC7" s="918" t="str">
        <f>'Løp 13'!$C5</f>
        <v>Bergheim</v>
      </c>
      <c r="BD7" s="919"/>
      <c r="BE7" s="692"/>
      <c r="BF7" s="918" t="str">
        <f>'Løp 14'!$C5</f>
        <v>Eberg</v>
      </c>
      <c r="BG7" s="919"/>
      <c r="BH7" s="693"/>
      <c r="BI7" s="918" t="str">
        <f>'Løp 15'!$C5</f>
        <v>Risvollan</v>
      </c>
      <c r="BJ7" s="919"/>
      <c r="BK7" s="692"/>
      <c r="BL7" s="918" t="str">
        <f>'Løp 16'!$C5</f>
        <v>Havstein</v>
      </c>
      <c r="BM7" s="919"/>
      <c r="BN7" s="695"/>
      <c r="BO7" s="918" t="str">
        <f>'Løp 17'!$C5</f>
        <v>Ferista</v>
      </c>
      <c r="BP7" s="919"/>
      <c r="BQ7" s="692"/>
      <c r="BR7" s="918" t="str">
        <f>'Løp 18'!$C5</f>
        <v>Havstad</v>
      </c>
      <c r="BS7" s="919"/>
      <c r="BT7" s="693"/>
      <c r="BU7" s="918" t="str">
        <f>'Løp 19'!$C5</f>
        <v>Rostenskogen</v>
      </c>
      <c r="BV7" s="919"/>
      <c r="BW7" s="692"/>
      <c r="BX7" s="918" t="str">
        <f>'Løp 20'!$C5</f>
        <v>Nilsbyen - Stavset</v>
      </c>
      <c r="BY7" s="919"/>
      <c r="BZ7" s="695"/>
      <c r="CA7" s="918" t="str">
        <f>'Løp 21'!$C5</f>
        <v>Kattem</v>
      </c>
      <c r="CB7" s="919"/>
      <c r="CC7" s="692"/>
      <c r="CD7" s="918" t="str">
        <f>'Løp 22'!$C5</f>
        <v>Djupvika</v>
      </c>
      <c r="CE7" s="919"/>
      <c r="CF7" s="693"/>
      <c r="CG7" s="918" t="str">
        <f>'Løp 23'!$C5</f>
        <v>Brundalen</v>
      </c>
      <c r="CH7" s="919"/>
      <c r="CI7" s="692"/>
      <c r="CJ7" s="918" t="str">
        <f>'Løp 24'!$C5</f>
        <v>Ranheim</v>
      </c>
      <c r="CK7" s="919"/>
      <c r="CL7" s="695"/>
      <c r="CM7" s="918" t="str">
        <f>'Løp 25'!$C5</f>
        <v>Flatåshaugen</v>
      </c>
      <c r="CN7" s="919"/>
      <c r="CO7" s="692"/>
      <c r="CP7" s="918" t="str">
        <f>'Løp 26'!$C5</f>
        <v>Sommerseter</v>
      </c>
      <c r="CQ7" s="919"/>
      <c r="CR7" s="693"/>
      <c r="CS7" s="918" t="str">
        <f>'Løp 27'!$C5</f>
        <v>Nilsbyen</v>
      </c>
      <c r="CT7" s="919"/>
      <c r="CU7" s="693"/>
      <c r="CV7" s="918" t="str">
        <f>'Løp 28'!$C5</f>
        <v>Lauglo</v>
      </c>
      <c r="CW7" s="919"/>
      <c r="CX7" s="759"/>
      <c r="CY7" s="918" t="str">
        <f>'Løp 29'!$C5</f>
        <v>Nilsbyen</v>
      </c>
      <c r="CZ7" s="919"/>
      <c r="DA7" s="759"/>
    </row>
    <row r="8" spans="2:105" ht="48" customHeight="1" thickTop="1" thickBot="1" x14ac:dyDescent="0.25">
      <c r="C8" s="601" t="s">
        <v>57</v>
      </c>
      <c r="D8" s="602" t="s">
        <v>58</v>
      </c>
      <c r="E8" s="614"/>
      <c r="F8" s="38"/>
      <c r="G8" s="926"/>
      <c r="H8" s="926"/>
      <c r="J8" s="608" t="s">
        <v>285</v>
      </c>
      <c r="K8" s="609" t="s">
        <v>284</v>
      </c>
      <c r="L8" s="612"/>
      <c r="M8" s="654" t="s">
        <v>285</v>
      </c>
      <c r="N8" s="655" t="s">
        <v>284</v>
      </c>
      <c r="O8" s="612"/>
      <c r="P8" s="870" t="s">
        <v>285</v>
      </c>
      <c r="Q8" s="871" t="s">
        <v>284</v>
      </c>
      <c r="R8" s="612"/>
      <c r="S8" s="624" t="s">
        <v>285</v>
      </c>
      <c r="T8" s="625" t="s">
        <v>284</v>
      </c>
      <c r="U8" s="688"/>
      <c r="V8" s="624" t="s">
        <v>285</v>
      </c>
      <c r="W8" s="625" t="s">
        <v>284</v>
      </c>
      <c r="X8" s="688"/>
      <c r="Y8" s="624" t="s">
        <v>285</v>
      </c>
      <c r="Z8" s="625" t="s">
        <v>284</v>
      </c>
      <c r="AA8" s="688"/>
      <c r="AB8" s="624" t="s">
        <v>285</v>
      </c>
      <c r="AC8" s="625" t="s">
        <v>284</v>
      </c>
      <c r="AD8" s="696"/>
      <c r="AE8" s="624" t="s">
        <v>285</v>
      </c>
      <c r="AF8" s="625" t="s">
        <v>284</v>
      </c>
      <c r="AG8" s="688"/>
      <c r="AH8" s="624" t="s">
        <v>285</v>
      </c>
      <c r="AI8" s="625" t="s">
        <v>284</v>
      </c>
      <c r="AJ8" s="688"/>
      <c r="AK8" s="624" t="s">
        <v>285</v>
      </c>
      <c r="AL8" s="625" t="s">
        <v>284</v>
      </c>
      <c r="AM8" s="688"/>
      <c r="AN8" s="624" t="s">
        <v>285</v>
      </c>
      <c r="AO8" s="625" t="s">
        <v>284</v>
      </c>
      <c r="AP8" s="696"/>
      <c r="AQ8" s="624" t="s">
        <v>285</v>
      </c>
      <c r="AR8" s="625" t="s">
        <v>284</v>
      </c>
      <c r="AS8" s="688"/>
      <c r="AT8" s="624" t="s">
        <v>285</v>
      </c>
      <c r="AU8" s="625" t="s">
        <v>284</v>
      </c>
      <c r="AV8" s="688"/>
      <c r="AW8" s="624" t="s">
        <v>285</v>
      </c>
      <c r="AX8" s="625" t="s">
        <v>284</v>
      </c>
      <c r="AY8" s="688"/>
      <c r="AZ8" s="624" t="s">
        <v>285</v>
      </c>
      <c r="BA8" s="625" t="s">
        <v>284</v>
      </c>
      <c r="BB8" s="696"/>
      <c r="BC8" s="624" t="s">
        <v>285</v>
      </c>
      <c r="BD8" s="625" t="s">
        <v>284</v>
      </c>
      <c r="BE8" s="688"/>
      <c r="BF8" s="624" t="s">
        <v>285</v>
      </c>
      <c r="BG8" s="625" t="s">
        <v>284</v>
      </c>
      <c r="BH8" s="688"/>
      <c r="BI8" s="624" t="s">
        <v>285</v>
      </c>
      <c r="BJ8" s="625" t="s">
        <v>284</v>
      </c>
      <c r="BK8" s="688"/>
      <c r="BL8" s="624" t="s">
        <v>285</v>
      </c>
      <c r="BM8" s="625" t="s">
        <v>284</v>
      </c>
      <c r="BN8" s="696"/>
      <c r="BO8" s="624" t="s">
        <v>285</v>
      </c>
      <c r="BP8" s="625" t="s">
        <v>284</v>
      </c>
      <c r="BQ8" s="688"/>
      <c r="BR8" s="624" t="s">
        <v>285</v>
      </c>
      <c r="BS8" s="625" t="s">
        <v>284</v>
      </c>
      <c r="BT8" s="688"/>
      <c r="BU8" s="624" t="s">
        <v>285</v>
      </c>
      <c r="BV8" s="625" t="s">
        <v>284</v>
      </c>
      <c r="BW8" s="688"/>
      <c r="BX8" s="624" t="s">
        <v>285</v>
      </c>
      <c r="BY8" s="625" t="s">
        <v>284</v>
      </c>
      <c r="BZ8" s="696"/>
      <c r="CA8" s="624" t="s">
        <v>285</v>
      </c>
      <c r="CB8" s="625" t="s">
        <v>284</v>
      </c>
      <c r="CC8" s="688"/>
      <c r="CD8" s="624" t="s">
        <v>285</v>
      </c>
      <c r="CE8" s="625" t="s">
        <v>284</v>
      </c>
      <c r="CF8" s="688"/>
      <c r="CG8" s="624" t="s">
        <v>285</v>
      </c>
      <c r="CH8" s="625" t="s">
        <v>284</v>
      </c>
      <c r="CI8" s="688"/>
      <c r="CJ8" s="624" t="s">
        <v>285</v>
      </c>
      <c r="CK8" s="625" t="s">
        <v>284</v>
      </c>
      <c r="CL8" s="696"/>
      <c r="CM8" s="624" t="s">
        <v>285</v>
      </c>
      <c r="CN8" s="625" t="s">
        <v>284</v>
      </c>
      <c r="CO8" s="688"/>
      <c r="CP8" s="624" t="s">
        <v>285</v>
      </c>
      <c r="CQ8" s="625" t="s">
        <v>284</v>
      </c>
      <c r="CR8" s="688"/>
      <c r="CS8" s="624" t="s">
        <v>285</v>
      </c>
      <c r="CT8" s="625" t="s">
        <v>284</v>
      </c>
      <c r="CU8" s="688"/>
      <c r="CV8" s="624" t="s">
        <v>285</v>
      </c>
      <c r="CW8" s="625" t="s">
        <v>284</v>
      </c>
      <c r="CX8" s="760"/>
      <c r="CY8" s="624" t="s">
        <v>285</v>
      </c>
      <c r="CZ8" s="625" t="s">
        <v>284</v>
      </c>
      <c r="DA8" s="760"/>
    </row>
    <row r="9" spans="2:105" ht="26" customHeight="1" thickBot="1" x14ac:dyDescent="0.25">
      <c r="C9" s="604"/>
      <c r="D9" s="619"/>
      <c r="E9" s="615"/>
      <c r="F9" s="38"/>
      <c r="G9" s="652"/>
      <c r="H9" s="652"/>
      <c r="I9" s="38"/>
      <c r="J9" s="606"/>
      <c r="K9" s="607"/>
      <c r="L9" s="605"/>
      <c r="M9" s="656"/>
      <c r="N9" s="657"/>
      <c r="O9" s="605"/>
      <c r="P9" s="872"/>
      <c r="Q9" s="873"/>
      <c r="R9" s="605"/>
      <c r="S9" s="46"/>
      <c r="T9" s="626"/>
      <c r="U9" s="689"/>
      <c r="V9" s="46"/>
      <c r="W9" s="626"/>
      <c r="X9" s="689"/>
      <c r="Y9" s="46"/>
      <c r="Z9" s="626"/>
      <c r="AA9" s="689"/>
      <c r="AB9" s="46"/>
      <c r="AC9" s="626"/>
      <c r="AD9" s="629"/>
      <c r="AE9" s="46"/>
      <c r="AF9" s="626"/>
      <c r="AG9" s="689"/>
      <c r="AH9" s="46"/>
      <c r="AI9" s="626"/>
      <c r="AJ9" s="689"/>
      <c r="AK9" s="46"/>
      <c r="AL9" s="626"/>
      <c r="AM9" s="689"/>
      <c r="AN9" s="46"/>
      <c r="AO9" s="626"/>
      <c r="AP9" s="629"/>
      <c r="AQ9" s="46"/>
      <c r="AR9" s="626"/>
      <c r="AS9" s="689"/>
      <c r="AT9" s="46"/>
      <c r="AU9" s="626"/>
      <c r="AV9" s="689"/>
      <c r="AW9" s="46"/>
      <c r="AX9" s="626"/>
      <c r="AY9" s="689"/>
      <c r="AZ9" s="46"/>
      <c r="BA9" s="626"/>
      <c r="BB9" s="629"/>
      <c r="BC9" s="46"/>
      <c r="BD9" s="626"/>
      <c r="BE9" s="689"/>
      <c r="BF9" s="46"/>
      <c r="BG9" s="626"/>
      <c r="BH9" s="689"/>
      <c r="BI9" s="46"/>
      <c r="BJ9" s="626"/>
      <c r="BK9" s="689"/>
      <c r="BL9" s="46"/>
      <c r="BM9" s="626"/>
      <c r="BN9" s="629"/>
      <c r="BO9" s="46"/>
      <c r="BP9" s="626"/>
      <c r="BQ9" s="689"/>
      <c r="BR9" s="46"/>
      <c r="BS9" s="626"/>
      <c r="BT9" s="689"/>
      <c r="BU9" s="46"/>
      <c r="BV9" s="626"/>
      <c r="BW9" s="689"/>
      <c r="BX9" s="46"/>
      <c r="BY9" s="626"/>
      <c r="BZ9" s="629"/>
      <c r="CA9" s="46"/>
      <c r="CB9" s="626"/>
      <c r="CC9" s="689"/>
      <c r="CD9" s="46"/>
      <c r="CE9" s="626"/>
      <c r="CF9" s="689"/>
      <c r="CG9" s="46"/>
      <c r="CH9" s="626"/>
      <c r="CI9" s="689"/>
      <c r="CJ9" s="46"/>
      <c r="CK9" s="626"/>
      <c r="CL9" s="629"/>
      <c r="CM9" s="46"/>
      <c r="CN9" s="626"/>
      <c r="CO9" s="689"/>
      <c r="CP9" s="46"/>
      <c r="CQ9" s="626"/>
      <c r="CR9" s="689"/>
      <c r="CS9" s="689"/>
      <c r="CT9" s="689"/>
      <c r="CU9" s="689"/>
      <c r="CV9" s="46"/>
      <c r="CW9" s="626"/>
      <c r="CX9" s="761"/>
      <c r="CY9" s="46"/>
      <c r="CZ9" s="626"/>
      <c r="DA9" s="761"/>
    </row>
    <row r="10" spans="2:105" ht="24" customHeight="1" thickBot="1" x14ac:dyDescent="0.3">
      <c r="B10" s="627">
        <v>1</v>
      </c>
      <c r="C10" s="119" t="s">
        <v>64</v>
      </c>
      <c r="D10" s="620" t="s">
        <v>65</v>
      </c>
      <c r="E10" s="616" t="str">
        <f>_xlfn.CONCAT(C10:D10)</f>
        <v>BjørnBerger</v>
      </c>
      <c r="F10" s="610"/>
      <c r="G10" s="653">
        <f>COUNTIF(S10:DA10,"&gt;2")/2</f>
        <v>22</v>
      </c>
      <c r="H10" s="852">
        <f>COUNTIF(S10:DA10,"=Løype")+COUNTIF(S10:DA10,"Arr")</f>
        <v>2</v>
      </c>
      <c r="I10" s="610"/>
      <c r="J10" s="632">
        <f>S10+V10+Y10+AB10+AE10+AH10+AK10+AN10+AQ10+AT10+AW10+AZ10+BC10+BF10+BI10+BL10+BO10+BR10+BU10+BX10+CA10+CD10+CG10+CJ10+CM10+CP10+CS10+CV10+CY10</f>
        <v>2054</v>
      </c>
      <c r="K10" s="633">
        <f>T10+W10+Z10+AC10+AF10+AI10+AL10+AO10+AR10+AU10+AX10+BA10+BD10+BG10+BJ10+BM10+BP10+BS10+BV10+BY10+CB10+CE10+CH10+CK10+CN10+CQ10+CT10+CW10+CZ10</f>
        <v>2012</v>
      </c>
      <c r="L10" s="613"/>
      <c r="M10" s="658">
        <f>IF($G10&gt;0,J10/G10,0)</f>
        <v>93.36363636363636</v>
      </c>
      <c r="N10" s="659">
        <f>IF($G10&gt;0,K10/$G10,0)</f>
        <v>91.454545454545453</v>
      </c>
      <c r="O10" s="862"/>
      <c r="P10" s="874">
        <f>IF(AND($G10&gt;$Q$3-1,$G10-$H10&gt;0),M10,0)</f>
        <v>93.36363636363636</v>
      </c>
      <c r="Q10" s="875">
        <f>IF(AND($G10&gt;$Q$3-1,$G10-$H10&gt;0),N10,0)</f>
        <v>91.454545454545453</v>
      </c>
      <c r="R10" s="613"/>
      <c r="S10" s="628">
        <f>_xlfn.XLOOKUP($E10,'Løp 1'!$E$10:$E$90,'Løp 1'!$M$10:$M$90,0)</f>
        <v>0</v>
      </c>
      <c r="T10" s="629">
        <f>_xlfn.XLOOKUP($E10,'Løp 1'!$E$10:$E$90,'Løp 1'!$O$10:$O$90,0)</f>
        <v>0</v>
      </c>
      <c r="U10" s="629">
        <f>_xlfn.XLOOKUP($E10,'Løp 1'!$E$10:$E$90,'Løp 1'!$L$10:$L$90,0)</f>
        <v>0</v>
      </c>
      <c r="V10" s="628">
        <f>_xlfn.XLOOKUP($E10,'Løp 2'!$E$10:$E$90,'Løp 2'!$M$10:$M$90,0)</f>
        <v>99</v>
      </c>
      <c r="W10" s="629">
        <f>_xlfn.XLOOKUP($E10,'Løp 2'!$E$10:$E$90,'Løp 2'!$O$10:$O$90,0)</f>
        <v>84</v>
      </c>
      <c r="X10" s="629">
        <f>_xlfn.XLOOKUP($E10,'Løp 2'!$E$10:$E$90,'Løp 2'!$L$10:$L$90,0)</f>
        <v>9.0236441798941802E-3</v>
      </c>
      <c r="Y10" s="628">
        <f>_xlfn.XLOOKUP($E10,'Løp 3'!$E$10:$E$90,'Løp 3'!$M$10:$M$90,0)</f>
        <v>0</v>
      </c>
      <c r="Z10" s="629">
        <f>_xlfn.XLOOKUP($E10,'Løp 3'!$E$10:$E$90,'Løp 3'!$O$10:$O$90,0)</f>
        <v>0</v>
      </c>
      <c r="AA10" s="629">
        <f>_xlfn.XLOOKUP($E10,'Løp 3'!$E$10:$E$90,'Løp 3'!$L$10:$L$90,0)</f>
        <v>0</v>
      </c>
      <c r="AB10" s="628">
        <f>_xlfn.XLOOKUP($E10,'Løp 4'!$E$10:$E$90,'Løp 4'!$M$10:$M$90,0)</f>
        <v>87</v>
      </c>
      <c r="AC10" s="629">
        <f>_xlfn.XLOOKUP($E10,'Løp 4'!$E$10:$E$90,'Løp 4'!$O$10:$O$90,0)</f>
        <v>93</v>
      </c>
      <c r="AD10" s="629">
        <f>_xlfn.XLOOKUP($E10,'Løp 4'!$E$10:$E$90,'Løp 4'!$L$10:$L$90,0)</f>
        <v>7.9668209876543206E-3</v>
      </c>
      <c r="AE10" s="628">
        <f>_xlfn.XLOOKUP($E10,'Løp 5'!$E$10:$E$90,'Løp 5'!$M$10:$M$90,0)</f>
        <v>100</v>
      </c>
      <c r="AF10" s="629">
        <f>_xlfn.XLOOKUP($E10,'Løp 5'!$E$10:$E$90,'Løp 5'!$O$10:$O$90,0)</f>
        <v>100</v>
      </c>
      <c r="AG10" s="629" t="str">
        <f>_xlfn.XLOOKUP($E10,'Løp 5'!$E$10:$E$90,'Løp 5'!$L$10:$L$90,0)</f>
        <v>Løype</v>
      </c>
      <c r="AH10" s="628">
        <f>_xlfn.XLOOKUP($E10,'Løp 6'!$E$10:$E$90,'Løp 6'!$M$10:$M$90,0)</f>
        <v>99</v>
      </c>
      <c r="AI10" s="629">
        <f>_xlfn.XLOOKUP($E10,'Løp 6'!$E$10:$E$90,'Løp 6'!$O$10:$O$90,0)</f>
        <v>99</v>
      </c>
      <c r="AJ10" s="629">
        <f>_xlfn.XLOOKUP($E10,'Løp 6'!$E$10:$E$90,'Løp 6'!$L$10:$L$90,0)</f>
        <v>7.905092592592592E-3</v>
      </c>
      <c r="AK10" s="628">
        <f>_xlfn.XLOOKUP($E10,'Løp 7'!$E$10:$E$90,'Løp 7'!$M$10:$M$90,0)</f>
        <v>89</v>
      </c>
      <c r="AL10" s="629">
        <f>_xlfn.XLOOKUP($E10,'Løp 7'!$E$10:$E$90,'Løp 7'!$O$10:$O$90,0)</f>
        <v>72</v>
      </c>
      <c r="AM10" s="629">
        <f>_xlfn.XLOOKUP($E10,'Løp 7'!$E$10:$E$90,'Løp 7'!$L$10:$L$90,0)</f>
        <v>1.8981481481481481E-2</v>
      </c>
      <c r="AN10" s="628">
        <f>_xlfn.XLOOKUP($E10,'Løp 8'!$E$10:$E$91,'Løp 8'!$M$10:$M$91,0)</f>
        <v>0</v>
      </c>
      <c r="AO10" s="629">
        <f>_xlfn.XLOOKUP($E10,'Løp 8'!$E$10:$E$91,'Løp 8'!$O$10:$O$91,0)</f>
        <v>0</v>
      </c>
      <c r="AP10" s="629">
        <f>_xlfn.XLOOKUP($E10,'Løp 8'!$E$10:$E$91,'Løp 8'!$L$10:$L$91,0)</f>
        <v>0</v>
      </c>
      <c r="AQ10" s="628">
        <f>_xlfn.XLOOKUP($E10,'Løp 9'!$E$10:$E$91,'Løp 9'!$M$10:$M$91,0)</f>
        <v>100</v>
      </c>
      <c r="AR10" s="629">
        <f>_xlfn.XLOOKUP($E10,'Løp 9'!$E$10:$E$91,'Løp 9'!$O$10:$O$91,0)</f>
        <v>88</v>
      </c>
      <c r="AS10" s="629">
        <f>_xlfn.XLOOKUP($E10,'Løp 9'!$E$10:$E$91,'Løp 9'!$L$10:$L$91,0)</f>
        <v>6.8175029868578251E-3</v>
      </c>
      <c r="AT10" s="628">
        <f>_xlfn.XLOOKUP($E10,'Løp 10'!$E$10:$E$91,'Løp 10'!$M$10:$M$91,0)</f>
        <v>94</v>
      </c>
      <c r="AU10" s="629">
        <f>_xlfn.XLOOKUP($E10,'Løp 10'!$E$10:$E$91,'Løp 10'!$O$10:$O$91,0)</f>
        <v>93</v>
      </c>
      <c r="AV10" s="629">
        <f>_xlfn.XLOOKUP($E10,'Løp 10'!$E$10:$E$91,'Løp 10'!$L$10:$L$91,0)</f>
        <v>7.8875171467764054E-3</v>
      </c>
      <c r="AW10" s="628">
        <f>_xlfn.XLOOKUP($E10,'Løp 11'!$E$10:$E$91,'Løp 11'!$M$10:$M$91,0)</f>
        <v>94</v>
      </c>
      <c r="AX10" s="629">
        <f>_xlfn.XLOOKUP($E10,'Løp 11'!$E$10:$E$91,'Løp 11'!$O$10:$O$91,0)</f>
        <v>94</v>
      </c>
      <c r="AY10" s="629">
        <f>_xlfn.XLOOKUP($E10,'Løp 11'!$E$10:$E$91,'Løp 11'!$L$10:$L$91,0)</f>
        <v>7.7582465277777771E-3</v>
      </c>
      <c r="AZ10" s="628">
        <f>_xlfn.XLOOKUP($E10,'Løp 12'!$E$10:$E$91,'Løp 12'!$M$10:$M$91,0)</f>
        <v>79</v>
      </c>
      <c r="BA10" s="629">
        <f>_xlfn.XLOOKUP($E10,'Løp 12'!$E$10:$E$91,'Løp 12'!$O$10:$O$91,0)</f>
        <v>84</v>
      </c>
      <c r="BB10" s="629">
        <f>_xlfn.XLOOKUP($E10,'Løp 12'!$E$10:$E$91,'Løp 12'!$L$10:$L$91,0)</f>
        <v>7.0105820105820105E-3</v>
      </c>
      <c r="BC10" s="628">
        <f>_xlfn.XLOOKUP($E10,'Løp 13'!$E$10:$E$91,'Løp 13'!$M$10:$M$91,0)</f>
        <v>81</v>
      </c>
      <c r="BD10" s="629">
        <f>_xlfn.XLOOKUP($E10,'Løp 13'!$E$10:$E$91,'Løp 13'!$O$10:$O$91,0)</f>
        <v>93</v>
      </c>
      <c r="BE10" s="629">
        <f>_xlfn.XLOOKUP($E10,'Løp 13'!$E$10:$E$91,'Løp 13'!$L$10:$L$91,0)</f>
        <v>6.7289272030651342E-3</v>
      </c>
      <c r="BF10" s="628">
        <f>_xlfn.XLOOKUP($E10,'Løp 14'!$E$10:$E$91,'Løp 14'!$M$10:$M$91,0)</f>
        <v>90</v>
      </c>
      <c r="BG10" s="629">
        <f>_xlfn.XLOOKUP($E10,'Løp 14'!$E$10:$E$91,'Løp 14'!$O$10:$O$91,0)</f>
        <v>90</v>
      </c>
      <c r="BH10" s="629">
        <f>_xlfn.XLOOKUP($E10,'Løp 14'!$E$10:$E$91,'Løp 14'!$L$10:$L$91,0)</f>
        <v>6.9480613425925925E-3</v>
      </c>
      <c r="BI10" s="628">
        <f>_xlfn.XLOOKUP($E10,'Løp 15'!$E$10:$E$91,'Løp 15'!$M$10:$M$91,0)</f>
        <v>100</v>
      </c>
      <c r="BJ10" s="629">
        <f>_xlfn.XLOOKUP($E10,'Løp 15'!$E$10:$E$91,'Løp 15'!$O$10:$O$91,0)</f>
        <v>89</v>
      </c>
      <c r="BK10" s="629">
        <f>_xlfn.XLOOKUP($E10,'Løp 15'!$E$10:$E$91,'Løp 15'!$L$10:$L$91,0)</f>
        <v>8.6384680134680147E-3</v>
      </c>
      <c r="BL10" s="628">
        <f>_xlfn.XLOOKUP($E10,'Løp 16'!$E$10:$E$91,'Løp 16'!$M$10:$M$91,0)</f>
        <v>96</v>
      </c>
      <c r="BM10" s="629">
        <f>_xlfn.XLOOKUP($E10,'Løp 16'!$E$10:$E$91,'Løp 16'!$O$10:$O$91,0)</f>
        <v>99</v>
      </c>
      <c r="BN10" s="629">
        <f>_xlfn.XLOOKUP($E10,'Løp 16'!$E$10:$E$91,'Løp 16'!$L$10:$L$91,0)</f>
        <v>7.1071071071071067E-3</v>
      </c>
      <c r="BO10" s="628">
        <f>_xlfn.XLOOKUP($E10,'Løp 17'!$E$10:$E$91,'Løp 17'!$M$10:$M$91,0)</f>
        <v>0</v>
      </c>
      <c r="BP10" s="629">
        <f>_xlfn.XLOOKUP($E10,'Løp 17'!$E$10:$E$91,'Løp 17'!$O$10:$O$91,0)</f>
        <v>0</v>
      </c>
      <c r="BQ10" s="629">
        <f>_xlfn.XLOOKUP($E10,'Løp 17'!$E$10:$E$91,'Løp 17'!$L$10:$L$91,0)</f>
        <v>0</v>
      </c>
      <c r="BR10" s="628">
        <f>_xlfn.XLOOKUP($E10,'Løp 18'!$E$10:$E$91,'Løp 18'!$M$10:$M$91,0)</f>
        <v>93</v>
      </c>
      <c r="BS10" s="629">
        <f>_xlfn.XLOOKUP($E10,'Løp 18'!$E$10:$E$91,'Løp 18'!$O$10:$O$91,0)</f>
        <v>88</v>
      </c>
      <c r="BT10" s="629">
        <f>_xlfn.XLOOKUP($E10,'Løp 18'!$E$10:$E$91,'Løp 18'!$L$10:$L$91,0)</f>
        <v>7.7112268518518519E-3</v>
      </c>
      <c r="BU10" s="628">
        <f>_xlfn.XLOOKUP($E10,'Løp 19'!$E$10:$E$91,'Løp 19'!$M$10:$M$91,0)</f>
        <v>92</v>
      </c>
      <c r="BV10" s="629">
        <f>_xlfn.XLOOKUP($E10,'Løp 19'!$E$10:$E$91,'Løp 19'!$O$10:$O$91,0)</f>
        <v>87</v>
      </c>
      <c r="BW10" s="629">
        <f>_xlfn.XLOOKUP($E10,'Løp 19'!$E$10:$E$91,'Løp 19'!$L$10:$L$91,0)</f>
        <v>8.9377572016460897E-3</v>
      </c>
      <c r="BX10" s="628">
        <f>_xlfn.XLOOKUP($E10,'Løp 20'!$E$10:$E$92,'Løp 20'!$M$10:$M$92,0)</f>
        <v>100</v>
      </c>
      <c r="BY10" s="629">
        <f>_xlfn.XLOOKUP($E10,'Løp 20'!$E$10:$E$92,'Løp 20'!$O$10:$O$92,0)</f>
        <v>96</v>
      </c>
      <c r="BZ10" s="629">
        <f>_xlfn.XLOOKUP($E10,'Løp 20'!$E$10:$E$92,'Løp 20'!$L$10:$L$92,0)</f>
        <v>7.7546296296296295E-3</v>
      </c>
      <c r="CA10" s="628">
        <f>_xlfn.XLOOKUP($E10,'Løp 21'!$E$10:$E$93,'Løp 21'!$M$10:$M$93,0)</f>
        <v>92</v>
      </c>
      <c r="CB10" s="629">
        <f>_xlfn.XLOOKUP($E10,'Løp 21'!$E$10:$E$93,'Løp 21'!$O$10:$O$93,0)</f>
        <v>93</v>
      </c>
      <c r="CC10" s="629">
        <f>_xlfn.XLOOKUP($E10,'Løp 21'!$E$10:$E$93,'Løp 21'!$L$10:$L$93,0)</f>
        <v>6.6308243727598564E-3</v>
      </c>
      <c r="CD10" s="628">
        <f>_xlfn.XLOOKUP($E10,'Løp 22'!$E$10:$E$93,'Løp 22'!$M$10:$M$93,0)</f>
        <v>83</v>
      </c>
      <c r="CE10" s="629">
        <f>_xlfn.XLOOKUP($E10,'Løp 22'!$E$10:$E$93,'Løp 22'!$O$10:$O$93,0)</f>
        <v>82</v>
      </c>
      <c r="CF10" s="629">
        <f>_xlfn.XLOOKUP($E10,'Løp 22'!$E$10:$E$93,'Løp 22'!$L$10:$L$93,0)</f>
        <v>8.3912037037037045E-3</v>
      </c>
      <c r="CG10" s="628">
        <f>_xlfn.XLOOKUP($E10,'Løp 23'!$E$10:$E$93,'Løp 23'!$M$10:$M$93,0)</f>
        <v>90</v>
      </c>
      <c r="CH10" s="629">
        <f>_xlfn.XLOOKUP($E10,'Løp 23'!$E$10:$E$93,'Løp 23'!$O$10:$O$93,0)</f>
        <v>89</v>
      </c>
      <c r="CI10" s="629">
        <f>_xlfn.XLOOKUP($E10,'Løp 23'!$E$10:$E$93,'Løp 23'!$L$10:$L$93,0)</f>
        <v>5.7750638569604084E-3</v>
      </c>
      <c r="CJ10" s="628">
        <f>_xlfn.XLOOKUP($E10,'Løp 24'!$E$10:$E$93,'Løp 24'!$M$10:$M$93,0)</f>
        <v>0</v>
      </c>
      <c r="CK10" s="629">
        <f>_xlfn.XLOOKUP($E10,'Løp 24'!$E$10:$E$93,'Løp 24'!$O$10:$O$93,0)</f>
        <v>0</v>
      </c>
      <c r="CL10" s="629">
        <f>_xlfn.XLOOKUP($E10,'Løp 24'!$E$10:$E$93,'Løp 24'!$L$10:$L$93,0)</f>
        <v>0</v>
      </c>
      <c r="CM10" s="628">
        <f>_xlfn.XLOOKUP($E10,'Løp 25'!$E$10:$E$94,'Løp 25'!$M$10:$M$94,0)</f>
        <v>100</v>
      </c>
      <c r="CN10" s="629">
        <f>_xlfn.XLOOKUP($E10,'Løp 25'!$E$10:$E$94,'Løp 25'!$O$10:$O$94,0)</f>
        <v>100</v>
      </c>
      <c r="CO10" s="629" t="str">
        <f>_xlfn.XLOOKUP($E10,'Løp 25'!$E$10:$E$94,'Løp 25'!$L$10:$L$94,0)</f>
        <v>Løype</v>
      </c>
      <c r="CP10" s="628">
        <f>_xlfn.XLOOKUP($E10,'Løp 26'!$E$10:$E$94,'Løp 26'!$M$10:$M$94,0)</f>
        <v>0</v>
      </c>
      <c r="CQ10" s="629">
        <f>_xlfn.XLOOKUP($E10,'Løp 26'!$E$10:$E$94,'Løp 26'!$O$10:$O$94,0)</f>
        <v>0</v>
      </c>
      <c r="CR10" s="629">
        <f>_xlfn.XLOOKUP($E10,'Løp 26'!$E$10:$E$94,'Løp 26'!$L$10:$L$94,0)</f>
        <v>0</v>
      </c>
      <c r="CS10" s="628">
        <f>_xlfn.XLOOKUP($E10,'Løp 27'!$E$10:$E$94,'Løp 27'!$M$10:$M$94,0)</f>
        <v>96</v>
      </c>
      <c r="CT10" s="629">
        <f>_xlfn.XLOOKUP($E10,'Løp 27'!$E$10:$E$94,'Løp 27'!$O$10:$O$94,0)</f>
        <v>99</v>
      </c>
      <c r="CU10" s="629">
        <f>_xlfn.XLOOKUP($E10,'Løp 27'!$E$10:$E$94,'Løp 27'!$L$10:$L$94,0)</f>
        <v>7.1459190672153632E-3</v>
      </c>
      <c r="CV10" s="628">
        <f>_xlfn.XLOOKUP($E10,'Løp 28'!$E$10:$E$95,'Løp 28'!$M$10:$M$95,0)</f>
        <v>0</v>
      </c>
      <c r="CW10" s="629">
        <f>_xlfn.XLOOKUP($E10,'Løp 28'!$E$10:$E$95,'Løp 28'!$O$10:$O$95,0)</f>
        <v>0</v>
      </c>
      <c r="CX10" s="629">
        <f>_xlfn.XLOOKUP($E10,'Løp 28'!$E$10:$E$95,'Løp 28'!$L$10:$L$95,0)</f>
        <v>0</v>
      </c>
      <c r="CY10" s="628">
        <f>_xlfn.XLOOKUP($E10,'Løp 29'!$E$10:$E$95,'Løp 29'!$M$10:$M$95,0)</f>
        <v>100</v>
      </c>
      <c r="CZ10" s="629">
        <f>_xlfn.XLOOKUP($E10,'Løp 29'!$E$10:$E$95,'Løp 29'!$O$10:$O$95,0)</f>
        <v>100</v>
      </c>
      <c r="DA10" s="629">
        <f>_xlfn.XLOOKUP($E10,'Løp 29'!$E$10:$E$95,'Løp 29'!$L$10:$L$95,0)</f>
        <v>7.279265873015874E-3</v>
      </c>
    </row>
    <row r="11" spans="2:105" ht="24" customHeight="1" thickBot="1" x14ac:dyDescent="0.3">
      <c r="B11" s="627">
        <f>B10+1</f>
        <v>2</v>
      </c>
      <c r="C11" s="119" t="s">
        <v>138</v>
      </c>
      <c r="D11" s="620" t="s">
        <v>137</v>
      </c>
      <c r="E11" s="616" t="str">
        <f>_xlfn.CONCAT(C11:D11)</f>
        <v>GunnhildOftedal</v>
      </c>
      <c r="F11" s="610"/>
      <c r="G11" s="653">
        <f>COUNTIF(S11:DA11,"&gt;2")/2</f>
        <v>28</v>
      </c>
      <c r="H11" s="852">
        <f>COUNTIF(S11:DA11,"=Løype")+COUNTIF(S11:DA11,"Arr")</f>
        <v>0</v>
      </c>
      <c r="I11" s="610"/>
      <c r="J11" s="632">
        <f>S11+V11+Y11+AB11+AE11+AH11+AK11+AN11+AQ11+AT11+AW11+AZ11+BC11+BF11+BI11+BL11+BO11+BR11+BU11+BX11+CA11+CD11+CG11+CJ11+CM11+CP11+CS11+CV11+CY11</f>
        <v>2036</v>
      </c>
      <c r="K11" s="633">
        <f>T11+W11+Z11+AC11+AF11+AI11+AL11+AO11+AR11+AU11+AX11+BA11+BD11+BG11+BJ11+BM11+BP11+BS11+BV11+BY11+CB11+CE11+CH11+CK11+CN11+CQ11+CT11+CW11+CZ11</f>
        <v>2557</v>
      </c>
      <c r="L11" s="613"/>
      <c r="M11" s="658">
        <f>IF($G11&gt;0,J11/G11,0)</f>
        <v>72.714285714285708</v>
      </c>
      <c r="N11" s="659">
        <f>IF($G11&gt;0,K11/$G11,0)</f>
        <v>91.321428571428569</v>
      </c>
      <c r="O11" s="862"/>
      <c r="P11" s="874">
        <f>IF(AND($G11&gt;$Q$3-1,$G11-$H11&gt;0),M11,0)</f>
        <v>72.714285714285708</v>
      </c>
      <c r="Q11" s="875">
        <f>IF(AND($G11&gt;$Q$3-1,$G11-$H11&gt;0),N11,0)</f>
        <v>91.321428571428569</v>
      </c>
      <c r="R11" s="613"/>
      <c r="S11" s="628">
        <f>_xlfn.XLOOKUP($E11,'Løp 1'!$E$10:$E$90,'Løp 1'!$M$10:$M$90,0)</f>
        <v>51</v>
      </c>
      <c r="T11" s="629">
        <f>_xlfn.XLOOKUP($E11,'Løp 1'!$E$10:$E$90,'Løp 1'!$O$10:$O$90,0)</f>
        <v>68</v>
      </c>
      <c r="U11" s="629">
        <f>_xlfn.XLOOKUP($E11,'Løp 1'!$E$10:$E$90,'Løp 1'!$L$10:$L$90,0)</f>
        <v>1.5844508301404853E-2</v>
      </c>
      <c r="V11" s="628">
        <f>_xlfn.XLOOKUP($E11,'Løp 2'!$E$10:$E$90,'Løp 2'!$M$10:$M$90,0)</f>
        <v>75</v>
      </c>
      <c r="W11" s="629">
        <f>_xlfn.XLOOKUP($E11,'Løp 2'!$E$10:$E$90,'Løp 2'!$O$10:$O$90,0)</f>
        <v>82</v>
      </c>
      <c r="X11" s="629">
        <f>_xlfn.XLOOKUP($E11,'Løp 2'!$E$10:$E$90,'Løp 2'!$L$10:$L$90,0)</f>
        <v>1.1966765873015874E-2</v>
      </c>
      <c r="Y11" s="628">
        <f>_xlfn.XLOOKUP($E11,'Løp 3'!$E$10:$E$90,'Løp 3'!$M$10:$M$90,0)</f>
        <v>80</v>
      </c>
      <c r="Z11" s="629">
        <f>_xlfn.XLOOKUP($E11,'Løp 3'!$E$10:$E$90,'Løp 3'!$O$10:$O$90,0)</f>
        <v>98</v>
      </c>
      <c r="AA11" s="629">
        <f>_xlfn.XLOOKUP($E11,'Løp 3'!$E$10:$E$90,'Løp 3'!$L$10:$L$90,0)</f>
        <v>1.1319444444444443E-2</v>
      </c>
      <c r="AB11" s="628">
        <f>_xlfn.XLOOKUP($E11,'Løp 4'!$E$10:$E$90,'Løp 4'!$M$10:$M$90,0)</f>
        <v>61</v>
      </c>
      <c r="AC11" s="629">
        <f>_xlfn.XLOOKUP($E11,'Løp 4'!$E$10:$E$90,'Løp 4'!$O$10:$O$90,0)</f>
        <v>85</v>
      </c>
      <c r="AD11" s="629">
        <f>_xlfn.XLOOKUP($E11,'Løp 4'!$E$10:$E$90,'Løp 4'!$L$10:$L$90,0)</f>
        <v>1.1338734567901234E-2</v>
      </c>
      <c r="AE11" s="628">
        <f>_xlfn.XLOOKUP($E11,'Løp 5'!$E$10:$E$90,'Løp 5'!$M$10:$M$90,0)</f>
        <v>55</v>
      </c>
      <c r="AF11" s="629">
        <f>_xlfn.XLOOKUP($E11,'Løp 5'!$E$10:$E$90,'Løp 5'!$O$10:$O$90,0)</f>
        <v>69</v>
      </c>
      <c r="AG11" s="629">
        <f>_xlfn.XLOOKUP($E11,'Løp 5'!$E$10:$E$90,'Løp 5'!$L$10:$L$90,0)</f>
        <v>1.3070130315500684E-2</v>
      </c>
      <c r="AH11" s="628">
        <f>_xlfn.XLOOKUP($E11,'Løp 6'!$E$10:$E$90,'Løp 6'!$M$10:$M$90,0)</f>
        <v>61</v>
      </c>
      <c r="AI11" s="629">
        <f>_xlfn.XLOOKUP($E11,'Løp 6'!$E$10:$E$90,'Løp 6'!$O$10:$O$90,0)</f>
        <v>80</v>
      </c>
      <c r="AJ11" s="629">
        <f>_xlfn.XLOOKUP($E11,'Løp 6'!$E$10:$E$90,'Løp 6'!$L$10:$L$90,0)</f>
        <v>1.277006172839506E-2</v>
      </c>
      <c r="AK11" s="628">
        <f>_xlfn.XLOOKUP($E11,'Løp 7'!$E$10:$E$90,'Løp 7'!$M$10:$M$90,0)</f>
        <v>93</v>
      </c>
      <c r="AL11" s="629">
        <f>_xlfn.XLOOKUP($E11,'Løp 7'!$E$10:$E$90,'Løp 7'!$O$10:$O$90,0)</f>
        <v>98</v>
      </c>
      <c r="AM11" s="629">
        <f>_xlfn.XLOOKUP($E11,'Løp 7'!$E$10:$E$90,'Løp 7'!$L$10:$L$90,0)</f>
        <v>1.8104091995221026E-2</v>
      </c>
      <c r="AN11" s="628">
        <f>_xlfn.XLOOKUP($E11,'Løp 8'!$E$10:$E$91,'Løp 8'!$M$10:$M$91,0)</f>
        <v>86</v>
      </c>
      <c r="AO11" s="629">
        <f>_xlfn.XLOOKUP($E11,'Løp 8'!$E$10:$E$91,'Løp 8'!$O$10:$O$91,0)</f>
        <v>93</v>
      </c>
      <c r="AP11" s="629">
        <f>_xlfn.XLOOKUP($E11,'Løp 8'!$E$10:$E$91,'Løp 8'!$L$10:$L$91,0)</f>
        <v>9.9168771043771035E-3</v>
      </c>
      <c r="AQ11" s="628">
        <f>_xlfn.XLOOKUP($E11,'Løp 9'!$E$10:$E$91,'Løp 9'!$M$10:$M$91,0)</f>
        <v>68</v>
      </c>
      <c r="AR11" s="629">
        <f>_xlfn.XLOOKUP($E11,'Løp 9'!$E$10:$E$91,'Løp 9'!$O$10:$O$91,0)</f>
        <v>78</v>
      </c>
      <c r="AS11" s="629">
        <f>_xlfn.XLOOKUP($E11,'Løp 9'!$E$10:$E$91,'Løp 9'!$L$10:$L$91,0)</f>
        <v>1.0024641577060931E-2</v>
      </c>
      <c r="AT11" s="628">
        <f>_xlfn.XLOOKUP($E11,'Løp 10'!$E$10:$E$91,'Løp 10'!$M$10:$M$91,0)</f>
        <v>74</v>
      </c>
      <c r="AU11" s="629">
        <f>_xlfn.XLOOKUP($E11,'Løp 10'!$E$10:$E$91,'Løp 10'!$O$10:$O$91,0)</f>
        <v>94</v>
      </c>
      <c r="AV11" s="629">
        <f>_xlfn.XLOOKUP($E11,'Løp 10'!$E$10:$E$91,'Løp 10'!$L$10:$L$91,0)</f>
        <v>1.0090877914951989E-2</v>
      </c>
      <c r="AW11" s="628">
        <f>_xlfn.XLOOKUP($E11,'Løp 11'!$E$10:$E$91,'Løp 11'!$M$10:$M$91,0)</f>
        <v>69</v>
      </c>
      <c r="AX11" s="629">
        <f>_xlfn.XLOOKUP($E11,'Løp 11'!$E$10:$E$91,'Løp 11'!$O$10:$O$91,0)</f>
        <v>89</v>
      </c>
      <c r="AY11" s="629">
        <f>_xlfn.XLOOKUP($E11,'Løp 11'!$E$10:$E$91,'Løp 11'!$L$10:$L$91,0)</f>
        <v>1.060474537037037E-2</v>
      </c>
      <c r="AZ11" s="628">
        <f>_xlfn.XLOOKUP($E11,'Løp 12'!$E$10:$E$91,'Løp 12'!$M$10:$M$91,0)</f>
        <v>69</v>
      </c>
      <c r="BA11" s="629">
        <f>_xlfn.XLOOKUP($E11,'Løp 12'!$E$10:$E$91,'Løp 12'!$O$10:$O$91,0)</f>
        <v>95</v>
      </c>
      <c r="BB11" s="629">
        <f>_xlfn.XLOOKUP($E11,'Løp 12'!$E$10:$E$91,'Løp 12'!$L$10:$L$91,0)</f>
        <v>8.0439814814814818E-3</v>
      </c>
      <c r="BC11" s="628">
        <f>_xlfn.XLOOKUP($E11,'Løp 13'!$E$10:$E$91,'Løp 13'!$M$10:$M$91,0)</f>
        <v>66</v>
      </c>
      <c r="BD11" s="629">
        <f>_xlfn.XLOOKUP($E11,'Løp 13'!$E$10:$E$91,'Løp 13'!$O$10:$O$91,0)</f>
        <v>100</v>
      </c>
      <c r="BE11" s="629">
        <f>_xlfn.XLOOKUP($E11,'Løp 13'!$E$10:$E$91,'Løp 13'!$L$10:$L$91,0)</f>
        <v>8.1617177522349937E-3</v>
      </c>
      <c r="BF11" s="628">
        <f>_xlfn.XLOOKUP($E11,'Løp 14'!$E$10:$E$91,'Løp 14'!$M$10:$M$91,0)</f>
        <v>56</v>
      </c>
      <c r="BG11" s="629">
        <f>_xlfn.XLOOKUP($E11,'Løp 14'!$E$10:$E$91,'Løp 14'!$O$10:$O$91,0)</f>
        <v>72</v>
      </c>
      <c r="BH11" s="629">
        <f>_xlfn.XLOOKUP($E11,'Løp 14'!$E$10:$E$91,'Løp 14'!$L$10:$L$91,0)</f>
        <v>1.1212384259259259E-2</v>
      </c>
      <c r="BI11" s="628">
        <f>_xlfn.XLOOKUP($E11,'Løp 15'!$E$10:$E$91,'Løp 15'!$M$10:$M$91,0)</f>
        <v>87</v>
      </c>
      <c r="BJ11" s="629">
        <f>_xlfn.XLOOKUP($E11,'Løp 15'!$E$10:$E$91,'Løp 15'!$O$10:$O$91,0)</f>
        <v>100</v>
      </c>
      <c r="BK11" s="629">
        <f>_xlfn.XLOOKUP($E11,'Løp 15'!$E$10:$E$91,'Løp 15'!$L$10:$L$91,0)</f>
        <v>9.9431818181818198E-3</v>
      </c>
      <c r="BL11" s="628">
        <f>_xlfn.XLOOKUP($E11,'Løp 16'!$E$10:$E$91,'Løp 16'!$M$10:$M$91,0)</f>
        <v>75</v>
      </c>
      <c r="BM11" s="629">
        <f>_xlfn.XLOOKUP($E11,'Løp 16'!$E$10:$E$91,'Løp 16'!$O$10:$O$91,0)</f>
        <v>100</v>
      </c>
      <c r="BN11" s="629">
        <f>_xlfn.XLOOKUP($E11,'Løp 16'!$E$10:$E$91,'Løp 16'!$L$10:$L$91,0)</f>
        <v>9.1216216216216221E-3</v>
      </c>
      <c r="BO11" s="628">
        <f>_xlfn.XLOOKUP($E11,'Løp 17'!$E$10:$E$91,'Løp 17'!$M$10:$M$91,0)</f>
        <v>76</v>
      </c>
      <c r="BP11" s="629">
        <f>_xlfn.XLOOKUP($E11,'Løp 17'!$E$10:$E$91,'Løp 17'!$O$10:$O$91,0)</f>
        <v>100</v>
      </c>
      <c r="BQ11" s="629">
        <f>_xlfn.XLOOKUP($E11,'Løp 17'!$E$10:$E$91,'Løp 17'!$L$10:$L$91,0)</f>
        <v>8.3652618135376753E-3</v>
      </c>
      <c r="BR11" s="628">
        <f>_xlfn.XLOOKUP($E11,'Løp 18'!$E$10:$E$91,'Løp 18'!$M$10:$M$91,0)</f>
        <v>76</v>
      </c>
      <c r="BS11" s="629">
        <f>_xlfn.XLOOKUP($E11,'Løp 18'!$E$10:$E$91,'Løp 18'!$O$10:$O$91,0)</f>
        <v>93</v>
      </c>
      <c r="BT11" s="629">
        <f>_xlfn.XLOOKUP($E11,'Løp 18'!$E$10:$E$91,'Løp 18'!$L$10:$L$91,0)</f>
        <v>9.4798900462962962E-3</v>
      </c>
      <c r="BU11" s="628">
        <f>_xlfn.XLOOKUP($E11,'Løp 19'!$E$10:$E$91,'Løp 19'!$M$10:$M$91,0)</f>
        <v>80</v>
      </c>
      <c r="BV11" s="629">
        <f>_xlfn.XLOOKUP($E11,'Løp 19'!$E$10:$E$91,'Løp 19'!$O$10:$O$91,0)</f>
        <v>99</v>
      </c>
      <c r="BW11" s="629">
        <f>_xlfn.XLOOKUP($E11,'Løp 19'!$E$10:$E$91,'Løp 19'!$L$10:$L$91,0)</f>
        <v>1.0193758573388202E-2</v>
      </c>
      <c r="BX11" s="628">
        <f>_xlfn.XLOOKUP($E11,'Løp 20'!$E$10:$E$92,'Løp 20'!$M$10:$M$92,0)</f>
        <v>80</v>
      </c>
      <c r="BY11" s="629">
        <f>_xlfn.XLOOKUP($E11,'Løp 20'!$E$10:$E$92,'Løp 20'!$O$10:$O$92,0)</f>
        <v>100</v>
      </c>
      <c r="BZ11" s="629">
        <f>_xlfn.XLOOKUP($E11,'Løp 20'!$E$10:$E$92,'Løp 20'!$L$10:$L$92,0)</f>
        <v>9.6957671957671968E-3</v>
      </c>
      <c r="CA11" s="628">
        <f>_xlfn.XLOOKUP($E11,'Løp 21'!$E$10:$E$93,'Løp 21'!$M$10:$M$93,0)</f>
        <v>75</v>
      </c>
      <c r="CB11" s="629">
        <f>_xlfn.XLOOKUP($E11,'Løp 21'!$E$10:$E$93,'Løp 21'!$O$10:$O$93,0)</f>
        <v>98</v>
      </c>
      <c r="CC11" s="629">
        <f>_xlfn.XLOOKUP($E11,'Løp 21'!$E$10:$E$93,'Løp 21'!$L$10:$L$93,0)</f>
        <v>8.0757168458781368E-3</v>
      </c>
      <c r="CD11" s="628">
        <f>_xlfn.XLOOKUP($E11,'Løp 22'!$E$10:$E$93,'Løp 22'!$M$10:$M$93,0)</f>
        <v>76</v>
      </c>
      <c r="CE11" s="629">
        <f>_xlfn.XLOOKUP($E11,'Løp 22'!$E$10:$E$93,'Løp 22'!$O$10:$O$93,0)</f>
        <v>97</v>
      </c>
      <c r="CF11" s="629">
        <f>_xlfn.XLOOKUP($E11,'Løp 22'!$E$10:$E$93,'Løp 22'!$L$10:$L$93,0)</f>
        <v>9.2236467236467244E-3</v>
      </c>
      <c r="CG11" s="628">
        <f>_xlfn.XLOOKUP($E11,'Løp 23'!$E$10:$E$93,'Løp 23'!$M$10:$M$93,0)</f>
        <v>78</v>
      </c>
      <c r="CH11" s="629">
        <f>_xlfn.XLOOKUP($E11,'Løp 23'!$E$10:$E$93,'Løp 23'!$O$10:$O$93,0)</f>
        <v>100</v>
      </c>
      <c r="CI11" s="629">
        <f>_xlfn.XLOOKUP($E11,'Løp 23'!$E$10:$E$93,'Løp 23'!$L$10:$L$93,0)</f>
        <v>6.6770434227330783E-3</v>
      </c>
      <c r="CJ11" s="628">
        <f>_xlfn.XLOOKUP($E11,'Løp 24'!$E$10:$E$93,'Løp 24'!$M$10:$M$93,0)</f>
        <v>76</v>
      </c>
      <c r="CK11" s="629">
        <f>_xlfn.XLOOKUP($E11,'Løp 24'!$E$10:$E$93,'Løp 24'!$O$10:$O$93,0)</f>
        <v>82</v>
      </c>
      <c r="CL11" s="629">
        <f>_xlfn.XLOOKUP($E11,'Løp 24'!$E$10:$E$93,'Løp 24'!$L$10:$L$93,0)</f>
        <v>7.019115890083632E-3</v>
      </c>
      <c r="CM11" s="628">
        <f>_xlfn.XLOOKUP($E11,'Løp 25'!$E$10:$E$94,'Løp 25'!$M$10:$M$94,0)</f>
        <v>78</v>
      </c>
      <c r="CN11" s="629">
        <f>_xlfn.XLOOKUP($E11,'Løp 25'!$E$10:$E$94,'Løp 25'!$O$10:$O$94,0)</f>
        <v>100</v>
      </c>
      <c r="CO11" s="629">
        <f>_xlfn.XLOOKUP($E11,'Løp 25'!$E$10:$E$94,'Løp 25'!$L$10:$L$94,0)</f>
        <v>9.2881944444444444E-3</v>
      </c>
      <c r="CP11" s="628">
        <f>_xlfn.XLOOKUP($E11,'Løp 26'!$E$10:$E$94,'Løp 26'!$M$10:$M$94,0)</f>
        <v>0</v>
      </c>
      <c r="CQ11" s="629">
        <f>_xlfn.XLOOKUP($E11,'Løp 26'!$E$10:$E$94,'Løp 26'!$O$10:$O$94,0)</f>
        <v>0</v>
      </c>
      <c r="CR11" s="629">
        <f>_xlfn.XLOOKUP($E11,'Løp 26'!$E$10:$E$94,'Løp 26'!$L$10:$L$94,0)</f>
        <v>0</v>
      </c>
      <c r="CS11" s="628">
        <f>_xlfn.XLOOKUP($E11,'Løp 27'!$E$10:$E$94,'Løp 27'!$M$10:$M$94,0)</f>
        <v>75</v>
      </c>
      <c r="CT11" s="629">
        <f>_xlfn.XLOOKUP($E11,'Løp 27'!$E$10:$E$94,'Løp 27'!$O$10:$O$94,0)</f>
        <v>100</v>
      </c>
      <c r="CU11" s="629">
        <f>_xlfn.XLOOKUP($E11,'Løp 27'!$E$10:$E$94,'Løp 27'!$L$10:$L$94,0)</f>
        <v>9.1820987654320976E-3</v>
      </c>
      <c r="CV11" s="628">
        <f>_xlfn.XLOOKUP($E11,'Løp 28'!$E$10:$E$95,'Løp 28'!$M$10:$M$95,0)</f>
        <v>66</v>
      </c>
      <c r="CW11" s="629">
        <f>_xlfn.XLOOKUP($E11,'Løp 28'!$E$10:$E$95,'Løp 28'!$O$10:$O$95,0)</f>
        <v>91</v>
      </c>
      <c r="CX11" s="629">
        <f>_xlfn.XLOOKUP($E11,'Løp 28'!$E$10:$E$95,'Løp 28'!$L$10:$L$95,0)</f>
        <v>1.0059380032206119E-2</v>
      </c>
      <c r="CY11" s="628">
        <f>_xlfn.XLOOKUP($E11,'Løp 29'!$E$10:$E$95,'Løp 29'!$M$10:$M$95,0)</f>
        <v>74</v>
      </c>
      <c r="CZ11" s="629">
        <f>_xlfn.XLOOKUP($E11,'Løp 29'!$E$10:$E$95,'Løp 29'!$O$10:$O$95,0)</f>
        <v>96</v>
      </c>
      <c r="DA11" s="629">
        <f>_xlfn.XLOOKUP($E11,'Løp 29'!$E$10:$E$95,'Løp 29'!$L$10:$L$95,0)</f>
        <v>9.8296957671957681E-3</v>
      </c>
    </row>
    <row r="12" spans="2:105" ht="26" thickBot="1" x14ac:dyDescent="0.3">
      <c r="B12" s="627">
        <f>B11+1</f>
        <v>3</v>
      </c>
      <c r="C12" s="119" t="s">
        <v>126</v>
      </c>
      <c r="D12" s="620" t="s">
        <v>127</v>
      </c>
      <c r="E12" s="616" t="str">
        <f>_xlfn.CONCAT(C12:D12)</f>
        <v>ArneMikkelsen</v>
      </c>
      <c r="F12" s="610"/>
      <c r="G12" s="653">
        <f>COUNTIF(S12:DA12,"&gt;2")/2</f>
        <v>25</v>
      </c>
      <c r="H12" s="852">
        <f>COUNTIF(S12:DA12,"=Løype")+COUNTIF(S12:DA12,"Arr")</f>
        <v>3</v>
      </c>
      <c r="I12" s="610"/>
      <c r="J12" s="632">
        <f>S12+V12+Y12+AB12+AE12+AH12+AK12+AN12+AQ12+AT12+AW12+AZ12+BC12+BF12+BI12+BL12+BO12+BR12+BU12+BX12+CA12+CD12+CG12+CJ12+CM12+CP12+CS12+CV12+CY12</f>
        <v>2380</v>
      </c>
      <c r="K12" s="633">
        <f>T12+W12+Z12+AC12+AF12+AI12+AL12+AO12+AR12+AU12+AX12+BA12+BD12+BG12+BJ12+BM12+BP12+BS12+BV12+BY12+CB12+CE12+CH12+CK12+CN12+CQ12+CT12+CW12+CZ12</f>
        <v>2225</v>
      </c>
      <c r="L12" s="613"/>
      <c r="M12" s="658">
        <f>IF($G12&gt;0,J12/G12,0)</f>
        <v>95.2</v>
      </c>
      <c r="N12" s="659">
        <f>IF($G12&gt;0,K12/$G12,0)</f>
        <v>89</v>
      </c>
      <c r="O12" s="862"/>
      <c r="P12" s="874">
        <f>IF(AND($G12&gt;$Q$3-1,$G12-$H12&gt;0),M12,0)</f>
        <v>95.2</v>
      </c>
      <c r="Q12" s="875">
        <f>IF(AND($G12&gt;$Q$3-1,$G12-$H12&gt;0),N12,0)</f>
        <v>89</v>
      </c>
      <c r="R12" s="613"/>
      <c r="S12" s="628">
        <f>_xlfn.XLOOKUP($E12,'Løp 1'!$E$10:$E$90,'Løp 1'!$M$10:$M$90,0)</f>
        <v>100</v>
      </c>
      <c r="T12" s="629">
        <f>_xlfn.XLOOKUP($E12,'Løp 1'!$E$10:$E$90,'Løp 1'!$O$10:$O$90,0)</f>
        <v>98</v>
      </c>
      <c r="U12" s="629">
        <f>_xlfn.XLOOKUP($E12,'Løp 1'!$E$10:$E$90,'Løp 1'!$L$10:$L$90,0)</f>
        <v>8.0739144316730529E-3</v>
      </c>
      <c r="V12" s="628">
        <f>_xlfn.XLOOKUP($E12,'Løp 2'!$E$10:$E$90,'Løp 2'!$M$10:$M$90,0)</f>
        <v>100</v>
      </c>
      <c r="W12" s="629">
        <f>_xlfn.XLOOKUP($E12,'Løp 2'!$E$10:$E$90,'Løp 2'!$O$10:$O$90,0)</f>
        <v>81</v>
      </c>
      <c r="X12" s="629">
        <f>_xlfn.XLOOKUP($E12,'Løp 2'!$E$10:$E$90,'Løp 2'!$L$10:$L$90,0)</f>
        <v>8.9203042328042329E-3</v>
      </c>
      <c r="Y12" s="628">
        <f>_xlfn.XLOOKUP($E12,'Løp 3'!$E$10:$E$90,'Løp 3'!$M$10:$M$90,0)</f>
        <v>69</v>
      </c>
      <c r="Z12" s="629">
        <f>_xlfn.XLOOKUP($E12,'Løp 3'!$E$10:$E$90,'Løp 3'!$O$10:$O$90,0)</f>
        <v>63</v>
      </c>
      <c r="AA12" s="629">
        <f>_xlfn.XLOOKUP($E12,'Løp 3'!$E$10:$E$90,'Løp 3'!$L$10:$L$90,0)</f>
        <v>1.2996031746031745E-2</v>
      </c>
      <c r="AB12" s="628">
        <f>_xlfn.XLOOKUP($E12,'Løp 4'!$E$10:$E$90,'Løp 4'!$M$10:$M$90,0)</f>
        <v>98</v>
      </c>
      <c r="AC12" s="629">
        <f>_xlfn.XLOOKUP($E12,'Løp 4'!$E$10:$E$90,'Løp 4'!$O$10:$O$90,0)</f>
        <v>100</v>
      </c>
      <c r="AD12" s="629">
        <f>_xlfn.XLOOKUP($E12,'Løp 4'!$E$10:$E$90,'Løp 4'!$L$10:$L$90,0)</f>
        <v>7.0524691358024687E-3</v>
      </c>
      <c r="AE12" s="628">
        <f>_xlfn.XLOOKUP($E12,'Løp 5'!$E$10:$E$90,'Løp 5'!$M$10:$M$90,0)</f>
        <v>100</v>
      </c>
      <c r="AF12" s="629">
        <f>_xlfn.XLOOKUP($E12,'Løp 5'!$E$10:$E$90,'Løp 5'!$O$10:$O$90,0)</f>
        <v>92</v>
      </c>
      <c r="AG12" s="629">
        <f>_xlfn.XLOOKUP($E12,'Løp 5'!$E$10:$E$90,'Løp 5'!$L$10:$L$90,0)</f>
        <v>7.2359396433470504E-3</v>
      </c>
      <c r="AH12" s="628">
        <f>_xlfn.XLOOKUP($E12,'Løp 6'!$E$10:$E$90,'Løp 6'!$M$10:$M$90,0)</f>
        <v>100</v>
      </c>
      <c r="AI12" s="629">
        <f>_xlfn.XLOOKUP($E12,'Løp 6'!$E$10:$E$90,'Løp 6'!$O$10:$O$90,0)</f>
        <v>96</v>
      </c>
      <c r="AJ12" s="629">
        <f>_xlfn.XLOOKUP($E12,'Løp 6'!$E$10:$E$90,'Løp 6'!$L$10:$L$90,0)</f>
        <v>7.8356481481481489E-3</v>
      </c>
      <c r="AK12" s="628">
        <f>_xlfn.XLOOKUP($E12,'Løp 7'!$E$10:$E$90,'Løp 7'!$M$10:$M$90,0)</f>
        <v>100</v>
      </c>
      <c r="AL12" s="629">
        <f>_xlfn.XLOOKUP($E12,'Løp 7'!$E$10:$E$90,'Løp 7'!$O$10:$O$90,0)</f>
        <v>78</v>
      </c>
      <c r="AM12" s="629">
        <f>_xlfn.XLOOKUP($E12,'Løp 7'!$E$10:$E$90,'Løp 7'!$L$10:$L$90,0)</f>
        <v>1.6819743130227001E-2</v>
      </c>
      <c r="AN12" s="628">
        <f>_xlfn.XLOOKUP($E12,'Løp 8'!$E$10:$E$91,'Løp 8'!$M$10:$M$91,0)</f>
        <v>100</v>
      </c>
      <c r="AO12" s="629">
        <f>_xlfn.XLOOKUP($E12,'Løp 8'!$E$10:$E$91,'Løp 8'!$O$10:$O$91,0)</f>
        <v>80</v>
      </c>
      <c r="AP12" s="629">
        <f>_xlfn.XLOOKUP($E12,'Løp 8'!$E$10:$E$91,'Løp 8'!$L$10:$L$91,0)</f>
        <v>8.5227272727272721E-3</v>
      </c>
      <c r="AQ12" s="628">
        <f>_xlfn.XLOOKUP($E12,'Løp 9'!$E$10:$E$91,'Løp 9'!$M$10:$M$91,0)</f>
        <v>100</v>
      </c>
      <c r="AR12" s="629">
        <f>_xlfn.XLOOKUP($E12,'Løp 9'!$E$10:$E$91,'Løp 9'!$O$10:$O$91,0)</f>
        <v>100</v>
      </c>
      <c r="AS12" s="629" t="str">
        <f>_xlfn.XLOOKUP($E12,'Løp 9'!$E$10:$E$91,'Løp 9'!$L$10:$L$91,0)</f>
        <v>Løype</v>
      </c>
      <c r="AT12" s="628">
        <f>_xlfn.XLOOKUP($E12,'Løp 10'!$E$10:$E$91,'Løp 10'!$M$10:$M$91,0)</f>
        <v>99</v>
      </c>
      <c r="AU12" s="629">
        <f>_xlfn.XLOOKUP($E12,'Løp 10'!$E$10:$E$91,'Løp 10'!$O$10:$O$91,0)</f>
        <v>93</v>
      </c>
      <c r="AV12" s="629">
        <f>_xlfn.XLOOKUP($E12,'Løp 10'!$E$10:$E$91,'Løp 10'!$L$10:$L$91,0)</f>
        <v>7.5145747599451307E-3</v>
      </c>
      <c r="AW12" s="628">
        <f>_xlfn.XLOOKUP($E12,'Løp 11'!$E$10:$E$91,'Løp 11'!$M$10:$M$91,0)</f>
        <v>100</v>
      </c>
      <c r="AX12" s="629">
        <f>_xlfn.XLOOKUP($E12,'Løp 11'!$E$10:$E$91,'Løp 11'!$O$10:$O$91,0)</f>
        <v>95</v>
      </c>
      <c r="AY12" s="629">
        <f>_xlfn.XLOOKUP($E12,'Løp 11'!$E$10:$E$91,'Løp 11'!$L$10:$L$91,0)</f>
        <v>7.3278356481481476E-3</v>
      </c>
      <c r="AZ12" s="628">
        <f>_xlfn.XLOOKUP($E12,'Løp 12'!$E$10:$E$91,'Løp 12'!$M$10:$M$91,0)</f>
        <v>80</v>
      </c>
      <c r="BA12" s="629">
        <f>_xlfn.XLOOKUP($E12,'Løp 12'!$E$10:$E$91,'Løp 12'!$O$10:$O$91,0)</f>
        <v>80</v>
      </c>
      <c r="BB12" s="629">
        <f>_xlfn.XLOOKUP($E12,'Løp 12'!$E$10:$E$91,'Løp 12'!$L$10:$L$91,0)</f>
        <v>6.9609788359788361E-3</v>
      </c>
      <c r="BC12" s="628">
        <f>_xlfn.XLOOKUP($E12,'Løp 13'!$E$10:$E$91,'Løp 13'!$M$10:$M$91,0)</f>
        <v>0</v>
      </c>
      <c r="BD12" s="629">
        <f>_xlfn.XLOOKUP($E12,'Løp 13'!$E$10:$E$91,'Løp 13'!$O$10:$O$91,0)</f>
        <v>0</v>
      </c>
      <c r="BE12" s="629">
        <f>_xlfn.XLOOKUP($E12,'Løp 13'!$E$10:$E$91,'Løp 13'!$L$10:$L$91,0)</f>
        <v>0</v>
      </c>
      <c r="BF12" s="628">
        <f>_xlfn.XLOOKUP($E12,'Løp 14'!$E$10:$E$91,'Løp 14'!$M$10:$M$91,0)</f>
        <v>0</v>
      </c>
      <c r="BG12" s="629">
        <f>_xlfn.XLOOKUP($E12,'Løp 14'!$E$10:$E$91,'Løp 14'!$O$10:$O$91,0)</f>
        <v>0</v>
      </c>
      <c r="BH12" s="629">
        <f>_xlfn.XLOOKUP($E12,'Løp 14'!$E$10:$E$91,'Løp 14'!$L$10:$L$91,0)</f>
        <v>0</v>
      </c>
      <c r="BI12" s="628">
        <f>_xlfn.XLOOKUP($E12,'Løp 15'!$E$10:$E$91,'Løp 15'!$M$10:$M$91,0)</f>
        <v>100</v>
      </c>
      <c r="BJ12" s="629">
        <f>_xlfn.XLOOKUP($E12,'Løp 15'!$E$10:$E$91,'Løp 15'!$O$10:$O$91,0)</f>
        <v>85</v>
      </c>
      <c r="BK12" s="629">
        <f>_xlfn.XLOOKUP($E12,'Løp 15'!$E$10:$E$91,'Løp 15'!$L$10:$L$91,0)</f>
        <v>8.6279461279461286E-3</v>
      </c>
      <c r="BL12" s="628">
        <f>_xlfn.XLOOKUP($E12,'Løp 16'!$E$10:$E$91,'Løp 16'!$M$10:$M$91,0)</f>
        <v>100</v>
      </c>
      <c r="BM12" s="629">
        <f>_xlfn.XLOOKUP($E12,'Løp 16'!$E$10:$E$91,'Løp 16'!$O$10:$O$91,0)</f>
        <v>98</v>
      </c>
      <c r="BN12" s="629">
        <f>_xlfn.XLOOKUP($E12,'Løp 16'!$E$10:$E$91,'Løp 16'!$L$10:$L$91,0)</f>
        <v>6.8380880880880872E-3</v>
      </c>
      <c r="BO12" s="628">
        <f>_xlfn.XLOOKUP($E12,'Løp 17'!$E$10:$E$91,'Løp 17'!$M$10:$M$91,0)</f>
        <v>97</v>
      </c>
      <c r="BP12" s="629">
        <f>_xlfn.XLOOKUP($E12,'Løp 17'!$E$10:$E$91,'Løp 17'!$O$10:$O$91,0)</f>
        <v>94</v>
      </c>
      <c r="BQ12" s="629">
        <f>_xlfn.XLOOKUP($E12,'Løp 17'!$E$10:$E$91,'Løp 17'!$L$10:$L$91,0)</f>
        <v>6.553320561941251E-3</v>
      </c>
      <c r="BR12" s="628">
        <f>_xlfn.XLOOKUP($E12,'Løp 18'!$E$10:$E$91,'Løp 18'!$M$10:$M$91,0)</f>
        <v>0</v>
      </c>
      <c r="BS12" s="629">
        <f>_xlfn.XLOOKUP($E12,'Løp 18'!$E$10:$E$91,'Løp 18'!$O$10:$O$91,0)</f>
        <v>0</v>
      </c>
      <c r="BT12" s="629">
        <f>_xlfn.XLOOKUP($E12,'Løp 18'!$E$10:$E$91,'Løp 18'!$L$10:$L$91,0)</f>
        <v>0</v>
      </c>
      <c r="BU12" s="628">
        <f>_xlfn.XLOOKUP($E12,'Løp 19'!$E$10:$E$91,'Løp 19'!$M$10:$M$91,0)</f>
        <v>99</v>
      </c>
      <c r="BV12" s="629">
        <f>_xlfn.XLOOKUP($E12,'Løp 19'!$E$10:$E$91,'Løp 19'!$O$10:$O$91,0)</f>
        <v>90</v>
      </c>
      <c r="BW12" s="629">
        <f>_xlfn.XLOOKUP($E12,'Løp 19'!$E$10:$E$91,'Løp 19'!$L$10:$L$91,0)</f>
        <v>8.2861796982167356E-3</v>
      </c>
      <c r="BX12" s="628">
        <f>_xlfn.XLOOKUP($E12,'Løp 20'!$E$10:$E$92,'Løp 20'!$M$10:$M$92,0)</f>
        <v>100</v>
      </c>
      <c r="BY12" s="629">
        <f>_xlfn.XLOOKUP($E12,'Løp 20'!$E$10:$E$92,'Løp 20'!$O$10:$O$92,0)</f>
        <v>100</v>
      </c>
      <c r="BZ12" s="629" t="str">
        <f>_xlfn.XLOOKUP($E12,'Løp 20'!$E$10:$E$92,'Løp 20'!$L$10:$L$92,0)</f>
        <v>Løype</v>
      </c>
      <c r="CA12" s="628">
        <f>_xlfn.XLOOKUP($E12,'Løp 21'!$E$10:$E$93,'Løp 21'!$M$10:$M$93,0)</f>
        <v>94</v>
      </c>
      <c r="CB12" s="629">
        <f>_xlfn.XLOOKUP($E12,'Løp 21'!$E$10:$E$93,'Løp 21'!$O$10:$O$93,0)</f>
        <v>91</v>
      </c>
      <c r="CC12" s="629">
        <f>_xlfn.XLOOKUP($E12,'Løp 21'!$E$10:$E$93,'Løp 21'!$L$10:$L$93,0)</f>
        <v>6.4702807646356032E-3</v>
      </c>
      <c r="CD12" s="628">
        <f>_xlfn.XLOOKUP($E12,'Løp 22'!$E$10:$E$93,'Løp 22'!$M$10:$M$93,0)</f>
        <v>91</v>
      </c>
      <c r="CE12" s="629">
        <f>_xlfn.XLOOKUP($E12,'Løp 22'!$E$10:$E$93,'Løp 22'!$O$10:$O$93,0)</f>
        <v>86</v>
      </c>
      <c r="CF12" s="629">
        <f>_xlfn.XLOOKUP($E12,'Løp 22'!$E$10:$E$93,'Løp 22'!$L$10:$L$93,0)</f>
        <v>7.643340455840455E-3</v>
      </c>
      <c r="CG12" s="628">
        <f>_xlfn.XLOOKUP($E12,'Løp 23'!$E$10:$E$93,'Løp 23'!$M$10:$M$93,0)</f>
        <v>95</v>
      </c>
      <c r="CH12" s="629">
        <f>_xlfn.XLOOKUP($E12,'Løp 23'!$E$10:$E$93,'Løp 23'!$O$10:$O$93,0)</f>
        <v>90</v>
      </c>
      <c r="CI12" s="629">
        <f>_xlfn.XLOOKUP($E12,'Løp 23'!$E$10:$E$93,'Løp 23'!$L$10:$L$93,0)</f>
        <v>5.4398148148148149E-3</v>
      </c>
      <c r="CJ12" s="628">
        <f>_xlfn.XLOOKUP($E12,'Løp 24'!$E$10:$E$93,'Løp 24'!$M$10:$M$93,0)</f>
        <v>97</v>
      </c>
      <c r="CK12" s="629">
        <f>_xlfn.XLOOKUP($E12,'Løp 24'!$E$10:$E$93,'Løp 24'!$O$10:$O$93,0)</f>
        <v>78</v>
      </c>
      <c r="CL12" s="629">
        <f>_xlfn.XLOOKUP($E12,'Løp 24'!$E$10:$E$93,'Løp 24'!$L$10:$L$93,0)</f>
        <v>5.4696833930704897E-3</v>
      </c>
      <c r="CM12" s="628">
        <f>_xlfn.XLOOKUP($E12,'Løp 25'!$E$10:$E$94,'Løp 25'!$M$10:$M$94,0)</f>
        <v>97</v>
      </c>
      <c r="CN12" s="629">
        <f>_xlfn.XLOOKUP($E12,'Løp 25'!$E$10:$E$94,'Løp 25'!$O$10:$O$94,0)</f>
        <v>92</v>
      </c>
      <c r="CO12" s="629">
        <f>_xlfn.XLOOKUP($E12,'Løp 25'!$E$10:$E$94,'Løp 25'!$L$10:$L$94,0)</f>
        <v>7.4544270833333329E-3</v>
      </c>
      <c r="CP12" s="628">
        <f>_xlfn.XLOOKUP($E12,'Løp 26'!$E$10:$E$94,'Løp 26'!$M$10:$M$94,0)</f>
        <v>0</v>
      </c>
      <c r="CQ12" s="629">
        <f>_xlfn.XLOOKUP($E12,'Løp 26'!$E$10:$E$94,'Løp 26'!$O$10:$O$94,0)</f>
        <v>0</v>
      </c>
      <c r="CR12" s="629">
        <f>_xlfn.XLOOKUP($E12,'Løp 26'!$E$10:$E$94,'Løp 26'!$L$10:$L$94,0)</f>
        <v>0</v>
      </c>
      <c r="CS12" s="628">
        <f>_xlfn.XLOOKUP($E12,'Løp 27'!$E$10:$E$94,'Løp 27'!$M$10:$M$94,0)</f>
        <v>97</v>
      </c>
      <c r="CT12" s="629">
        <f>_xlfn.XLOOKUP($E12,'Løp 27'!$E$10:$E$94,'Løp 27'!$O$10:$O$94,0)</f>
        <v>96</v>
      </c>
      <c r="CU12" s="629">
        <f>_xlfn.XLOOKUP($E12,'Løp 27'!$E$10:$E$94,'Løp 27'!$L$10:$L$94,0)</f>
        <v>7.0773319615912208E-3</v>
      </c>
      <c r="CV12" s="628">
        <f>_xlfn.XLOOKUP($E12,'Løp 28'!$E$10:$E$95,'Løp 28'!$M$10:$M$95,0)</f>
        <v>67</v>
      </c>
      <c r="CW12" s="629">
        <f>_xlfn.XLOOKUP($E12,'Løp 28'!$E$10:$E$95,'Løp 28'!$O$10:$O$95,0)</f>
        <v>69</v>
      </c>
      <c r="CX12" s="629">
        <f>_xlfn.XLOOKUP($E12,'Løp 28'!$E$10:$E$95,'Løp 28'!$L$10:$L$95,0)</f>
        <v>9.8631239935587783E-3</v>
      </c>
      <c r="CY12" s="628">
        <f>_xlfn.XLOOKUP($E12,'Løp 29'!$E$10:$E$95,'Løp 29'!$M$10:$M$95,0)</f>
        <v>100</v>
      </c>
      <c r="CZ12" s="629">
        <f>_xlfn.XLOOKUP($E12,'Løp 29'!$E$10:$E$95,'Løp 29'!$O$10:$O$95,0)</f>
        <v>100</v>
      </c>
      <c r="DA12" s="629" t="str">
        <f>_xlfn.XLOOKUP($E12,'Løp 29'!$E$10:$E$95,'Løp 29'!$L$10:$L$95,0)</f>
        <v>Løype</v>
      </c>
    </row>
    <row r="13" spans="2:105" ht="24" customHeight="1" thickBot="1" x14ac:dyDescent="0.3">
      <c r="B13" s="627">
        <f t="shared" ref="B13:B93" si="0">B12+1</f>
        <v>4</v>
      </c>
      <c r="C13" s="119" t="s">
        <v>78</v>
      </c>
      <c r="D13" s="620" t="s">
        <v>79</v>
      </c>
      <c r="E13" s="616" t="str">
        <f>_xlfn.CONCAT(C13:D13)</f>
        <v>LeifEngen</v>
      </c>
      <c r="F13" s="610"/>
      <c r="G13" s="653">
        <f>COUNTIF(S13:DA13,"&gt;2")/2</f>
        <v>26</v>
      </c>
      <c r="H13" s="852">
        <f>COUNTIF(S13:DA13,"=Løype")+COUNTIF(S13:DA13,"Arr")</f>
        <v>2</v>
      </c>
      <c r="I13" s="610"/>
      <c r="J13" s="632">
        <f>S13+V13+Y13+AB13+AE13+AH13+AK13+AN13+AQ13+AT13+AW13+AZ13+BC13+BF13+BI13+BL13+BO13+BR13+BU13+BX13+CA13+CD13+CG13+CJ13+CM13+CP13+CS13+CV13+CY13</f>
        <v>1746</v>
      </c>
      <c r="K13" s="633">
        <f>T13+W13+Z13+AC13+AF13+AI13+AL13+AO13+AR13+AU13+AX13+BA13+BD13+BG13+BJ13+BM13+BP13+BS13+BV13+BY13+CB13+CE13+CH13+CK13+CN13+CQ13+CT13+CW13+CZ13</f>
        <v>2245</v>
      </c>
      <c r="L13" s="613"/>
      <c r="M13" s="658">
        <f>IF($G13&gt;0,J13/G13,0)</f>
        <v>67.15384615384616</v>
      </c>
      <c r="N13" s="659">
        <f>IF($G13&gt;0,K13/$G13,0)</f>
        <v>86.34615384615384</v>
      </c>
      <c r="O13" s="862"/>
      <c r="P13" s="874">
        <f>IF(AND($G13&gt;$Q$3-1,$G13-$H13&gt;0),M13,0)</f>
        <v>67.15384615384616</v>
      </c>
      <c r="Q13" s="875">
        <f>IF(AND($G13&gt;$Q$3-1,$G13-$H13&gt;0),N13,0)</f>
        <v>86.34615384615384</v>
      </c>
      <c r="R13" s="613"/>
      <c r="S13" s="628">
        <f>_xlfn.XLOOKUP($E13,'Løp 1'!$E$10:$E$90,'Løp 1'!$M$10:$M$90,0)</f>
        <v>71</v>
      </c>
      <c r="T13" s="629">
        <f>_xlfn.XLOOKUP($E13,'Løp 1'!$E$10:$E$90,'Løp 1'!$O$10:$O$90,0)</f>
        <v>100</v>
      </c>
      <c r="U13" s="629">
        <f>_xlfn.XLOOKUP($E13,'Løp 1'!$E$10:$E$90,'Løp 1'!$L$10:$L$90,0)</f>
        <v>1.1342592592592592E-2</v>
      </c>
      <c r="V13" s="628">
        <f>_xlfn.XLOOKUP($E13,'Løp 2'!$E$10:$E$90,'Løp 2'!$M$10:$M$90,0)</f>
        <v>94</v>
      </c>
      <c r="W13" s="629">
        <f>_xlfn.XLOOKUP($E13,'Løp 2'!$E$10:$E$90,'Løp 2'!$O$10:$O$90,0)</f>
        <v>94</v>
      </c>
      <c r="X13" s="629" t="str">
        <f>_xlfn.XLOOKUP($E13,'Løp 2'!$E$10:$E$90,'Løp 2'!$L$10:$L$90,0)</f>
        <v>Arr</v>
      </c>
      <c r="Y13" s="628">
        <f>_xlfn.XLOOKUP($E13,'Løp 3'!$E$10:$E$90,'Løp 3'!$M$10:$M$90,0)</f>
        <v>69</v>
      </c>
      <c r="Z13" s="629">
        <f>_xlfn.XLOOKUP($E13,'Løp 3'!$E$10:$E$90,'Løp 3'!$O$10:$O$90,0)</f>
        <v>90</v>
      </c>
      <c r="AA13" s="629">
        <f>_xlfn.XLOOKUP($E13,'Løp 3'!$E$10:$E$90,'Løp 3'!$L$10:$L$90,0)</f>
        <v>1.3001543209876542E-2</v>
      </c>
      <c r="AB13" s="628">
        <f>_xlfn.XLOOKUP($E13,'Løp 4'!$E$10:$E$90,'Løp 4'!$M$10:$M$90,0)</f>
        <v>61</v>
      </c>
      <c r="AC13" s="629">
        <f>_xlfn.XLOOKUP($E13,'Løp 4'!$E$10:$E$90,'Løp 4'!$O$10:$O$90,0)</f>
        <v>89</v>
      </c>
      <c r="AD13" s="629">
        <f>_xlfn.XLOOKUP($E13,'Løp 4'!$E$10:$E$90,'Løp 4'!$L$10:$L$90,0)</f>
        <v>1.1362721417069245E-2</v>
      </c>
      <c r="AE13" s="628">
        <f>_xlfn.XLOOKUP($E13,'Løp 5'!$E$10:$E$90,'Løp 5'!$M$10:$M$90,0)</f>
        <v>0</v>
      </c>
      <c r="AF13" s="629">
        <f>_xlfn.XLOOKUP($E13,'Løp 5'!$E$10:$E$90,'Løp 5'!$O$10:$O$90,0)</f>
        <v>0</v>
      </c>
      <c r="AG13" s="629">
        <f>_xlfn.XLOOKUP($E13,'Løp 5'!$E$10:$E$90,'Løp 5'!$L$10:$L$90,0)</f>
        <v>0</v>
      </c>
      <c r="AH13" s="628">
        <f>_xlfn.XLOOKUP($E13,'Løp 6'!$E$10:$E$90,'Løp 6'!$M$10:$M$90,0)</f>
        <v>0</v>
      </c>
      <c r="AI13" s="629">
        <f>_xlfn.XLOOKUP($E13,'Løp 6'!$E$10:$E$90,'Løp 6'!$O$10:$O$90,0)</f>
        <v>0</v>
      </c>
      <c r="AJ13" s="629">
        <f>_xlfn.XLOOKUP($E13,'Løp 6'!$E$10:$E$90,'Løp 6'!$L$10:$L$90,0)</f>
        <v>0</v>
      </c>
      <c r="AK13" s="628">
        <f>_xlfn.XLOOKUP($E13,'Løp 7'!$E$10:$E$90,'Løp 7'!$M$10:$M$90,0)</f>
        <v>0</v>
      </c>
      <c r="AL13" s="629">
        <f>_xlfn.XLOOKUP($E13,'Løp 7'!$E$10:$E$90,'Løp 7'!$O$10:$O$90,0)</f>
        <v>0</v>
      </c>
      <c r="AM13" s="629">
        <f>_xlfn.XLOOKUP($E13,'Løp 7'!$E$10:$E$90,'Løp 7'!$L$10:$L$90,0)</f>
        <v>0</v>
      </c>
      <c r="AN13" s="628">
        <f>_xlfn.XLOOKUP($E13,'Løp 8'!$E$10:$E$91,'Løp 8'!$M$10:$M$91,0)</f>
        <v>75</v>
      </c>
      <c r="AO13" s="629">
        <f>_xlfn.XLOOKUP($E13,'Løp 8'!$E$10:$E$91,'Løp 8'!$O$10:$O$91,0)</f>
        <v>85</v>
      </c>
      <c r="AP13" s="629">
        <f>_xlfn.XLOOKUP($E13,'Løp 8'!$E$10:$E$91,'Løp 8'!$L$10:$L$91,0)</f>
        <v>1.1427469135802469E-2</v>
      </c>
      <c r="AQ13" s="628">
        <f>_xlfn.XLOOKUP($E13,'Løp 9'!$E$10:$E$91,'Løp 9'!$M$10:$M$91,0)</f>
        <v>83</v>
      </c>
      <c r="AR13" s="629">
        <f>_xlfn.XLOOKUP($E13,'Løp 9'!$E$10:$E$91,'Løp 9'!$O$10:$O$91,0)</f>
        <v>100</v>
      </c>
      <c r="AS13" s="629">
        <f>_xlfn.XLOOKUP($E13,'Løp 9'!$E$10:$E$91,'Løp 9'!$L$10:$L$91,0)</f>
        <v>8.2438973063973069E-3</v>
      </c>
      <c r="AT13" s="628">
        <f>_xlfn.XLOOKUP($E13,'Løp 10'!$E$10:$E$91,'Løp 10'!$M$10:$M$91,0)</f>
        <v>74</v>
      </c>
      <c r="AU13" s="629">
        <f>_xlfn.XLOOKUP($E13,'Løp 10'!$E$10:$E$91,'Løp 10'!$O$10:$O$91,0)</f>
        <v>100</v>
      </c>
      <c r="AV13" s="629">
        <f>_xlfn.XLOOKUP($E13,'Løp 10'!$E$10:$E$91,'Løp 10'!$L$10:$L$91,0)</f>
        <v>1.0062210648148148E-2</v>
      </c>
      <c r="AW13" s="628">
        <f>_xlfn.XLOOKUP($E13,'Løp 11'!$E$10:$E$91,'Løp 11'!$M$10:$M$91,0)</f>
        <v>73</v>
      </c>
      <c r="AX13" s="629">
        <f>_xlfn.XLOOKUP($E13,'Løp 11'!$E$10:$E$91,'Løp 11'!$O$10:$O$91,0)</f>
        <v>100</v>
      </c>
      <c r="AY13" s="629">
        <f>_xlfn.XLOOKUP($E13,'Løp 11'!$E$10:$E$91,'Løp 11'!$L$10:$L$91,0)</f>
        <v>1.0011574074074072E-2</v>
      </c>
      <c r="AZ13" s="628">
        <f>_xlfn.XLOOKUP($E13,'Løp 12'!$E$10:$E$91,'Løp 12'!$M$10:$M$91,0)</f>
        <v>69</v>
      </c>
      <c r="BA13" s="629">
        <f>_xlfn.XLOOKUP($E13,'Løp 12'!$E$10:$E$91,'Løp 12'!$O$10:$O$91,0)</f>
        <v>100</v>
      </c>
      <c r="BB13" s="629">
        <f>_xlfn.XLOOKUP($E13,'Løp 12'!$E$10:$E$91,'Løp 12'!$L$10:$L$91,0)</f>
        <v>8.0504115226337457E-3</v>
      </c>
      <c r="BC13" s="628">
        <f>_xlfn.XLOOKUP($E13,'Løp 13'!$E$10:$E$91,'Løp 13'!$M$10:$M$91,0)</f>
        <v>50</v>
      </c>
      <c r="BD13" s="629">
        <f>_xlfn.XLOOKUP($E13,'Løp 13'!$E$10:$E$91,'Løp 13'!$O$10:$O$91,0)</f>
        <v>50</v>
      </c>
      <c r="BE13" s="629" t="str">
        <f>_xlfn.XLOOKUP($E13,'Løp 13'!$E$10:$E$91,'Løp 13'!$L$10:$L$91,0)</f>
        <v>Brutt</v>
      </c>
      <c r="BF13" s="628">
        <f>_xlfn.XLOOKUP($E13,'Løp 14'!$E$10:$E$91,'Løp 14'!$M$10:$M$91,0)</f>
        <v>73</v>
      </c>
      <c r="BG13" s="629">
        <f>_xlfn.XLOOKUP($E13,'Løp 14'!$E$10:$E$91,'Løp 14'!$O$10:$O$91,0)</f>
        <v>100</v>
      </c>
      <c r="BH13" s="629">
        <f>_xlfn.XLOOKUP($E13,'Løp 14'!$E$10:$E$91,'Løp 14'!$L$10:$L$91,0)</f>
        <v>8.6458333333333335E-3</v>
      </c>
      <c r="BI13" s="628">
        <f>_xlfn.XLOOKUP($E13,'Løp 15'!$E$10:$E$91,'Løp 15'!$M$10:$M$91,0)</f>
        <v>50</v>
      </c>
      <c r="BJ13" s="629">
        <f>_xlfn.XLOOKUP($E13,'Løp 15'!$E$10:$E$91,'Løp 15'!$O$10:$O$91,0)</f>
        <v>50</v>
      </c>
      <c r="BK13" s="629" t="str">
        <f>_xlfn.XLOOKUP($E13,'Løp 15'!$E$10:$E$91,'Løp 15'!$L$10:$L$91,0)</f>
        <v>Brutt</v>
      </c>
      <c r="BL13" s="628">
        <f>_xlfn.XLOOKUP($E13,'Løp 16'!$E$10:$E$91,'Løp 16'!$M$10:$M$91,0)</f>
        <v>61</v>
      </c>
      <c r="BM13" s="629">
        <f>_xlfn.XLOOKUP($E13,'Løp 16'!$E$10:$E$91,'Løp 16'!$O$10:$O$91,0)</f>
        <v>87</v>
      </c>
      <c r="BN13" s="629">
        <f>_xlfn.XLOOKUP($E13,'Løp 16'!$E$10:$E$91,'Løp 16'!$L$10:$L$91,0)</f>
        <v>1.1257045088566829E-2</v>
      </c>
      <c r="BO13" s="628">
        <f>_xlfn.XLOOKUP($E13,'Løp 17'!$E$10:$E$91,'Løp 17'!$M$10:$M$91,0)</f>
        <v>53</v>
      </c>
      <c r="BP13" s="629">
        <f>_xlfn.XLOOKUP($E13,'Løp 17'!$E$10:$E$91,'Løp 17'!$O$10:$O$91,0)</f>
        <v>74</v>
      </c>
      <c r="BQ13" s="629">
        <f>_xlfn.XLOOKUP($E13,'Løp 17'!$E$10:$E$91,'Løp 17'!$L$10:$L$91,0)</f>
        <v>1.2091861598440546E-2</v>
      </c>
      <c r="BR13" s="628">
        <f>_xlfn.XLOOKUP($E13,'Løp 18'!$E$10:$E$91,'Løp 18'!$M$10:$M$91,0)</f>
        <v>76</v>
      </c>
      <c r="BS13" s="629">
        <f>_xlfn.XLOOKUP($E13,'Løp 18'!$E$10:$E$91,'Løp 18'!$O$10:$O$91,0)</f>
        <v>100</v>
      </c>
      <c r="BT13" s="629">
        <f>_xlfn.XLOOKUP($E13,'Løp 18'!$E$10:$E$91,'Løp 18'!$L$10:$L$91,0)</f>
        <v>9.432870370370371E-3</v>
      </c>
      <c r="BU13" s="628">
        <f>_xlfn.XLOOKUP($E13,'Løp 19'!$E$10:$E$91,'Løp 19'!$M$10:$M$91,0)</f>
        <v>50</v>
      </c>
      <c r="BV13" s="629">
        <f>_xlfn.XLOOKUP($E13,'Løp 19'!$E$10:$E$91,'Løp 19'!$O$10:$O$91,0)</f>
        <v>50</v>
      </c>
      <c r="BW13" s="629" t="str">
        <f>_xlfn.XLOOKUP($E13,'Løp 19'!$E$10:$E$91,'Løp 19'!$L$10:$L$91,0)</f>
        <v>Brutt</v>
      </c>
      <c r="BX13" s="628">
        <f>_xlfn.XLOOKUP($E13,'Løp 20'!$E$10:$E$92,'Løp 20'!$M$10:$M$92,0)</f>
        <v>65</v>
      </c>
      <c r="BY13" s="629">
        <f>_xlfn.XLOOKUP($E13,'Løp 20'!$E$10:$E$92,'Løp 20'!$O$10:$O$92,0)</f>
        <v>88</v>
      </c>
      <c r="BZ13" s="629">
        <f>_xlfn.XLOOKUP($E13,'Løp 20'!$E$10:$E$92,'Løp 20'!$L$10:$L$92,0)</f>
        <v>1.1849647266313932E-2</v>
      </c>
      <c r="CA13" s="628">
        <f>_xlfn.XLOOKUP($E13,'Løp 21'!$E$10:$E$93,'Løp 21'!$M$10:$M$93,0)</f>
        <v>65</v>
      </c>
      <c r="CB13" s="629">
        <f>_xlfn.XLOOKUP($E13,'Løp 21'!$E$10:$E$93,'Løp 21'!$O$10:$O$93,0)</f>
        <v>91</v>
      </c>
      <c r="CC13" s="629">
        <f>_xlfn.XLOOKUP($E13,'Løp 21'!$E$10:$E$93,'Løp 21'!$L$10:$L$93,0)</f>
        <v>9.3095813204508871E-3</v>
      </c>
      <c r="CD13" s="628">
        <f>_xlfn.XLOOKUP($E13,'Løp 22'!$E$10:$E$93,'Løp 22'!$M$10:$M$93,0)</f>
        <v>62</v>
      </c>
      <c r="CE13" s="629">
        <f>_xlfn.XLOOKUP($E13,'Løp 22'!$E$10:$E$93,'Løp 22'!$O$10:$O$93,0)</f>
        <v>85</v>
      </c>
      <c r="CF13" s="629">
        <f>_xlfn.XLOOKUP($E13,'Løp 22'!$E$10:$E$93,'Løp 22'!$L$10:$L$93,0)</f>
        <v>1.1304012345679012E-2</v>
      </c>
      <c r="CG13" s="628">
        <f>_xlfn.XLOOKUP($E13,'Løp 23'!$E$10:$E$93,'Løp 23'!$M$10:$M$93,0)</f>
        <v>100</v>
      </c>
      <c r="CH13" s="629">
        <f>_xlfn.XLOOKUP($E13,'Løp 23'!$E$10:$E$93,'Løp 23'!$O$10:$O$93,0)</f>
        <v>100</v>
      </c>
      <c r="CI13" s="629" t="str">
        <f>_xlfn.XLOOKUP($E13,'Løp 23'!$E$10:$E$93,'Løp 23'!$L$10:$L$93,0)</f>
        <v>Løype</v>
      </c>
      <c r="CJ13" s="628">
        <f>_xlfn.XLOOKUP($E13,'Løp 24'!$E$10:$E$93,'Løp 24'!$M$10:$M$93,0)</f>
        <v>67</v>
      </c>
      <c r="CK13" s="629">
        <f>_xlfn.XLOOKUP($E13,'Løp 24'!$E$10:$E$93,'Løp 24'!$O$10:$O$93,0)</f>
        <v>78</v>
      </c>
      <c r="CL13" s="629">
        <f>_xlfn.XLOOKUP($E13,'Løp 24'!$E$10:$E$93,'Løp 24'!$L$10:$L$93,0)</f>
        <v>7.9650673400673399E-3</v>
      </c>
      <c r="CM13" s="628">
        <f>_xlfn.XLOOKUP($E13,'Løp 25'!$E$10:$E$94,'Løp 25'!$M$10:$M$94,0)</f>
        <v>53</v>
      </c>
      <c r="CN13" s="629">
        <f>_xlfn.XLOOKUP($E13,'Løp 25'!$E$10:$E$94,'Løp 25'!$O$10:$O$94,0)</f>
        <v>73</v>
      </c>
      <c r="CO13" s="629">
        <f>_xlfn.XLOOKUP($E13,'Løp 25'!$E$10:$E$94,'Løp 25'!$L$10:$L$94,0)</f>
        <v>1.362525720164609E-2</v>
      </c>
      <c r="CP13" s="628">
        <f>_xlfn.XLOOKUP($E13,'Løp 26'!$E$10:$E$94,'Løp 26'!$M$10:$M$94,0)</f>
        <v>70</v>
      </c>
      <c r="CQ13" s="629">
        <f>_xlfn.XLOOKUP($E13,'Løp 26'!$E$10:$E$94,'Løp 26'!$O$10:$O$94,0)</f>
        <v>100</v>
      </c>
      <c r="CR13" s="629">
        <f>_xlfn.XLOOKUP($E13,'Løp 26'!$E$10:$E$94,'Løp 26'!$L$10:$L$94,0)</f>
        <v>1.0176282051282052E-2</v>
      </c>
      <c r="CS13" s="628">
        <f>_xlfn.XLOOKUP($E13,'Løp 27'!$E$10:$E$94,'Løp 27'!$M$10:$M$94,0)</f>
        <v>64</v>
      </c>
      <c r="CT13" s="629">
        <f>_xlfn.XLOOKUP($E13,'Løp 27'!$E$10:$E$94,'Løp 27'!$O$10:$O$94,0)</f>
        <v>92</v>
      </c>
      <c r="CU13" s="629">
        <f>_xlfn.XLOOKUP($E13,'Løp 27'!$E$10:$E$94,'Løp 27'!$L$10:$L$94,0)</f>
        <v>1.063528806584362E-2</v>
      </c>
      <c r="CV13" s="628">
        <f>_xlfn.XLOOKUP($E13,'Løp 28'!$E$10:$E$95,'Løp 28'!$M$10:$M$95,0)</f>
        <v>50</v>
      </c>
      <c r="CW13" s="629">
        <f>_xlfn.XLOOKUP($E13,'Løp 28'!$E$10:$E$95,'Løp 28'!$O$10:$O$95,0)</f>
        <v>74</v>
      </c>
      <c r="CX13" s="629">
        <f>_xlfn.XLOOKUP($E13,'Løp 28'!$E$10:$E$95,'Løp 28'!$L$10:$L$95,0)</f>
        <v>1.3327546296296296E-2</v>
      </c>
      <c r="CY13" s="628">
        <f>_xlfn.XLOOKUP($E13,'Løp 29'!$E$10:$E$95,'Løp 29'!$M$10:$M$95,0)</f>
        <v>68</v>
      </c>
      <c r="CZ13" s="629">
        <f>_xlfn.XLOOKUP($E13,'Løp 29'!$E$10:$E$95,'Løp 29'!$O$10:$O$95,0)</f>
        <v>95</v>
      </c>
      <c r="DA13" s="629">
        <f>_xlfn.XLOOKUP($E13,'Løp 29'!$E$10:$E$95,'Løp 29'!$L$10:$L$95,0)</f>
        <v>1.0655381944444445E-2</v>
      </c>
    </row>
    <row r="14" spans="2:105" ht="24" customHeight="1" thickBot="1" x14ac:dyDescent="0.3">
      <c r="B14" s="627">
        <f t="shared" si="0"/>
        <v>5</v>
      </c>
      <c r="C14" s="119" t="s">
        <v>88</v>
      </c>
      <c r="D14" s="620" t="s">
        <v>89</v>
      </c>
      <c r="E14" s="616" t="str">
        <f>_xlfn.CONCAT(C14:D14)</f>
        <v>EdgarFuruholt</v>
      </c>
      <c r="F14" s="610"/>
      <c r="G14" s="653">
        <f>COUNTIF(S14:DA14,"&gt;2")/2</f>
        <v>24</v>
      </c>
      <c r="H14" s="852">
        <f>COUNTIF(S14:DA14,"=Løype")+COUNTIF(S14:DA14,"Arr")</f>
        <v>2</v>
      </c>
      <c r="I14" s="610"/>
      <c r="J14" s="632">
        <f>S14+V14+Y14+AB14+AE14+AH14+AK14+AN14+AQ14+AT14+AW14+AZ14+BC14+BF14+BI14+BL14+BO14+BR14+BU14+BX14+CA14+CD14+CG14+CJ14+CM14+CP14+CS14+CV14+CY14</f>
        <v>1870</v>
      </c>
      <c r="K14" s="633">
        <f>T14+W14+Z14+AC14+AF14+AI14+AL14+AO14+AR14+AU14+AX14+BA14+BD14+BG14+BJ14+BM14+BP14+BS14+BV14+BY14+CB14+CE14+CH14+CK14+CN14+CQ14+CT14+CW14+CZ14</f>
        <v>2062</v>
      </c>
      <c r="L14" s="613"/>
      <c r="M14" s="658">
        <f>IF($G14&gt;0,J14/G14,0)</f>
        <v>77.916666666666671</v>
      </c>
      <c r="N14" s="659">
        <f>IF($G14&gt;0,K14/$G14,0)</f>
        <v>85.916666666666671</v>
      </c>
      <c r="O14" s="862"/>
      <c r="P14" s="874">
        <f>IF(AND($G14&gt;$Q$3-1,$G14-$H14&gt;0),M14,0)</f>
        <v>77.916666666666671</v>
      </c>
      <c r="Q14" s="875">
        <f>IF(AND($G14&gt;$Q$3-1,$G14-$H14&gt;0),N14,0)</f>
        <v>85.916666666666671</v>
      </c>
      <c r="R14" s="613"/>
      <c r="S14" s="628">
        <f>_xlfn.XLOOKUP($E14,'Løp 1'!$E$10:$E$90,'Løp 1'!$M$10:$M$90,0)</f>
        <v>94</v>
      </c>
      <c r="T14" s="629">
        <f>_xlfn.XLOOKUP($E14,'Løp 1'!$E$10:$E$90,'Løp 1'!$O$10:$O$90,0)</f>
        <v>94</v>
      </c>
      <c r="U14" s="629" t="str">
        <f>_xlfn.XLOOKUP($E14,'Løp 1'!$E$10:$E$90,'Løp 1'!$L$10:$L$90,0)</f>
        <v>Arr</v>
      </c>
      <c r="V14" s="628">
        <f>_xlfn.XLOOKUP($E14,'Løp 2'!$E$10:$E$90,'Løp 2'!$M$10:$M$90,0)</f>
        <v>72</v>
      </c>
      <c r="W14" s="629">
        <f>_xlfn.XLOOKUP($E14,'Løp 2'!$E$10:$E$90,'Løp 2'!$O$10:$O$90,0)</f>
        <v>68</v>
      </c>
      <c r="X14" s="629">
        <f>_xlfn.XLOOKUP($E14,'Løp 2'!$E$10:$E$90,'Løp 2'!$L$10:$L$90,0)</f>
        <v>1.2417328042328042E-2</v>
      </c>
      <c r="Y14" s="628">
        <f>_xlfn.XLOOKUP($E14,'Løp 3'!$E$10:$E$90,'Løp 3'!$M$10:$M$90,0)</f>
        <v>0</v>
      </c>
      <c r="Z14" s="629">
        <f>_xlfn.XLOOKUP($E14,'Løp 3'!$E$10:$E$90,'Løp 3'!$O$10:$O$90,0)</f>
        <v>0</v>
      </c>
      <c r="AA14" s="629">
        <f>_xlfn.XLOOKUP($E14,'Løp 3'!$E$10:$E$90,'Løp 3'!$L$10:$L$90,0)</f>
        <v>0</v>
      </c>
      <c r="AB14" s="628">
        <f>_xlfn.XLOOKUP($E14,'Løp 4'!$E$10:$E$90,'Løp 4'!$M$10:$M$90,0)</f>
        <v>75</v>
      </c>
      <c r="AC14" s="629">
        <f>_xlfn.XLOOKUP($E14,'Løp 4'!$E$10:$E$90,'Løp 4'!$O$10:$O$90,0)</f>
        <v>90</v>
      </c>
      <c r="AD14" s="629">
        <f>_xlfn.XLOOKUP($E14,'Løp 4'!$E$10:$E$90,'Løp 4'!$L$10:$L$90,0)</f>
        <v>9.2245370370370363E-3</v>
      </c>
      <c r="AE14" s="628">
        <f>_xlfn.XLOOKUP($E14,'Løp 5'!$E$10:$E$90,'Løp 5'!$M$10:$M$90,0)</f>
        <v>80</v>
      </c>
      <c r="AF14" s="629">
        <f>_xlfn.XLOOKUP($E14,'Løp 5'!$E$10:$E$90,'Løp 5'!$O$10:$O$90,0)</f>
        <v>86</v>
      </c>
      <c r="AG14" s="629">
        <f>_xlfn.XLOOKUP($E14,'Løp 5'!$E$10:$E$90,'Løp 5'!$L$10:$L$90,0)</f>
        <v>9.0749314128943746E-3</v>
      </c>
      <c r="AH14" s="628">
        <f>_xlfn.XLOOKUP($E14,'Løp 6'!$E$10:$E$90,'Løp 6'!$M$10:$M$90,0)</f>
        <v>82</v>
      </c>
      <c r="AI14" s="629">
        <f>_xlfn.XLOOKUP($E14,'Løp 6'!$E$10:$E$90,'Løp 6'!$O$10:$O$90,0)</f>
        <v>92</v>
      </c>
      <c r="AJ14" s="629">
        <f>_xlfn.XLOOKUP($E14,'Løp 6'!$E$10:$E$90,'Løp 6'!$L$10:$L$90,0)</f>
        <v>9.5910493827160489E-3</v>
      </c>
      <c r="AK14" s="628">
        <f>_xlfn.XLOOKUP($E14,'Løp 7'!$E$10:$E$90,'Løp 7'!$M$10:$M$90,0)</f>
        <v>0</v>
      </c>
      <c r="AL14" s="629">
        <f>_xlfn.XLOOKUP($E14,'Løp 7'!$E$10:$E$90,'Løp 7'!$O$10:$O$90,0)</f>
        <v>0</v>
      </c>
      <c r="AM14" s="629">
        <f>_xlfn.XLOOKUP($E14,'Løp 7'!$E$10:$E$90,'Løp 7'!$L$10:$L$90,0)</f>
        <v>0</v>
      </c>
      <c r="AN14" s="628">
        <f>_xlfn.XLOOKUP($E14,'Løp 8'!$E$10:$E$91,'Løp 8'!$M$10:$M$91,0)</f>
        <v>0</v>
      </c>
      <c r="AO14" s="629">
        <f>_xlfn.XLOOKUP($E14,'Løp 8'!$E$10:$E$91,'Løp 8'!$O$10:$O$91,0)</f>
        <v>0</v>
      </c>
      <c r="AP14" s="629">
        <f>_xlfn.XLOOKUP($E14,'Løp 8'!$E$10:$E$91,'Løp 8'!$L$10:$L$91,0)</f>
        <v>0</v>
      </c>
      <c r="AQ14" s="628">
        <f>_xlfn.XLOOKUP($E14,'Løp 9'!$E$10:$E$91,'Løp 9'!$M$10:$M$91,0)</f>
        <v>0</v>
      </c>
      <c r="AR14" s="629">
        <f>_xlfn.XLOOKUP($E14,'Løp 9'!$E$10:$E$91,'Løp 9'!$O$10:$O$91,0)</f>
        <v>0</v>
      </c>
      <c r="AS14" s="629">
        <f>_xlfn.XLOOKUP($E14,'Løp 9'!$E$10:$E$91,'Løp 9'!$L$10:$L$91,0)</f>
        <v>0</v>
      </c>
      <c r="AT14" s="628">
        <f>_xlfn.XLOOKUP($E14,'Løp 10'!$E$10:$E$91,'Løp 10'!$M$10:$M$91,0)</f>
        <v>0</v>
      </c>
      <c r="AU14" s="629">
        <f>_xlfn.XLOOKUP($E14,'Løp 10'!$E$10:$E$91,'Løp 10'!$O$10:$O$91,0)</f>
        <v>0</v>
      </c>
      <c r="AV14" s="629">
        <f>_xlfn.XLOOKUP($E14,'Løp 10'!$E$10:$E$91,'Løp 10'!$L$10:$L$91,0)</f>
        <v>0</v>
      </c>
      <c r="AW14" s="628">
        <f>_xlfn.XLOOKUP($E14,'Løp 11'!$E$10:$E$91,'Løp 11'!$M$10:$M$91,0)</f>
        <v>76</v>
      </c>
      <c r="AX14" s="629">
        <f>_xlfn.XLOOKUP($E14,'Løp 11'!$E$10:$E$91,'Løp 11'!$O$10:$O$91,0)</f>
        <v>85</v>
      </c>
      <c r="AY14" s="629">
        <f>_xlfn.XLOOKUP($E14,'Løp 11'!$E$10:$E$91,'Løp 11'!$L$10:$L$91,0)</f>
        <v>9.6354166666666671E-3</v>
      </c>
      <c r="AZ14" s="628">
        <f>_xlfn.XLOOKUP($E14,'Løp 12'!$E$10:$E$91,'Løp 12'!$M$10:$M$91,0)</f>
        <v>75</v>
      </c>
      <c r="BA14" s="629">
        <f>_xlfn.XLOOKUP($E14,'Løp 12'!$E$10:$E$91,'Løp 12'!$O$10:$O$91,0)</f>
        <v>88</v>
      </c>
      <c r="BB14" s="629">
        <f>_xlfn.XLOOKUP($E14,'Løp 12'!$E$10:$E$91,'Løp 12'!$L$10:$L$91,0)</f>
        <v>7.4239417989417997E-3</v>
      </c>
      <c r="BC14" s="628">
        <f>_xlfn.XLOOKUP($E14,'Løp 13'!$E$10:$E$91,'Løp 13'!$M$10:$M$91,0)</f>
        <v>70</v>
      </c>
      <c r="BD14" s="629">
        <f>_xlfn.XLOOKUP($E14,'Løp 13'!$E$10:$E$91,'Løp 13'!$O$10:$O$91,0)</f>
        <v>91</v>
      </c>
      <c r="BE14" s="629">
        <f>_xlfn.XLOOKUP($E14,'Løp 13'!$E$10:$E$91,'Løp 13'!$L$10:$L$91,0)</f>
        <v>7.7705938697318015E-3</v>
      </c>
      <c r="BF14" s="628">
        <f>_xlfn.XLOOKUP($E14,'Løp 14'!$E$10:$E$91,'Løp 14'!$M$10:$M$91,0)</f>
        <v>68</v>
      </c>
      <c r="BG14" s="629">
        <f>_xlfn.XLOOKUP($E14,'Løp 14'!$E$10:$E$91,'Løp 14'!$O$10:$O$91,0)</f>
        <v>76</v>
      </c>
      <c r="BH14" s="629">
        <f>_xlfn.XLOOKUP($E14,'Løp 14'!$E$10:$E$91,'Løp 14'!$L$10:$L$91,0)</f>
        <v>9.2375578703703699E-3</v>
      </c>
      <c r="BI14" s="628">
        <f>_xlfn.XLOOKUP($E14,'Løp 15'!$E$10:$E$91,'Løp 15'!$M$10:$M$91,0)</f>
        <v>80</v>
      </c>
      <c r="BJ14" s="629">
        <f>_xlfn.XLOOKUP($E14,'Løp 15'!$E$10:$E$91,'Løp 15'!$O$10:$O$91,0)</f>
        <v>80</v>
      </c>
      <c r="BK14" s="629">
        <f>_xlfn.XLOOKUP($E14,'Løp 15'!$E$10:$E$91,'Løp 15'!$L$10:$L$91,0)</f>
        <v>1.0812991021324356E-2</v>
      </c>
      <c r="BL14" s="628">
        <f>_xlfn.XLOOKUP($E14,'Løp 16'!$E$10:$E$91,'Løp 16'!$M$10:$M$91,0)</f>
        <v>84</v>
      </c>
      <c r="BM14" s="629">
        <f>_xlfn.XLOOKUP($E14,'Løp 16'!$E$10:$E$91,'Løp 16'!$O$10:$O$91,0)</f>
        <v>97</v>
      </c>
      <c r="BN14" s="629">
        <f>_xlfn.XLOOKUP($E14,'Løp 16'!$E$10:$E$91,'Løp 16'!$L$10:$L$91,0)</f>
        <v>8.1456456456456446E-3</v>
      </c>
      <c r="BO14" s="628">
        <f>_xlfn.XLOOKUP($E14,'Løp 17'!$E$10:$E$91,'Løp 17'!$M$10:$M$91,0)</f>
        <v>83</v>
      </c>
      <c r="BP14" s="629">
        <f>_xlfn.XLOOKUP($E14,'Løp 17'!$E$10:$E$91,'Løp 17'!$O$10:$O$91,0)</f>
        <v>95</v>
      </c>
      <c r="BQ14" s="629">
        <f>_xlfn.XLOOKUP($E14,'Løp 17'!$E$10:$E$91,'Løp 17'!$L$10:$L$91,0)</f>
        <v>7.6748084291187743E-3</v>
      </c>
      <c r="BR14" s="628">
        <f>_xlfn.XLOOKUP($E14,'Løp 18'!$E$10:$E$91,'Løp 18'!$M$10:$M$91,0)</f>
        <v>100</v>
      </c>
      <c r="BS14" s="629">
        <f>_xlfn.XLOOKUP($E14,'Løp 18'!$E$10:$E$91,'Løp 18'!$O$10:$O$91,0)</f>
        <v>100</v>
      </c>
      <c r="BT14" s="629" t="str">
        <f>_xlfn.XLOOKUP($E14,'Løp 18'!$E$10:$E$91,'Løp 18'!$L$10:$L$91,0)</f>
        <v>Løype</v>
      </c>
      <c r="BU14" s="628">
        <f>_xlfn.XLOOKUP($E14,'Løp 19'!$E$10:$E$91,'Løp 19'!$M$10:$M$91,0)</f>
        <v>81</v>
      </c>
      <c r="BV14" s="629">
        <f>_xlfn.XLOOKUP($E14,'Løp 19'!$E$10:$E$91,'Løp 19'!$O$10:$O$91,0)</f>
        <v>87</v>
      </c>
      <c r="BW14" s="629">
        <f>_xlfn.XLOOKUP($E14,'Løp 19'!$E$10:$E$91,'Løp 19'!$L$10:$L$91,0)</f>
        <v>1.0108024691358023E-2</v>
      </c>
      <c r="BX14" s="628">
        <f>_xlfn.XLOOKUP($E14,'Løp 20'!$E$10:$E$92,'Løp 20'!$M$10:$M$92,0)</f>
        <v>83</v>
      </c>
      <c r="BY14" s="629">
        <f>_xlfn.XLOOKUP($E14,'Løp 20'!$E$10:$E$92,'Løp 20'!$O$10:$O$92,0)</f>
        <v>90</v>
      </c>
      <c r="BZ14" s="629">
        <f>_xlfn.XLOOKUP($E14,'Løp 20'!$E$10:$E$92,'Løp 20'!$L$10:$L$92,0)</f>
        <v>9.3551587301587292E-3</v>
      </c>
      <c r="CA14" s="628">
        <f>_xlfn.XLOOKUP($E14,'Løp 21'!$E$10:$E$93,'Løp 21'!$M$10:$M$93,0)</f>
        <v>80</v>
      </c>
      <c r="CB14" s="629">
        <f>_xlfn.XLOOKUP($E14,'Løp 21'!$E$10:$E$93,'Løp 21'!$O$10:$O$93,0)</f>
        <v>91</v>
      </c>
      <c r="CC14" s="629">
        <f>_xlfn.XLOOKUP($E14,'Løp 21'!$E$10:$E$93,'Løp 21'!$L$10:$L$93,0)</f>
        <v>7.6164874551971325E-3</v>
      </c>
      <c r="CD14" s="628">
        <f>_xlfn.XLOOKUP($E14,'Løp 22'!$E$10:$E$93,'Løp 22'!$M$10:$M$93,0)</f>
        <v>83</v>
      </c>
      <c r="CE14" s="629">
        <f>_xlfn.XLOOKUP($E14,'Løp 22'!$E$10:$E$93,'Løp 22'!$O$10:$O$93,0)</f>
        <v>92</v>
      </c>
      <c r="CF14" s="629">
        <f>_xlfn.XLOOKUP($E14,'Løp 22'!$E$10:$E$93,'Løp 22'!$L$10:$L$93,0)</f>
        <v>8.4545855379188715E-3</v>
      </c>
      <c r="CG14" s="628">
        <f>_xlfn.XLOOKUP($E14,'Løp 23'!$E$10:$E$93,'Løp 23'!$M$10:$M$93,0)</f>
        <v>73</v>
      </c>
      <c r="CH14" s="629">
        <f>_xlfn.XLOOKUP($E14,'Løp 23'!$E$10:$E$93,'Løp 23'!$O$10:$O$93,0)</f>
        <v>81</v>
      </c>
      <c r="CI14" s="629">
        <f>_xlfn.XLOOKUP($E14,'Løp 23'!$E$10:$E$93,'Løp 23'!$L$10:$L$93,0)</f>
        <v>7.1320242656449546E-3</v>
      </c>
      <c r="CJ14" s="628">
        <f>_xlfn.XLOOKUP($E14,'Løp 24'!$E$10:$E$93,'Løp 24'!$M$10:$M$93,0)</f>
        <v>77</v>
      </c>
      <c r="CK14" s="629">
        <f>_xlfn.XLOOKUP($E14,'Løp 24'!$E$10:$E$93,'Løp 24'!$O$10:$O$93,0)</f>
        <v>73</v>
      </c>
      <c r="CL14" s="629">
        <f>_xlfn.XLOOKUP($E14,'Løp 24'!$E$10:$E$93,'Løp 24'!$L$10:$L$93,0)</f>
        <v>6.8772401433691748E-3</v>
      </c>
      <c r="CM14" s="628">
        <f>_xlfn.XLOOKUP($E14,'Løp 25'!$E$10:$E$94,'Løp 25'!$M$10:$M$94,0)</f>
        <v>70</v>
      </c>
      <c r="CN14" s="629">
        <f>_xlfn.XLOOKUP($E14,'Løp 25'!$E$10:$E$94,'Løp 25'!$O$10:$O$94,0)</f>
        <v>78</v>
      </c>
      <c r="CO14" s="629">
        <f>_xlfn.XLOOKUP($E14,'Løp 25'!$E$10:$E$94,'Løp 25'!$L$10:$L$94,0)</f>
        <v>1.0268775720164609E-2</v>
      </c>
      <c r="CP14" s="628">
        <f>_xlfn.XLOOKUP($E14,'Løp 26'!$E$10:$E$94,'Løp 26'!$M$10:$M$94,0)</f>
        <v>72</v>
      </c>
      <c r="CQ14" s="629">
        <f>_xlfn.XLOOKUP($E14,'Løp 26'!$E$10:$E$94,'Løp 26'!$O$10:$O$94,0)</f>
        <v>83</v>
      </c>
      <c r="CR14" s="629">
        <f>_xlfn.XLOOKUP($E14,'Løp 26'!$E$10:$E$94,'Løp 26'!$L$10:$L$94,0)</f>
        <v>9.8924291938997828E-3</v>
      </c>
      <c r="CS14" s="628">
        <f>_xlfn.XLOOKUP($E14,'Løp 27'!$E$10:$E$94,'Løp 27'!$M$10:$M$94,0)</f>
        <v>68</v>
      </c>
      <c r="CT14" s="629">
        <f>_xlfn.XLOOKUP($E14,'Løp 27'!$E$10:$E$94,'Løp 27'!$O$10:$O$94,0)</f>
        <v>79</v>
      </c>
      <c r="CU14" s="629">
        <f>_xlfn.XLOOKUP($E14,'Løp 27'!$E$10:$E$94,'Løp 27'!$L$10:$L$94,0)</f>
        <v>1.0103737997256515E-2</v>
      </c>
      <c r="CV14" s="628">
        <f>_xlfn.XLOOKUP($E14,'Løp 28'!$E$10:$E$95,'Løp 28'!$M$10:$M$95,0)</f>
        <v>64</v>
      </c>
      <c r="CW14" s="629">
        <f>_xlfn.XLOOKUP($E14,'Løp 28'!$E$10:$E$95,'Løp 28'!$O$10:$O$95,0)</f>
        <v>76</v>
      </c>
      <c r="CX14" s="629">
        <f>_xlfn.XLOOKUP($E14,'Løp 28'!$E$10:$E$95,'Løp 28'!$L$10:$L$95,0)</f>
        <v>1.0431763285024155E-2</v>
      </c>
      <c r="CY14" s="628">
        <f>_xlfn.XLOOKUP($E14,'Løp 29'!$E$10:$E$95,'Løp 29'!$M$10:$M$95,0)</f>
        <v>80</v>
      </c>
      <c r="CZ14" s="629">
        <f>_xlfn.XLOOKUP($E14,'Løp 29'!$E$10:$E$95,'Løp 29'!$O$10:$O$95,0)</f>
        <v>90</v>
      </c>
      <c r="DA14" s="629">
        <f>_xlfn.XLOOKUP($E14,'Løp 29'!$E$10:$E$95,'Løp 29'!$L$10:$L$95,0)</f>
        <v>9.0525793650793659E-3</v>
      </c>
    </row>
    <row r="15" spans="2:105" ht="24" customHeight="1" thickBot="1" x14ac:dyDescent="0.3">
      <c r="B15" s="627">
        <f t="shared" si="0"/>
        <v>6</v>
      </c>
      <c r="C15" s="119" t="s">
        <v>118</v>
      </c>
      <c r="D15" s="620" t="s">
        <v>119</v>
      </c>
      <c r="E15" s="616" t="str">
        <f>_xlfn.CONCAT(C15:D15)</f>
        <v>KnutLillealtern</v>
      </c>
      <c r="F15" s="610"/>
      <c r="G15" s="653">
        <f>COUNTIF(S15:DA15,"&gt;2")/2</f>
        <v>19</v>
      </c>
      <c r="H15" s="852">
        <f>COUNTIF(S15:DA15,"=Løype")+COUNTIF(S15:DA15,"Arr")</f>
        <v>1</v>
      </c>
      <c r="I15" s="610"/>
      <c r="J15" s="632">
        <f>S15+V15+Y15+AB15+AE15+AH15+AK15+AN15+AQ15+AT15+AW15+AZ15+BC15+BF15+BI15+BL15+BO15+BR15+BU15+BX15+CA15+CD15+CG15+CJ15+CM15+CP15+CS15+CV15+CY15</f>
        <v>1546</v>
      </c>
      <c r="K15" s="633">
        <f>T15+W15+Z15+AC15+AF15+AI15+AL15+AO15+AR15+AU15+AX15+BA15+BD15+BG15+BJ15+BM15+BP15+BS15+BV15+BY15+CB15+CE15+CH15+CK15+CN15+CQ15+CT15+CW15+CZ15</f>
        <v>1579</v>
      </c>
      <c r="L15" s="613"/>
      <c r="M15" s="658">
        <f>IF($G15&gt;0,J15/G15,0)</f>
        <v>81.368421052631575</v>
      </c>
      <c r="N15" s="659">
        <f>IF($G15&gt;0,K15/$G15,0)</f>
        <v>83.10526315789474</v>
      </c>
      <c r="O15" s="862"/>
      <c r="P15" s="874">
        <f>IF(AND($G15&gt;$Q$3-1,$G15-$H15&gt;0),M15,0)</f>
        <v>81.368421052631575</v>
      </c>
      <c r="Q15" s="875">
        <f>IF(AND($G15&gt;$Q$3-1,$G15-$H15&gt;0),N15,0)</f>
        <v>83.10526315789474</v>
      </c>
      <c r="R15" s="613"/>
      <c r="S15" s="628">
        <f>_xlfn.XLOOKUP($E15,'Løp 1'!$E$10:$E$90,'Løp 1'!$M$10:$M$90,0)</f>
        <v>91</v>
      </c>
      <c r="T15" s="629">
        <f>_xlfn.XLOOKUP($E15,'Løp 1'!$E$10:$E$90,'Løp 1'!$O$10:$O$90,0)</f>
        <v>99</v>
      </c>
      <c r="U15" s="629">
        <f>_xlfn.XLOOKUP($E15,'Løp 1'!$E$10:$E$90,'Løp 1'!$L$10:$L$90,0)</f>
        <v>8.8362068965517244E-3</v>
      </c>
      <c r="V15" s="628">
        <f>_xlfn.XLOOKUP($E15,'Løp 2'!$E$10:$E$90,'Løp 2'!$M$10:$M$90,0)</f>
        <v>0</v>
      </c>
      <c r="W15" s="629">
        <f>_xlfn.XLOOKUP($E15,'Løp 2'!$E$10:$E$90,'Løp 2'!$O$10:$O$90,0)</f>
        <v>0</v>
      </c>
      <c r="X15" s="629">
        <f>_xlfn.XLOOKUP($E15,'Løp 2'!$E$10:$E$90,'Løp 2'!$L$10:$L$90,0)</f>
        <v>0</v>
      </c>
      <c r="Y15" s="628">
        <f>_xlfn.XLOOKUP($E15,'Løp 3'!$E$10:$E$90,'Løp 3'!$M$10:$M$90,0)</f>
        <v>100</v>
      </c>
      <c r="Z15" s="629">
        <f>_xlfn.XLOOKUP($E15,'Løp 3'!$E$10:$E$90,'Løp 3'!$O$10:$O$90,0)</f>
        <v>100</v>
      </c>
      <c r="AA15" s="629">
        <f>_xlfn.XLOOKUP($E15,'Løp 3'!$E$10:$E$90,'Løp 3'!$L$10:$L$90,0)</f>
        <v>9.0079365079365082E-3</v>
      </c>
      <c r="AB15" s="628">
        <f>_xlfn.XLOOKUP($E15,'Løp 4'!$E$10:$E$90,'Løp 4'!$M$10:$M$90,0)</f>
        <v>83</v>
      </c>
      <c r="AC15" s="629">
        <f>_xlfn.XLOOKUP($E15,'Løp 4'!$E$10:$E$90,'Løp 4'!$O$10:$O$90,0)</f>
        <v>93</v>
      </c>
      <c r="AD15" s="629">
        <f>_xlfn.XLOOKUP($E15,'Løp 4'!$E$10:$E$90,'Løp 4'!$L$10:$L$90,0)</f>
        <v>8.3680555555555557E-3</v>
      </c>
      <c r="AE15" s="628">
        <f>_xlfn.XLOOKUP($E15,'Løp 5'!$E$10:$E$90,'Løp 5'!$M$10:$M$90,0)</f>
        <v>0</v>
      </c>
      <c r="AF15" s="629">
        <f>_xlfn.XLOOKUP($E15,'Løp 5'!$E$10:$E$90,'Løp 5'!$O$10:$O$90,0)</f>
        <v>0</v>
      </c>
      <c r="AG15" s="629">
        <f>_xlfn.XLOOKUP($E15,'Løp 5'!$E$10:$E$90,'Løp 5'!$L$10:$L$90,0)</f>
        <v>0</v>
      </c>
      <c r="AH15" s="628">
        <f>_xlfn.XLOOKUP($E15,'Løp 6'!$E$10:$E$90,'Løp 6'!$M$10:$M$90,0)</f>
        <v>0</v>
      </c>
      <c r="AI15" s="629">
        <f>_xlfn.XLOOKUP($E15,'Løp 6'!$E$10:$E$90,'Løp 6'!$O$10:$O$90,0)</f>
        <v>0</v>
      </c>
      <c r="AJ15" s="629">
        <f>_xlfn.XLOOKUP($E15,'Løp 6'!$E$10:$E$90,'Løp 6'!$L$10:$L$90,0)</f>
        <v>0</v>
      </c>
      <c r="AK15" s="628">
        <f>_xlfn.XLOOKUP($E15,'Løp 7'!$E$10:$E$90,'Løp 7'!$M$10:$M$90,0)</f>
        <v>50</v>
      </c>
      <c r="AL15" s="629">
        <f>_xlfn.XLOOKUP($E15,'Løp 7'!$E$10:$E$90,'Løp 7'!$O$10:$O$90,0)</f>
        <v>50</v>
      </c>
      <c r="AM15" s="629" t="str">
        <f>_xlfn.XLOOKUP($E15,'Løp 7'!$E$10:$E$90,'Løp 7'!$L$10:$L$90,0)</f>
        <v>Brutt</v>
      </c>
      <c r="AN15" s="628">
        <f>_xlfn.XLOOKUP($E15,'Løp 8'!$E$10:$E$91,'Løp 8'!$M$10:$M$91,0)</f>
        <v>80</v>
      </c>
      <c r="AO15" s="629">
        <f>_xlfn.XLOOKUP($E15,'Løp 8'!$E$10:$E$91,'Løp 8'!$O$10:$O$91,0)</f>
        <v>70</v>
      </c>
      <c r="AP15" s="629">
        <f>_xlfn.XLOOKUP($E15,'Løp 8'!$E$10:$E$91,'Løp 8'!$L$10:$L$91,0)</f>
        <v>1.0642887205387206E-2</v>
      </c>
      <c r="AQ15" s="628">
        <f>_xlfn.XLOOKUP($E15,'Løp 9'!$E$10:$E$91,'Løp 9'!$M$10:$M$91,0)</f>
        <v>86</v>
      </c>
      <c r="AR15" s="629">
        <f>_xlfn.XLOOKUP($E15,'Løp 9'!$E$10:$E$91,'Løp 9'!$O$10:$O$91,0)</f>
        <v>80</v>
      </c>
      <c r="AS15" s="629">
        <f>_xlfn.XLOOKUP($E15,'Løp 9'!$E$10:$E$91,'Løp 9'!$L$10:$L$91,0)</f>
        <v>7.8965053763440859E-3</v>
      </c>
      <c r="AT15" s="628">
        <f>_xlfn.XLOOKUP($E15,'Løp 10'!$E$10:$E$91,'Løp 10'!$M$10:$M$91,0)</f>
        <v>100</v>
      </c>
      <c r="AU15" s="629">
        <f>_xlfn.XLOOKUP($E15,'Løp 10'!$E$10:$E$91,'Løp 10'!$O$10:$O$91,0)</f>
        <v>100</v>
      </c>
      <c r="AV15" s="629" t="str">
        <f>_xlfn.XLOOKUP($E15,'Løp 10'!$E$10:$E$91,'Løp 10'!$L$10:$L$91,0)</f>
        <v>Løype</v>
      </c>
      <c r="AW15" s="628">
        <f>_xlfn.XLOOKUP($E15,'Løp 11'!$E$10:$E$91,'Løp 11'!$M$10:$M$91,0)</f>
        <v>82</v>
      </c>
      <c r="AX15" s="629">
        <f>_xlfn.XLOOKUP($E15,'Løp 11'!$E$10:$E$91,'Løp 11'!$O$10:$O$91,0)</f>
        <v>86</v>
      </c>
      <c r="AY15" s="629">
        <f>_xlfn.XLOOKUP($E15,'Løp 11'!$E$10:$E$91,'Løp 11'!$L$10:$L$91,0)</f>
        <v>8.9409722222222217E-3</v>
      </c>
      <c r="AZ15" s="628">
        <f>_xlfn.XLOOKUP($E15,'Løp 12'!$E$10:$E$91,'Løp 12'!$M$10:$M$91,0)</f>
        <v>0</v>
      </c>
      <c r="BA15" s="629">
        <f>_xlfn.XLOOKUP($E15,'Løp 12'!$E$10:$E$91,'Løp 12'!$O$10:$O$91,0)</f>
        <v>0</v>
      </c>
      <c r="BB15" s="629">
        <f>_xlfn.XLOOKUP($E15,'Løp 12'!$E$10:$E$91,'Løp 12'!$L$10:$L$91,0)</f>
        <v>0</v>
      </c>
      <c r="BC15" s="628">
        <f>_xlfn.XLOOKUP($E15,'Løp 13'!$E$10:$E$91,'Løp 13'!$M$10:$M$91,0)</f>
        <v>0</v>
      </c>
      <c r="BD15" s="629">
        <f>_xlfn.XLOOKUP($E15,'Løp 13'!$E$10:$E$91,'Løp 13'!$O$10:$O$91,0)</f>
        <v>0</v>
      </c>
      <c r="BE15" s="629">
        <f>_xlfn.XLOOKUP($E15,'Løp 13'!$E$10:$E$91,'Løp 13'!$L$10:$L$91,0)</f>
        <v>0</v>
      </c>
      <c r="BF15" s="628">
        <f>_xlfn.XLOOKUP($E15,'Løp 14'!$E$10:$E$91,'Løp 14'!$M$10:$M$91,0)</f>
        <v>0</v>
      </c>
      <c r="BG15" s="629">
        <f>_xlfn.XLOOKUP($E15,'Løp 14'!$E$10:$E$91,'Løp 14'!$O$10:$O$91,0)</f>
        <v>0</v>
      </c>
      <c r="BH15" s="629">
        <f>_xlfn.XLOOKUP($E15,'Løp 14'!$E$10:$E$91,'Løp 14'!$L$10:$L$91,0)</f>
        <v>0</v>
      </c>
      <c r="BI15" s="628">
        <f>_xlfn.XLOOKUP($E15,'Løp 15'!$E$10:$E$91,'Løp 15'!$M$10:$M$91,0)</f>
        <v>86</v>
      </c>
      <c r="BJ15" s="629">
        <f>_xlfn.XLOOKUP($E15,'Løp 15'!$E$10:$E$91,'Løp 15'!$O$10:$O$91,0)</f>
        <v>81</v>
      </c>
      <c r="BK15" s="629">
        <f>_xlfn.XLOOKUP($E15,'Løp 15'!$E$10:$E$91,'Løp 15'!$L$10:$L$91,0)</f>
        <v>1.0034371492704827E-2</v>
      </c>
      <c r="BL15" s="628">
        <f>_xlfn.XLOOKUP($E15,'Løp 16'!$E$10:$E$91,'Løp 16'!$M$10:$M$91,0)</f>
        <v>69</v>
      </c>
      <c r="BM15" s="629">
        <f>_xlfn.XLOOKUP($E15,'Løp 16'!$E$10:$E$91,'Løp 16'!$O$10:$O$91,0)</f>
        <v>76</v>
      </c>
      <c r="BN15" s="629">
        <f>_xlfn.XLOOKUP($E15,'Løp 16'!$E$10:$E$91,'Løp 16'!$L$10:$L$91,0)</f>
        <v>9.8567317317317313E-3</v>
      </c>
      <c r="BO15" s="628">
        <f>_xlfn.XLOOKUP($E15,'Løp 17'!$E$10:$E$91,'Løp 17'!$M$10:$M$91,0)</f>
        <v>0</v>
      </c>
      <c r="BP15" s="629">
        <f>_xlfn.XLOOKUP($E15,'Løp 17'!$E$10:$E$91,'Løp 17'!$O$10:$O$91,0)</f>
        <v>0</v>
      </c>
      <c r="BQ15" s="629">
        <f>_xlfn.XLOOKUP($E15,'Løp 17'!$E$10:$E$91,'Løp 17'!$L$10:$L$91,0)</f>
        <v>0</v>
      </c>
      <c r="BR15" s="628">
        <f>_xlfn.XLOOKUP($E15,'Løp 18'!$E$10:$E$91,'Løp 18'!$M$10:$M$91,0)</f>
        <v>81</v>
      </c>
      <c r="BS15" s="629">
        <f>_xlfn.XLOOKUP($E15,'Løp 18'!$E$10:$E$91,'Løp 18'!$O$10:$O$91,0)</f>
        <v>81</v>
      </c>
      <c r="BT15" s="629">
        <f>_xlfn.XLOOKUP($E15,'Løp 18'!$E$10:$E$91,'Løp 18'!$L$10:$L$91,0)</f>
        <v>8.9120370370370378E-3</v>
      </c>
      <c r="BU15" s="628">
        <f>_xlfn.XLOOKUP($E15,'Løp 19'!$E$10:$E$91,'Løp 19'!$M$10:$M$91,0)</f>
        <v>77</v>
      </c>
      <c r="BV15" s="629">
        <f>_xlfn.XLOOKUP($E15,'Løp 19'!$E$10:$E$91,'Løp 19'!$O$10:$O$91,0)</f>
        <v>78</v>
      </c>
      <c r="BW15" s="629">
        <f>_xlfn.XLOOKUP($E15,'Løp 19'!$E$10:$E$91,'Løp 19'!$L$10:$L$91,0)</f>
        <v>1.059670781893004E-2</v>
      </c>
      <c r="BX15" s="628">
        <f>_xlfn.XLOOKUP($E15,'Løp 20'!$E$10:$E$92,'Løp 20'!$M$10:$M$92,0)</f>
        <v>90</v>
      </c>
      <c r="BY15" s="629">
        <f>_xlfn.XLOOKUP($E15,'Løp 20'!$E$10:$E$92,'Løp 20'!$O$10:$O$92,0)</f>
        <v>92</v>
      </c>
      <c r="BZ15" s="629">
        <f>_xlfn.XLOOKUP($E15,'Løp 20'!$E$10:$E$92,'Løp 20'!$L$10:$L$92,0)</f>
        <v>8.6342592592592599E-3</v>
      </c>
      <c r="CA15" s="628">
        <f>_xlfn.XLOOKUP($E15,'Løp 21'!$E$10:$E$93,'Løp 21'!$M$10:$M$93,0)</f>
        <v>83</v>
      </c>
      <c r="CB15" s="629">
        <f>_xlfn.XLOOKUP($E15,'Løp 21'!$E$10:$E$93,'Løp 21'!$O$10:$O$93,0)</f>
        <v>89</v>
      </c>
      <c r="CC15" s="629">
        <f>_xlfn.XLOOKUP($E15,'Løp 21'!$E$10:$E$93,'Løp 21'!$L$10:$L$93,0)</f>
        <v>7.2954002389486261E-3</v>
      </c>
      <c r="CD15" s="628">
        <f>_xlfn.XLOOKUP($E15,'Løp 22'!$E$10:$E$93,'Løp 22'!$M$10:$M$93,0)</f>
        <v>76</v>
      </c>
      <c r="CE15" s="629">
        <f>_xlfn.XLOOKUP($E15,'Løp 22'!$E$10:$E$93,'Løp 22'!$O$10:$O$93,0)</f>
        <v>79</v>
      </c>
      <c r="CF15" s="629">
        <f>_xlfn.XLOOKUP($E15,'Løp 22'!$E$10:$E$93,'Løp 22'!$L$10:$L$93,0)</f>
        <v>9.250356125356126E-3</v>
      </c>
      <c r="CG15" s="628">
        <f>_xlfn.XLOOKUP($E15,'Løp 23'!$E$10:$E$93,'Løp 23'!$M$10:$M$93,0)</f>
        <v>0</v>
      </c>
      <c r="CH15" s="629">
        <f>_xlfn.XLOOKUP($E15,'Løp 23'!$E$10:$E$93,'Løp 23'!$O$10:$O$93,0)</f>
        <v>0</v>
      </c>
      <c r="CI15" s="629">
        <f>_xlfn.XLOOKUP($E15,'Løp 23'!$E$10:$E$93,'Løp 23'!$L$10:$L$93,0)</f>
        <v>0</v>
      </c>
      <c r="CJ15" s="628">
        <f>_xlfn.XLOOKUP($E15,'Løp 24'!$E$10:$E$93,'Løp 24'!$M$10:$M$93,0)</f>
        <v>79</v>
      </c>
      <c r="CK15" s="629">
        <f>_xlfn.XLOOKUP($E15,'Løp 24'!$E$10:$E$93,'Løp 24'!$O$10:$O$93,0)</f>
        <v>70</v>
      </c>
      <c r="CL15" s="629">
        <f>_xlfn.XLOOKUP($E15,'Løp 24'!$E$10:$E$93,'Løp 24'!$L$10:$L$93,0)</f>
        <v>6.742831541218638E-3</v>
      </c>
      <c r="CM15" s="628">
        <f>_xlfn.XLOOKUP($E15,'Løp 25'!$E$10:$E$94,'Løp 25'!$M$10:$M$94,0)</f>
        <v>82</v>
      </c>
      <c r="CN15" s="629">
        <f>_xlfn.XLOOKUP($E15,'Løp 25'!$E$10:$E$94,'Løp 25'!$O$10:$O$94,0)</f>
        <v>87</v>
      </c>
      <c r="CO15" s="629">
        <f>_xlfn.XLOOKUP($E15,'Løp 25'!$E$10:$E$94,'Løp 25'!$L$10:$L$94,0)</f>
        <v>8.7890625E-3</v>
      </c>
      <c r="CP15" s="628">
        <f>_xlfn.XLOOKUP($E15,'Løp 26'!$E$10:$E$94,'Løp 26'!$M$10:$M$94,0)</f>
        <v>0</v>
      </c>
      <c r="CQ15" s="629">
        <f>_xlfn.XLOOKUP($E15,'Løp 26'!$E$10:$E$94,'Løp 26'!$O$10:$O$94,0)</f>
        <v>0</v>
      </c>
      <c r="CR15" s="629">
        <f>_xlfn.XLOOKUP($E15,'Løp 26'!$E$10:$E$94,'Løp 26'!$L$10:$L$94,0)</f>
        <v>0</v>
      </c>
      <c r="CS15" s="628">
        <f>_xlfn.XLOOKUP($E15,'Løp 27'!$E$10:$E$94,'Løp 27'!$M$10:$M$94,0)</f>
        <v>77</v>
      </c>
      <c r="CT15" s="629">
        <f>_xlfn.XLOOKUP($E15,'Løp 27'!$E$10:$E$94,'Løp 27'!$O$10:$O$94,0)</f>
        <v>84</v>
      </c>
      <c r="CU15" s="629">
        <f>_xlfn.XLOOKUP($E15,'Løp 27'!$E$10:$E$94,'Løp 27'!$L$10:$L$94,0)</f>
        <v>8.912037037037036E-3</v>
      </c>
      <c r="CV15" s="628">
        <f>_xlfn.XLOOKUP($E15,'Løp 28'!$E$10:$E$95,'Løp 28'!$M$10:$M$95,0)</f>
        <v>74</v>
      </c>
      <c r="CW15" s="629">
        <f>_xlfn.XLOOKUP($E15,'Løp 28'!$E$10:$E$95,'Løp 28'!$O$10:$O$95,0)</f>
        <v>84</v>
      </c>
      <c r="CX15" s="629">
        <f>_xlfn.XLOOKUP($E15,'Løp 28'!$E$10:$E$95,'Løp 28'!$L$10:$L$95,0)</f>
        <v>8.9724235104669901E-3</v>
      </c>
      <c r="CY15" s="628">
        <f>_xlfn.XLOOKUP($E15,'Løp 29'!$E$10:$E$95,'Løp 29'!$M$10:$M$95,0)</f>
        <v>0</v>
      </c>
      <c r="CZ15" s="629">
        <f>_xlfn.XLOOKUP($E15,'Løp 29'!$E$10:$E$95,'Løp 29'!$O$10:$O$95,0)</f>
        <v>0</v>
      </c>
      <c r="DA15" s="629">
        <f>_xlfn.XLOOKUP($E15,'Løp 29'!$E$10:$E$95,'Løp 29'!$L$10:$L$95,0)</f>
        <v>0</v>
      </c>
    </row>
    <row r="16" spans="2:105" ht="26" thickBot="1" x14ac:dyDescent="0.3">
      <c r="B16" s="627">
        <f t="shared" si="0"/>
        <v>7</v>
      </c>
      <c r="C16" s="119" t="s">
        <v>136</v>
      </c>
      <c r="D16" s="620" t="s">
        <v>137</v>
      </c>
      <c r="E16" s="616" t="str">
        <f>_xlfn.CONCAT(C16:D16)</f>
        <v>HaraldOftedal</v>
      </c>
      <c r="F16" s="610"/>
      <c r="G16" s="653">
        <f>COUNTIF(S16:DA16,"&gt;2")/2</f>
        <v>29</v>
      </c>
      <c r="H16" s="852">
        <f>COUNTIF(S16:DA16,"=Løype")+COUNTIF(S16:DA16,"Arr")</f>
        <v>6</v>
      </c>
      <c r="I16" s="610"/>
      <c r="J16" s="632">
        <f>S16+V16+Y16+AB16+AE16+AH16+AK16+AN16+AQ16+AT16+AW16+AZ16+BC16+BF16+BI16+BL16+BO16+BR16+BU16+BX16+CA16+CD16+CG16+CJ16+CM16+CP16+CS16+CV16+CY16</f>
        <v>2493</v>
      </c>
      <c r="K16" s="633">
        <f>T16+W16+Z16+AC16+AF16+AI16+AL16+AO16+AR16+AU16+AX16+BA16+BD16+BG16+BJ16+BM16+BP16+BS16+BV16+BY16+CB16+CE16+CH16+CK16+CN16+CQ16+CT16+CW16+CZ16</f>
        <v>2376</v>
      </c>
      <c r="L16" s="613"/>
      <c r="M16" s="658">
        <f>IF($G16&gt;0,J16/G16,0)</f>
        <v>85.965517241379317</v>
      </c>
      <c r="N16" s="659">
        <f>IF($G16&gt;0,K16/$G16,0)</f>
        <v>81.931034482758619</v>
      </c>
      <c r="O16" s="862"/>
      <c r="P16" s="874">
        <f>IF(AND($G16&gt;$Q$3-1,$G16-$H16&gt;0),M16,0)</f>
        <v>85.965517241379317</v>
      </c>
      <c r="Q16" s="875">
        <f>IF(AND($G16&gt;$Q$3-1,$G16-$H16&gt;0),N16,0)</f>
        <v>81.931034482758619</v>
      </c>
      <c r="R16" s="613"/>
      <c r="S16" s="628">
        <f>_xlfn.XLOOKUP($E16,'Løp 1'!$E$10:$E$90,'Løp 1'!$M$10:$M$90,0)</f>
        <v>75</v>
      </c>
      <c r="T16" s="629">
        <f>_xlfn.XLOOKUP($E16,'Løp 1'!$E$10:$E$90,'Løp 1'!$O$10:$O$90,0)</f>
        <v>75</v>
      </c>
      <c r="U16" s="629">
        <f>_xlfn.XLOOKUP($E16,'Løp 1'!$E$10:$E$90,'Løp 1'!$L$10:$L$90,0)</f>
        <v>1.0727339181286551E-2</v>
      </c>
      <c r="V16" s="628">
        <f>_xlfn.XLOOKUP($E16,'Løp 2'!$E$10:$E$90,'Løp 2'!$M$10:$M$90,0)</f>
        <v>84</v>
      </c>
      <c r="W16" s="629">
        <f>_xlfn.XLOOKUP($E16,'Løp 2'!$E$10:$E$90,'Løp 2'!$O$10:$O$90,0)</f>
        <v>70</v>
      </c>
      <c r="X16" s="629">
        <f>_xlfn.XLOOKUP($E16,'Løp 2'!$E$10:$E$90,'Løp 2'!$L$10:$L$90,0)</f>
        <v>1.060681216931217E-2</v>
      </c>
      <c r="Y16" s="628">
        <f>_xlfn.XLOOKUP($E16,'Løp 3'!$E$10:$E$90,'Løp 3'!$M$10:$M$90,0)</f>
        <v>86</v>
      </c>
      <c r="Z16" s="629">
        <f>_xlfn.XLOOKUP($E16,'Løp 3'!$E$10:$E$90,'Løp 3'!$O$10:$O$90,0)</f>
        <v>80</v>
      </c>
      <c r="AA16" s="629">
        <f>_xlfn.XLOOKUP($E16,'Løp 3'!$E$10:$E$90,'Løp 3'!$L$10:$L$90,0)</f>
        <v>1.0456349206349207E-2</v>
      </c>
      <c r="AB16" s="628">
        <f>_xlfn.XLOOKUP($E16,'Løp 4'!$E$10:$E$90,'Løp 4'!$M$10:$M$90,0)</f>
        <v>82</v>
      </c>
      <c r="AC16" s="629">
        <f>_xlfn.XLOOKUP($E16,'Løp 4'!$E$10:$E$90,'Løp 4'!$O$10:$O$90,0)</f>
        <v>85</v>
      </c>
      <c r="AD16" s="629">
        <f>_xlfn.XLOOKUP($E16,'Løp 4'!$E$10:$E$90,'Løp 4'!$L$10:$L$90,0)</f>
        <v>8.5069444444444437E-3</v>
      </c>
      <c r="AE16" s="628">
        <f>_xlfn.XLOOKUP($E16,'Løp 5'!$E$10:$E$90,'Løp 5'!$M$10:$M$90,0)</f>
        <v>67</v>
      </c>
      <c r="AF16" s="629">
        <f>_xlfn.XLOOKUP($E16,'Løp 5'!$E$10:$E$90,'Løp 5'!$O$10:$O$90,0)</f>
        <v>64</v>
      </c>
      <c r="AG16" s="629">
        <f>_xlfn.XLOOKUP($E16,'Løp 5'!$E$10:$E$90,'Løp 5'!$L$10:$L$90,0)</f>
        <v>1.0721021947873799E-2</v>
      </c>
      <c r="AH16" s="628">
        <f>_xlfn.XLOOKUP($E16,'Løp 6'!$E$10:$E$90,'Løp 6'!$M$10:$M$90,0)</f>
        <v>86</v>
      </c>
      <c r="AI16" s="629">
        <f>_xlfn.XLOOKUP($E16,'Løp 6'!$E$10:$E$90,'Løp 6'!$O$10:$O$90,0)</f>
        <v>84</v>
      </c>
      <c r="AJ16" s="629">
        <f>_xlfn.XLOOKUP($E16,'Løp 6'!$E$10:$E$90,'Løp 6'!$L$10:$L$90,0)</f>
        <v>9.124228395061728E-3</v>
      </c>
      <c r="AK16" s="628">
        <f>_xlfn.XLOOKUP($E16,'Løp 7'!$E$10:$E$90,'Løp 7'!$M$10:$M$90,0)</f>
        <v>74</v>
      </c>
      <c r="AL16" s="629">
        <f>_xlfn.XLOOKUP($E16,'Løp 7'!$E$10:$E$90,'Løp 7'!$O$10:$O$90,0)</f>
        <v>59</v>
      </c>
      <c r="AM16" s="629">
        <f>_xlfn.XLOOKUP($E16,'Løp 7'!$E$10:$E$90,'Løp 7'!$L$10:$L$90,0)</f>
        <v>2.2767323775388291E-2</v>
      </c>
      <c r="AN16" s="628">
        <f>_xlfn.XLOOKUP($E16,'Løp 8'!$E$10:$E$91,'Løp 8'!$M$10:$M$91,0)</f>
        <v>80</v>
      </c>
      <c r="AO16" s="629">
        <f>_xlfn.XLOOKUP($E16,'Løp 8'!$E$10:$E$91,'Løp 8'!$O$10:$O$91,0)</f>
        <v>65</v>
      </c>
      <c r="AP16" s="629">
        <f>_xlfn.XLOOKUP($E16,'Løp 8'!$E$10:$E$91,'Løp 8'!$L$10:$L$91,0)</f>
        <v>1.0690235690235689E-2</v>
      </c>
      <c r="AQ16" s="628">
        <f>_xlfn.XLOOKUP($E16,'Løp 9'!$E$10:$E$91,'Løp 9'!$M$10:$M$91,0)</f>
        <v>66</v>
      </c>
      <c r="AR16" s="629">
        <f>_xlfn.XLOOKUP($E16,'Løp 9'!$E$10:$E$91,'Løp 9'!$O$10:$O$91,0)</f>
        <v>57</v>
      </c>
      <c r="AS16" s="629">
        <f>_xlfn.XLOOKUP($E16,'Løp 9'!$E$10:$E$91,'Løp 9'!$L$10:$L$91,0)</f>
        <v>1.0290404040404039E-2</v>
      </c>
      <c r="AT16" s="628">
        <f>_xlfn.XLOOKUP($E16,'Løp 10'!$E$10:$E$91,'Løp 10'!$M$10:$M$91,0)</f>
        <v>67</v>
      </c>
      <c r="AU16" s="629">
        <f>_xlfn.XLOOKUP($E16,'Løp 10'!$E$10:$E$91,'Løp 10'!$O$10:$O$91,0)</f>
        <v>65</v>
      </c>
      <c r="AV16" s="629">
        <f>_xlfn.XLOOKUP($E16,'Løp 10'!$E$10:$E$91,'Løp 10'!$L$10:$L$91,0)</f>
        <v>1.1046006944444445E-2</v>
      </c>
      <c r="AW16" s="628">
        <f>_xlfn.XLOOKUP($E16,'Løp 11'!$E$10:$E$91,'Løp 11'!$M$10:$M$91,0)</f>
        <v>100</v>
      </c>
      <c r="AX16" s="629">
        <f>_xlfn.XLOOKUP($E16,'Løp 11'!$E$10:$E$91,'Løp 11'!$O$10:$O$91,0)</f>
        <v>100</v>
      </c>
      <c r="AY16" s="629" t="str">
        <f>_xlfn.XLOOKUP($E16,'Løp 11'!$E$10:$E$91,'Løp 11'!$L$10:$L$91,0)</f>
        <v>Løype</v>
      </c>
      <c r="AZ16" s="628">
        <f>_xlfn.XLOOKUP($E16,'Løp 12'!$E$10:$E$91,'Løp 12'!$M$10:$M$91,0)</f>
        <v>100</v>
      </c>
      <c r="BA16" s="629">
        <f>_xlfn.XLOOKUP($E16,'Løp 12'!$E$10:$E$91,'Løp 12'!$O$10:$O$91,0)</f>
        <v>100</v>
      </c>
      <c r="BB16" s="629" t="str">
        <f>_xlfn.XLOOKUP($E16,'Løp 12'!$E$10:$E$91,'Løp 12'!$L$10:$L$91,0)</f>
        <v>Løype</v>
      </c>
      <c r="BC16" s="628">
        <f>_xlfn.XLOOKUP($E16,'Løp 13'!$E$10:$E$91,'Løp 13'!$M$10:$M$91,0)</f>
        <v>100</v>
      </c>
      <c r="BD16" s="629">
        <f>_xlfn.XLOOKUP($E16,'Løp 13'!$E$10:$E$91,'Løp 13'!$O$10:$O$91,0)</f>
        <v>100</v>
      </c>
      <c r="BE16" s="629" t="str">
        <f>_xlfn.XLOOKUP($E16,'Løp 13'!$E$10:$E$91,'Løp 13'!$L$10:$L$91,0)</f>
        <v>Løype</v>
      </c>
      <c r="BF16" s="628">
        <f>_xlfn.XLOOKUP($E16,'Løp 14'!$E$10:$E$91,'Løp 14'!$M$10:$M$91,0)</f>
        <v>100</v>
      </c>
      <c r="BG16" s="629">
        <f>_xlfn.XLOOKUP($E16,'Løp 14'!$E$10:$E$91,'Løp 14'!$O$10:$O$91,0)</f>
        <v>100</v>
      </c>
      <c r="BH16" s="629" t="str">
        <f>_xlfn.XLOOKUP($E16,'Løp 14'!$E$10:$E$91,'Løp 14'!$L$10:$L$91,0)</f>
        <v>Løype</v>
      </c>
      <c r="BI16" s="628">
        <f>_xlfn.XLOOKUP($E16,'Løp 15'!$E$10:$E$91,'Løp 15'!$M$10:$M$91,0)</f>
        <v>81</v>
      </c>
      <c r="BJ16" s="629">
        <f>_xlfn.XLOOKUP($E16,'Løp 15'!$E$10:$E$91,'Løp 15'!$O$10:$O$91,0)</f>
        <v>71</v>
      </c>
      <c r="BK16" s="629">
        <f>_xlfn.XLOOKUP($E16,'Løp 15'!$E$10:$E$91,'Løp 15'!$L$10:$L$91,0)</f>
        <v>1.0637125220458553E-2</v>
      </c>
      <c r="BL16" s="628">
        <f>_xlfn.XLOOKUP($E16,'Løp 16'!$E$10:$E$91,'Løp 16'!$M$10:$M$91,0)</f>
        <v>87</v>
      </c>
      <c r="BM16" s="629">
        <f>_xlfn.XLOOKUP($E16,'Løp 16'!$E$10:$E$91,'Løp 16'!$O$10:$O$91,0)</f>
        <v>88</v>
      </c>
      <c r="BN16" s="629">
        <f>_xlfn.XLOOKUP($E16,'Løp 16'!$E$10:$E$91,'Løp 16'!$L$10:$L$91,0)</f>
        <v>7.8547297297297293E-3</v>
      </c>
      <c r="BO16" s="628">
        <f>_xlfn.XLOOKUP($E16,'Løp 17'!$E$10:$E$91,'Løp 17'!$M$10:$M$91,0)</f>
        <v>87</v>
      </c>
      <c r="BP16" s="629">
        <f>_xlfn.XLOOKUP($E16,'Løp 17'!$E$10:$E$91,'Løp 17'!$O$10:$O$91,0)</f>
        <v>87</v>
      </c>
      <c r="BQ16" s="629">
        <f>_xlfn.XLOOKUP($E16,'Løp 17'!$E$10:$E$91,'Løp 17'!$L$10:$L$91,0)</f>
        <v>7.2916666666666668E-3</v>
      </c>
      <c r="BR16" s="628">
        <f>_xlfn.XLOOKUP($E16,'Løp 18'!$E$10:$E$91,'Løp 18'!$M$10:$M$91,0)</f>
        <v>86</v>
      </c>
      <c r="BS16" s="629">
        <f>_xlfn.XLOOKUP($E16,'Løp 18'!$E$10:$E$91,'Løp 18'!$O$10:$O$91,0)</f>
        <v>80</v>
      </c>
      <c r="BT16" s="629">
        <f>_xlfn.XLOOKUP($E16,'Løp 18'!$E$10:$E$91,'Løp 18'!$L$10:$L$91,0)</f>
        <v>8.3217592592592596E-3</v>
      </c>
      <c r="BU16" s="628">
        <f>_xlfn.XLOOKUP($E16,'Løp 19'!$E$10:$E$91,'Løp 19'!$M$10:$M$91,0)</f>
        <v>100</v>
      </c>
      <c r="BV16" s="629">
        <f>_xlfn.XLOOKUP($E16,'Løp 19'!$E$10:$E$91,'Løp 19'!$O$10:$O$91,0)</f>
        <v>93</v>
      </c>
      <c r="BW16" s="629">
        <f>_xlfn.XLOOKUP($E16,'Løp 19'!$E$10:$E$91,'Løp 19'!$L$10:$L$91,0)</f>
        <v>8.2004458161865565E-3</v>
      </c>
      <c r="BX16" s="628">
        <f>_xlfn.XLOOKUP($E16,'Løp 20'!$E$10:$E$92,'Løp 20'!$M$10:$M$92,0)</f>
        <v>91</v>
      </c>
      <c r="BY16" s="629">
        <f>_xlfn.XLOOKUP($E16,'Løp 20'!$E$10:$E$92,'Løp 20'!$O$10:$O$92,0)</f>
        <v>86</v>
      </c>
      <c r="BZ16" s="629">
        <f>_xlfn.XLOOKUP($E16,'Løp 20'!$E$10:$E$92,'Løp 20'!$L$10:$L$92,0)</f>
        <v>8.5284391534391525E-3</v>
      </c>
      <c r="CA16" s="628">
        <f>_xlfn.XLOOKUP($E16,'Løp 21'!$E$10:$E$93,'Løp 21'!$M$10:$M$93,0)</f>
        <v>87</v>
      </c>
      <c r="CB16" s="629">
        <f>_xlfn.XLOOKUP($E16,'Løp 21'!$E$10:$E$93,'Løp 21'!$O$10:$O$93,0)</f>
        <v>86</v>
      </c>
      <c r="CC16" s="629">
        <f>_xlfn.XLOOKUP($E16,'Løp 21'!$E$10:$E$93,'Løp 21'!$L$10:$L$93,0)</f>
        <v>6.9519115890083628E-3</v>
      </c>
      <c r="CD16" s="628">
        <f>_xlfn.XLOOKUP($E16,'Løp 22'!$E$10:$E$93,'Løp 22'!$M$10:$M$93,0)</f>
        <v>84</v>
      </c>
      <c r="CE16" s="629">
        <f>_xlfn.XLOOKUP($E16,'Løp 22'!$E$10:$E$93,'Løp 22'!$O$10:$O$93,0)</f>
        <v>81</v>
      </c>
      <c r="CF16" s="629">
        <f>_xlfn.XLOOKUP($E16,'Løp 22'!$E$10:$E$93,'Løp 22'!$L$10:$L$93,0)</f>
        <v>8.3333333333333332E-3</v>
      </c>
      <c r="CG16" s="628">
        <f>_xlfn.XLOOKUP($E16,'Løp 23'!$E$10:$E$93,'Løp 23'!$M$10:$M$93,0)</f>
        <v>91</v>
      </c>
      <c r="CH16" s="629">
        <f>_xlfn.XLOOKUP($E16,'Løp 23'!$E$10:$E$93,'Løp 23'!$O$10:$O$93,0)</f>
        <v>88</v>
      </c>
      <c r="CI16" s="629">
        <f>_xlfn.XLOOKUP($E16,'Løp 23'!$E$10:$E$93,'Løp 23'!$L$10:$L$93,0)</f>
        <v>5.7191890166028098E-3</v>
      </c>
      <c r="CJ16" s="628">
        <f>_xlfn.XLOOKUP($E16,'Løp 24'!$E$10:$E$93,'Løp 24'!$M$10:$M$93,0)</f>
        <v>92</v>
      </c>
      <c r="CK16" s="629">
        <f>_xlfn.XLOOKUP($E16,'Løp 24'!$E$10:$E$93,'Løp 24'!$O$10:$O$93,0)</f>
        <v>75</v>
      </c>
      <c r="CL16" s="629">
        <f>_xlfn.XLOOKUP($E16,'Løp 24'!$E$10:$E$93,'Løp 24'!$L$10:$L$93,0)</f>
        <v>5.7982377538829148E-3</v>
      </c>
      <c r="CM16" s="628">
        <f>_xlfn.XLOOKUP($E16,'Løp 25'!$E$10:$E$94,'Løp 25'!$M$10:$M$94,0)</f>
        <v>80</v>
      </c>
      <c r="CN16" s="629">
        <f>_xlfn.XLOOKUP($E16,'Løp 25'!$E$10:$E$94,'Løp 25'!$O$10:$O$94,0)</f>
        <v>78</v>
      </c>
      <c r="CO16" s="629">
        <f>_xlfn.XLOOKUP($E16,'Løp 25'!$E$10:$E$94,'Løp 25'!$L$10:$L$94,0)</f>
        <v>9.0169270833333325E-3</v>
      </c>
      <c r="CP16" s="628">
        <f>_xlfn.XLOOKUP($E16,'Løp 26'!$E$10:$E$94,'Løp 26'!$M$10:$M$94,0)</f>
        <v>90</v>
      </c>
      <c r="CQ16" s="629">
        <f>_xlfn.XLOOKUP($E16,'Løp 26'!$E$10:$E$94,'Løp 26'!$O$10:$O$94,0)</f>
        <v>91</v>
      </c>
      <c r="CR16" s="629">
        <f>_xlfn.XLOOKUP($E16,'Løp 26'!$E$10:$E$94,'Løp 26'!$L$10:$L$94,0)</f>
        <v>7.8976034858387802E-3</v>
      </c>
      <c r="CS16" s="628">
        <f>_xlfn.XLOOKUP($E16,'Løp 27'!$E$10:$E$94,'Løp 27'!$M$10:$M$94,0)</f>
        <v>100</v>
      </c>
      <c r="CT16" s="629">
        <f>_xlfn.XLOOKUP($E16,'Løp 27'!$E$10:$E$94,'Løp 27'!$O$10:$O$94,0)</f>
        <v>100</v>
      </c>
      <c r="CU16" s="629" t="str">
        <f>_xlfn.XLOOKUP($E16,'Løp 27'!$E$10:$E$94,'Løp 27'!$L$10:$L$94,0)</f>
        <v>Løype</v>
      </c>
      <c r="CV16" s="628">
        <f>_xlfn.XLOOKUP($E16,'Løp 28'!$E$10:$E$95,'Løp 28'!$M$10:$M$95,0)</f>
        <v>100</v>
      </c>
      <c r="CW16" s="629">
        <f>_xlfn.XLOOKUP($E16,'Løp 28'!$E$10:$E$95,'Løp 28'!$O$10:$O$95,0)</f>
        <v>100</v>
      </c>
      <c r="CX16" s="629" t="str">
        <f>_xlfn.XLOOKUP($E16,'Løp 28'!$E$10:$E$95,'Løp 28'!$L$10:$L$95,0)</f>
        <v>Løype</v>
      </c>
      <c r="CY16" s="628">
        <f>_xlfn.XLOOKUP($E16,'Løp 29'!$E$10:$E$95,'Løp 29'!$M$10:$M$95,0)</f>
        <v>70</v>
      </c>
      <c r="CZ16" s="629">
        <f>_xlfn.XLOOKUP($E16,'Løp 29'!$E$10:$E$95,'Løp 29'!$O$10:$O$95,0)</f>
        <v>68</v>
      </c>
      <c r="DA16" s="629">
        <f>_xlfn.XLOOKUP($E16,'Løp 29'!$E$10:$E$95,'Løp 29'!$L$10:$L$95,0)</f>
        <v>1.0431134259259258E-2</v>
      </c>
    </row>
    <row r="17" spans="2:105" ht="26" thickBot="1" x14ac:dyDescent="0.3">
      <c r="B17" s="627">
        <f t="shared" si="0"/>
        <v>8</v>
      </c>
      <c r="C17" s="119" t="s">
        <v>149</v>
      </c>
      <c r="D17" s="620" t="s">
        <v>150</v>
      </c>
      <c r="E17" s="616" t="str">
        <f>_xlfn.CONCAT(C17:D17)</f>
        <v>BenteSkorge</v>
      </c>
      <c r="F17" s="610"/>
      <c r="G17" s="653">
        <f>COUNTIF(S17:DA17,"&gt;2")/2</f>
        <v>20</v>
      </c>
      <c r="H17" s="852">
        <f>COUNTIF(S17:DA17,"=Løype")+COUNTIF(S17:DA17,"Arr")</f>
        <v>0</v>
      </c>
      <c r="I17" s="610"/>
      <c r="J17" s="632">
        <f>S17+V17+Y17+AB17+AE17+AH17+AK17+AN17+AQ17+AT17+AW17+AZ17+BC17+BF17+BI17+BL17+BO17+BR17+BU17+BX17+CA17+CD17+CG17+CJ17+CM17+CP17+CS17+CV17+CY17</f>
        <v>1444</v>
      </c>
      <c r="K17" s="633">
        <f>T17+W17+Z17+AC17+AF17+AI17+AL17+AO17+AR17+AU17+AX17+BA17+BD17+BG17+BJ17+BM17+BP17+BS17+BV17+BY17+CB17+CE17+CH17+CK17+CN17+CQ17+CT17+CW17+CZ17</f>
        <v>1618</v>
      </c>
      <c r="L17" s="613"/>
      <c r="M17" s="658">
        <f>IF($G17&gt;0,J17/G17,0)</f>
        <v>72.2</v>
      </c>
      <c r="N17" s="659">
        <f>IF($G17&gt;0,K17/$G17,0)</f>
        <v>80.900000000000006</v>
      </c>
      <c r="O17" s="862"/>
      <c r="P17" s="874">
        <f>IF(AND($G17&gt;$Q$3-1,$G17-$H17&gt;0),M17,0)</f>
        <v>72.2</v>
      </c>
      <c r="Q17" s="875">
        <f>IF(AND($G17&gt;$Q$3-1,$G17-$H17&gt;0),N17,0)</f>
        <v>80.900000000000006</v>
      </c>
      <c r="R17" s="613"/>
      <c r="S17" s="628">
        <f>_xlfn.XLOOKUP($E17,'Løp 1'!$E$10:$E$90,'Løp 1'!$M$10:$M$90,0)</f>
        <v>50</v>
      </c>
      <c r="T17" s="629">
        <f>_xlfn.XLOOKUP($E17,'Løp 1'!$E$10:$E$90,'Løp 1'!$O$10:$O$90,0)</f>
        <v>56</v>
      </c>
      <c r="U17" s="629">
        <f>_xlfn.XLOOKUP($E17,'Løp 1'!$E$10:$E$90,'Løp 1'!$L$10:$L$90,0)</f>
        <v>1.7133620689655175E-2</v>
      </c>
      <c r="V17" s="628">
        <f>_xlfn.XLOOKUP($E17,'Løp 2'!$E$10:$E$90,'Løp 2'!$M$10:$M$90,0)</f>
        <v>66</v>
      </c>
      <c r="W17" s="629">
        <f>_xlfn.XLOOKUP($E17,'Løp 2'!$E$10:$E$90,'Løp 2'!$O$10:$O$90,0)</f>
        <v>65</v>
      </c>
      <c r="X17" s="629">
        <f>_xlfn.XLOOKUP($E17,'Løp 2'!$E$10:$E$90,'Løp 2'!$L$10:$L$90,0)</f>
        <v>1.3508597883597883E-2</v>
      </c>
      <c r="Y17" s="628">
        <f>_xlfn.XLOOKUP($E17,'Løp 3'!$E$10:$E$90,'Løp 3'!$M$10:$M$90,0)</f>
        <v>68</v>
      </c>
      <c r="Z17" s="629">
        <f>_xlfn.XLOOKUP($E17,'Løp 3'!$E$10:$E$90,'Løp 3'!$O$10:$O$90,0)</f>
        <v>74</v>
      </c>
      <c r="AA17" s="629">
        <f>_xlfn.XLOOKUP($E17,'Løp 3'!$E$10:$E$90,'Løp 3'!$L$10:$L$90,0)</f>
        <v>1.3280423280423281E-2</v>
      </c>
      <c r="AB17" s="628">
        <f>_xlfn.XLOOKUP($E17,'Løp 4'!$E$10:$E$90,'Løp 4'!$M$10:$M$90,0)</f>
        <v>67</v>
      </c>
      <c r="AC17" s="629">
        <f>_xlfn.XLOOKUP($E17,'Løp 4'!$E$10:$E$90,'Løp 4'!$O$10:$O$90,0)</f>
        <v>82</v>
      </c>
      <c r="AD17" s="629">
        <f>_xlfn.XLOOKUP($E17,'Løp 4'!$E$10:$E$90,'Løp 4'!$L$10:$L$90,0)</f>
        <v>1.0405092592592593E-2</v>
      </c>
      <c r="AE17" s="628">
        <f>_xlfn.XLOOKUP($E17,'Løp 5'!$E$10:$E$90,'Løp 5'!$M$10:$M$90,0)</f>
        <v>0</v>
      </c>
      <c r="AF17" s="629">
        <f>_xlfn.XLOOKUP($E17,'Løp 5'!$E$10:$E$90,'Løp 5'!$O$10:$O$90,0)</f>
        <v>0</v>
      </c>
      <c r="AG17" s="629">
        <f>_xlfn.XLOOKUP($E17,'Løp 5'!$E$10:$E$90,'Løp 5'!$L$10:$L$90,0)</f>
        <v>0</v>
      </c>
      <c r="AH17" s="628">
        <f>_xlfn.XLOOKUP($E17,'Løp 6'!$E$10:$E$90,'Løp 6'!$M$10:$M$90,0)</f>
        <v>0</v>
      </c>
      <c r="AI17" s="629">
        <f>_xlfn.XLOOKUP($E17,'Løp 6'!$E$10:$E$90,'Løp 6'!$O$10:$O$90,0)</f>
        <v>0</v>
      </c>
      <c r="AJ17" s="629">
        <f>_xlfn.XLOOKUP($E17,'Løp 6'!$E$10:$E$90,'Løp 6'!$L$10:$L$90,0)</f>
        <v>0</v>
      </c>
      <c r="AK17" s="628">
        <f>_xlfn.XLOOKUP($E17,'Løp 7'!$E$10:$E$90,'Løp 7'!$M$10:$M$90,0)</f>
        <v>0</v>
      </c>
      <c r="AL17" s="629">
        <f>_xlfn.XLOOKUP($E17,'Løp 7'!$E$10:$E$90,'Løp 7'!$O$10:$O$90,0)</f>
        <v>0</v>
      </c>
      <c r="AM17" s="629">
        <f>_xlfn.XLOOKUP($E17,'Løp 7'!$E$10:$E$90,'Løp 7'!$L$10:$L$90,0)</f>
        <v>0</v>
      </c>
      <c r="AN17" s="628">
        <f>_xlfn.XLOOKUP($E17,'Løp 8'!$E$10:$E$91,'Løp 8'!$M$10:$M$91,0)</f>
        <v>77</v>
      </c>
      <c r="AO17" s="629">
        <f>_xlfn.XLOOKUP($E17,'Løp 8'!$E$10:$E$91,'Løp 8'!$O$10:$O$91,0)</f>
        <v>74</v>
      </c>
      <c r="AP17" s="629">
        <f>_xlfn.XLOOKUP($E17,'Løp 8'!$E$10:$E$91,'Løp 8'!$L$10:$L$91,0)</f>
        <v>1.1121632996632996E-2</v>
      </c>
      <c r="AQ17" s="628">
        <f>_xlfn.XLOOKUP($E17,'Løp 9'!$E$10:$E$91,'Løp 9'!$M$10:$M$91,0)</f>
        <v>0</v>
      </c>
      <c r="AR17" s="629">
        <f>_xlfn.XLOOKUP($E17,'Løp 9'!$E$10:$E$91,'Løp 9'!$O$10:$O$91,0)</f>
        <v>0</v>
      </c>
      <c r="AS17" s="629">
        <f>_xlfn.XLOOKUP($E17,'Løp 9'!$E$10:$E$91,'Løp 9'!$L$10:$L$91,0)</f>
        <v>0</v>
      </c>
      <c r="AT17" s="628">
        <f>_xlfn.XLOOKUP($E17,'Løp 10'!$E$10:$E$91,'Løp 10'!$M$10:$M$91,0)</f>
        <v>0</v>
      </c>
      <c r="AU17" s="629">
        <f>_xlfn.XLOOKUP($E17,'Løp 10'!$E$10:$E$91,'Løp 10'!$O$10:$O$91,0)</f>
        <v>0</v>
      </c>
      <c r="AV17" s="629">
        <f>_xlfn.XLOOKUP($E17,'Løp 10'!$E$10:$E$91,'Løp 10'!$L$10:$L$91,0)</f>
        <v>0</v>
      </c>
      <c r="AW17" s="628">
        <f>_xlfn.XLOOKUP($E17,'Løp 11'!$E$10:$E$91,'Løp 11'!$M$10:$M$91,0)</f>
        <v>76</v>
      </c>
      <c r="AX17" s="629">
        <f>_xlfn.XLOOKUP($E17,'Løp 11'!$E$10:$E$91,'Løp 11'!$O$10:$O$91,0)</f>
        <v>88</v>
      </c>
      <c r="AY17" s="629">
        <f>_xlfn.XLOOKUP($E17,'Løp 11'!$E$10:$E$91,'Løp 11'!$L$10:$L$91,0)</f>
        <v>9.5920138888888878E-3</v>
      </c>
      <c r="AZ17" s="628">
        <f>_xlfn.XLOOKUP($E17,'Løp 12'!$E$10:$E$91,'Løp 12'!$M$10:$M$91,0)</f>
        <v>71</v>
      </c>
      <c r="BA17" s="629">
        <f>_xlfn.XLOOKUP($E17,'Løp 12'!$E$10:$E$91,'Løp 12'!$O$10:$O$91,0)</f>
        <v>87</v>
      </c>
      <c r="BB17" s="629">
        <f>_xlfn.XLOOKUP($E17,'Løp 12'!$E$10:$E$91,'Løp 12'!$L$10:$L$91,0)</f>
        <v>7.7610596707818925E-3</v>
      </c>
      <c r="BC17" s="628">
        <f>_xlfn.XLOOKUP($E17,'Løp 13'!$E$10:$E$91,'Løp 13'!$M$10:$M$91,0)</f>
        <v>66</v>
      </c>
      <c r="BD17" s="629">
        <f>_xlfn.XLOOKUP($E17,'Løp 13'!$E$10:$E$91,'Løp 13'!$O$10:$O$91,0)</f>
        <v>89</v>
      </c>
      <c r="BE17" s="629">
        <f>_xlfn.XLOOKUP($E17,'Løp 13'!$E$10:$E$91,'Løp 13'!$L$10:$L$91,0)</f>
        <v>8.1776819923371647E-3</v>
      </c>
      <c r="BF17" s="628">
        <f>_xlfn.XLOOKUP($E17,'Løp 14'!$E$10:$E$91,'Løp 14'!$M$10:$M$91,0)</f>
        <v>83</v>
      </c>
      <c r="BG17" s="629">
        <f>_xlfn.XLOOKUP($E17,'Løp 14'!$E$10:$E$91,'Løp 14'!$O$10:$O$91,0)</f>
        <v>94</v>
      </c>
      <c r="BH17" s="629">
        <f>_xlfn.XLOOKUP($E17,'Løp 14'!$E$10:$E$91,'Løp 14'!$L$10:$L$91,0)</f>
        <v>7.5991030092592586E-3</v>
      </c>
      <c r="BI17" s="628">
        <f>_xlfn.XLOOKUP($E17,'Løp 15'!$E$10:$E$91,'Løp 15'!$M$10:$M$91,0)</f>
        <v>81</v>
      </c>
      <c r="BJ17" s="629">
        <f>_xlfn.XLOOKUP($E17,'Løp 15'!$E$10:$E$91,'Løp 15'!$O$10:$O$91,0)</f>
        <v>82</v>
      </c>
      <c r="BK17" s="629">
        <f>_xlfn.XLOOKUP($E17,'Løp 15'!$E$10:$E$91,'Løp 15'!$L$10:$L$91,0)</f>
        <v>1.0693742985409652E-2</v>
      </c>
      <c r="BL17" s="628">
        <f>_xlfn.XLOOKUP($E17,'Løp 16'!$E$10:$E$91,'Løp 16'!$M$10:$M$91,0)</f>
        <v>80</v>
      </c>
      <c r="BM17" s="629">
        <f>_xlfn.XLOOKUP($E17,'Løp 16'!$E$10:$E$91,'Løp 16'!$O$10:$O$91,0)</f>
        <v>94</v>
      </c>
      <c r="BN17" s="629">
        <f>_xlfn.XLOOKUP($E17,'Løp 16'!$E$10:$E$91,'Løp 16'!$L$10:$L$91,0)</f>
        <v>8.5960960960960956E-3</v>
      </c>
      <c r="BO17" s="628">
        <f>_xlfn.XLOOKUP($E17,'Løp 17'!$E$10:$E$91,'Løp 17'!$M$10:$M$91,0)</f>
        <v>0</v>
      </c>
      <c r="BP17" s="629">
        <f>_xlfn.XLOOKUP($E17,'Løp 17'!$E$10:$E$91,'Løp 17'!$O$10:$O$91,0)</f>
        <v>0</v>
      </c>
      <c r="BQ17" s="629">
        <f>_xlfn.XLOOKUP($E17,'Løp 17'!$E$10:$E$91,'Løp 17'!$L$10:$L$91,0)</f>
        <v>0</v>
      </c>
      <c r="BR17" s="628">
        <f>_xlfn.XLOOKUP($E17,'Løp 18'!$E$10:$E$91,'Løp 18'!$M$10:$M$91,0)</f>
        <v>0</v>
      </c>
      <c r="BS17" s="629">
        <f>_xlfn.XLOOKUP($E17,'Løp 18'!$E$10:$E$91,'Løp 18'!$O$10:$O$91,0)</f>
        <v>0</v>
      </c>
      <c r="BT17" s="629">
        <f>_xlfn.XLOOKUP($E17,'Løp 18'!$E$10:$E$91,'Løp 18'!$L$10:$L$91,0)</f>
        <v>0</v>
      </c>
      <c r="BU17" s="628">
        <f>_xlfn.XLOOKUP($E17,'Løp 19'!$E$10:$E$91,'Løp 19'!$M$10:$M$91,0)</f>
        <v>76</v>
      </c>
      <c r="BV17" s="629">
        <f>_xlfn.XLOOKUP($E17,'Løp 19'!$E$10:$E$91,'Løp 19'!$O$10:$O$91,0)</f>
        <v>83</v>
      </c>
      <c r="BW17" s="629">
        <f>_xlfn.XLOOKUP($E17,'Løp 19'!$E$10:$E$91,'Løp 19'!$L$10:$L$91,0)</f>
        <v>1.0828189300411522E-2</v>
      </c>
      <c r="BX17" s="628">
        <f>_xlfn.XLOOKUP($E17,'Løp 20'!$E$10:$E$92,'Løp 20'!$M$10:$M$92,0)</f>
        <v>85</v>
      </c>
      <c r="BY17" s="629">
        <f>_xlfn.XLOOKUP($E17,'Løp 20'!$E$10:$E$92,'Løp 20'!$O$10:$O$92,0)</f>
        <v>95</v>
      </c>
      <c r="BZ17" s="629">
        <f>_xlfn.XLOOKUP($E17,'Løp 20'!$E$10:$E$92,'Løp 20'!$L$10:$L$92,0)</f>
        <v>9.0806878306878298E-3</v>
      </c>
      <c r="CA17" s="628">
        <f>_xlfn.XLOOKUP($E17,'Løp 21'!$E$10:$E$93,'Løp 21'!$M$10:$M$93,0)</f>
        <v>76</v>
      </c>
      <c r="CB17" s="629">
        <f>_xlfn.XLOOKUP($E17,'Løp 21'!$E$10:$E$93,'Løp 21'!$O$10:$O$93,0)</f>
        <v>88</v>
      </c>
      <c r="CC17" s="629">
        <f>_xlfn.XLOOKUP($E17,'Løp 21'!$E$10:$E$93,'Løp 21'!$L$10:$L$93,0)</f>
        <v>7.9749103942652333E-3</v>
      </c>
      <c r="CD17" s="628">
        <f>_xlfn.XLOOKUP($E17,'Løp 22'!$E$10:$E$93,'Løp 22'!$M$10:$M$93,0)</f>
        <v>74</v>
      </c>
      <c r="CE17" s="629">
        <f>_xlfn.XLOOKUP($E17,'Løp 22'!$E$10:$E$93,'Løp 22'!$O$10:$O$93,0)</f>
        <v>84</v>
      </c>
      <c r="CF17" s="629">
        <f>_xlfn.XLOOKUP($E17,'Løp 22'!$E$10:$E$93,'Løp 22'!$L$10:$L$93,0)</f>
        <v>9.4373219373219373E-3</v>
      </c>
      <c r="CG17" s="628">
        <f>_xlfn.XLOOKUP($E17,'Løp 23'!$E$10:$E$93,'Løp 23'!$M$10:$M$93,0)</f>
        <v>75</v>
      </c>
      <c r="CH17" s="629">
        <f>_xlfn.XLOOKUP($E17,'Løp 23'!$E$10:$E$93,'Løp 23'!$O$10:$O$93,0)</f>
        <v>86</v>
      </c>
      <c r="CI17" s="629">
        <f>_xlfn.XLOOKUP($E17,'Løp 23'!$E$10:$E$93,'Løp 23'!$L$10:$L$93,0)</f>
        <v>6.8566411238825025E-3</v>
      </c>
      <c r="CJ17" s="628">
        <f>_xlfn.XLOOKUP($E17,'Løp 24'!$E$10:$E$93,'Løp 24'!$M$10:$M$93,0)</f>
        <v>81</v>
      </c>
      <c r="CK17" s="629">
        <f>_xlfn.XLOOKUP($E17,'Løp 24'!$E$10:$E$93,'Løp 24'!$O$10:$O$93,0)</f>
        <v>78</v>
      </c>
      <c r="CL17" s="629">
        <f>_xlfn.XLOOKUP($E17,'Løp 24'!$E$10:$E$93,'Løp 24'!$L$10:$L$93,0)</f>
        <v>6.6046893667861409E-3</v>
      </c>
      <c r="CM17" s="628">
        <f>_xlfn.XLOOKUP($E17,'Løp 25'!$E$10:$E$94,'Løp 25'!$M$10:$M$94,0)</f>
        <v>0</v>
      </c>
      <c r="CN17" s="629">
        <f>_xlfn.XLOOKUP($E17,'Løp 25'!$E$10:$E$94,'Løp 25'!$O$10:$O$94,0)</f>
        <v>0</v>
      </c>
      <c r="CO17" s="629">
        <f>_xlfn.XLOOKUP($E17,'Løp 25'!$E$10:$E$94,'Løp 25'!$L$10:$L$94,0)</f>
        <v>0</v>
      </c>
      <c r="CP17" s="628">
        <f>_xlfn.XLOOKUP($E17,'Løp 26'!$E$10:$E$94,'Løp 26'!$M$10:$M$94,0)</f>
        <v>74</v>
      </c>
      <c r="CQ17" s="629">
        <f>_xlfn.XLOOKUP($E17,'Løp 26'!$E$10:$E$94,'Løp 26'!$O$10:$O$94,0)</f>
        <v>88</v>
      </c>
      <c r="CR17" s="629">
        <f>_xlfn.XLOOKUP($E17,'Løp 26'!$E$10:$E$94,'Løp 26'!$L$10:$L$94,0)</f>
        <v>9.5554193899782137E-3</v>
      </c>
      <c r="CS17" s="628">
        <f>_xlfn.XLOOKUP($E17,'Løp 27'!$E$10:$E$94,'Løp 27'!$M$10:$M$94,0)</f>
        <v>50</v>
      </c>
      <c r="CT17" s="629">
        <f>_xlfn.XLOOKUP($E17,'Løp 27'!$E$10:$E$94,'Løp 27'!$O$10:$O$94,0)</f>
        <v>53</v>
      </c>
      <c r="CU17" s="629">
        <f>_xlfn.XLOOKUP($E17,'Løp 27'!$E$10:$E$94,'Løp 27'!$L$10:$L$94,0)</f>
        <v>1.546210562414266E-2</v>
      </c>
      <c r="CV17" s="628">
        <f>_xlfn.XLOOKUP($E17,'Løp 28'!$E$10:$E$95,'Løp 28'!$M$10:$M$95,0)</f>
        <v>0</v>
      </c>
      <c r="CW17" s="629">
        <f>_xlfn.XLOOKUP($E17,'Løp 28'!$E$10:$E$95,'Løp 28'!$O$10:$O$95,0)</f>
        <v>0</v>
      </c>
      <c r="CX17" s="629">
        <f>_xlfn.XLOOKUP($E17,'Løp 28'!$E$10:$E$95,'Løp 28'!$L$10:$L$95,0)</f>
        <v>0</v>
      </c>
      <c r="CY17" s="628">
        <f>_xlfn.XLOOKUP($E17,'Løp 29'!$E$10:$E$95,'Løp 29'!$M$10:$M$95,0)</f>
        <v>68</v>
      </c>
      <c r="CZ17" s="629">
        <f>_xlfn.XLOOKUP($E17,'Løp 29'!$E$10:$E$95,'Løp 29'!$O$10:$O$95,0)</f>
        <v>78</v>
      </c>
      <c r="DA17" s="629">
        <f>_xlfn.XLOOKUP($E17,'Løp 29'!$E$10:$E$95,'Løp 29'!$L$10:$L$95,0)</f>
        <v>1.07432208994709E-2</v>
      </c>
    </row>
    <row r="18" spans="2:105" ht="26" thickBot="1" x14ac:dyDescent="0.3">
      <c r="B18" s="627">
        <f t="shared" si="0"/>
        <v>9</v>
      </c>
      <c r="C18" s="119" t="s">
        <v>159</v>
      </c>
      <c r="D18" s="620" t="s">
        <v>160</v>
      </c>
      <c r="E18" s="616" t="str">
        <f>_xlfn.CONCAT(C18:D18)</f>
        <v>EigilSørli</v>
      </c>
      <c r="F18" s="610"/>
      <c r="G18" s="653">
        <f>COUNTIF(S18:DA18,"&gt;2")/2</f>
        <v>27</v>
      </c>
      <c r="H18" s="852">
        <f>COUNTIF(S18:DA18,"=Løype")+COUNTIF(S18:DA18,"Arr")</f>
        <v>2</v>
      </c>
      <c r="I18" s="610"/>
      <c r="J18" s="632">
        <f>S18+V18+Y18+AB18+AE18+AH18+AK18+AN18+AQ18+AT18+AW18+AZ18+BC18+BF18+BI18+BL18+BO18+BR18+BU18+BX18+CA18+CD18+CG18+CJ18+CM18+CP18+CS18+CV18+CY18</f>
        <v>1651</v>
      </c>
      <c r="K18" s="633">
        <f>T18+W18+Z18+AC18+AF18+AI18+AL18+AO18+AR18+AU18+AX18+BA18+BD18+BG18+BJ18+BM18+BP18+BS18+BV18+BY18+CB18+CE18+CH18+CK18+CN18+CQ18+CT18+CW18+CZ18</f>
        <v>2174</v>
      </c>
      <c r="L18" s="613"/>
      <c r="M18" s="658">
        <f>IF($G18&gt;0,J18/G18,0)</f>
        <v>61.148148148148145</v>
      </c>
      <c r="N18" s="659">
        <f>IF($G18&gt;0,K18/$G18,0)</f>
        <v>80.518518518518519</v>
      </c>
      <c r="O18" s="862"/>
      <c r="P18" s="874">
        <f>IF(AND($G18&gt;$Q$3-1,$G18-$H18&gt;0),M18,0)</f>
        <v>61.148148148148145</v>
      </c>
      <c r="Q18" s="875">
        <f>IF(AND($G18&gt;$Q$3-1,$G18-$H18&gt;0),N18,0)</f>
        <v>80.518518518518519</v>
      </c>
      <c r="R18" s="613"/>
      <c r="S18" s="628">
        <f>_xlfn.XLOOKUP($E18,'Løp 1'!$E$10:$E$90,'Løp 1'!$M$10:$M$90,0)</f>
        <v>50</v>
      </c>
      <c r="T18" s="629">
        <f>_xlfn.XLOOKUP($E18,'Løp 1'!$E$10:$E$90,'Løp 1'!$O$10:$O$90,0)</f>
        <v>50</v>
      </c>
      <c r="U18" s="629" t="str">
        <f>_xlfn.XLOOKUP($E18,'Løp 1'!$E$10:$E$90,'Løp 1'!$L$10:$L$90,0)</f>
        <v>Disk</v>
      </c>
      <c r="V18" s="628">
        <f>_xlfn.XLOOKUP($E18,'Løp 2'!$E$10:$E$90,'Løp 2'!$M$10:$M$90,0)</f>
        <v>58</v>
      </c>
      <c r="W18" s="629">
        <f>_xlfn.XLOOKUP($E18,'Løp 2'!$E$10:$E$90,'Løp 2'!$O$10:$O$90,0)</f>
        <v>70</v>
      </c>
      <c r="X18" s="629">
        <f>_xlfn.XLOOKUP($E18,'Løp 2'!$E$10:$E$90,'Løp 2'!$L$10:$L$90,0)</f>
        <v>1.5285493827160495E-2</v>
      </c>
      <c r="Y18" s="628">
        <f>_xlfn.XLOOKUP($E18,'Løp 3'!$E$10:$E$90,'Løp 3'!$M$10:$M$90,0)</f>
        <v>69</v>
      </c>
      <c r="Z18" s="629">
        <f>_xlfn.XLOOKUP($E18,'Løp 3'!$E$10:$E$90,'Løp 3'!$O$10:$O$90,0)</f>
        <v>93</v>
      </c>
      <c r="AA18" s="629">
        <f>_xlfn.XLOOKUP($E18,'Løp 3'!$E$10:$E$90,'Løp 3'!$L$10:$L$90,0)</f>
        <v>1.3023589065255732E-2</v>
      </c>
      <c r="AB18" s="628">
        <f>_xlfn.XLOOKUP($E18,'Løp 4'!$E$10:$E$90,'Løp 4'!$M$10:$M$90,0)</f>
        <v>50</v>
      </c>
      <c r="AC18" s="629">
        <f>_xlfn.XLOOKUP($E18,'Løp 4'!$E$10:$E$90,'Løp 4'!$O$10:$O$90,0)</f>
        <v>73</v>
      </c>
      <c r="AD18" s="629">
        <f>_xlfn.XLOOKUP($E18,'Løp 4'!$E$10:$E$90,'Løp 4'!$L$10:$L$90,0)</f>
        <v>1.4387077294685992E-2</v>
      </c>
      <c r="AE18" s="628">
        <f>_xlfn.XLOOKUP($E18,'Løp 5'!$E$10:$E$90,'Løp 5'!$M$10:$M$90,0)</f>
        <v>58</v>
      </c>
      <c r="AF18" s="629">
        <f>_xlfn.XLOOKUP($E18,'Løp 5'!$E$10:$E$90,'Løp 5'!$O$10:$O$90,0)</f>
        <v>79</v>
      </c>
      <c r="AG18" s="629">
        <f>_xlfn.XLOOKUP($E18,'Løp 5'!$E$10:$E$90,'Løp 5'!$L$10:$L$90,0)</f>
        <v>1.2521701388888888E-2</v>
      </c>
      <c r="AH18" s="628">
        <f>_xlfn.XLOOKUP($E18,'Løp 6'!$E$10:$E$90,'Løp 6'!$M$10:$M$90,0)</f>
        <v>69</v>
      </c>
      <c r="AI18" s="629">
        <f>_xlfn.XLOOKUP($E18,'Løp 6'!$E$10:$E$90,'Løp 6'!$O$10:$O$90,0)</f>
        <v>97</v>
      </c>
      <c r="AJ18" s="629">
        <f>_xlfn.XLOOKUP($E18,'Løp 6'!$E$10:$E$90,'Løp 6'!$L$10:$L$90,0)</f>
        <v>1.1437908496732027E-2</v>
      </c>
      <c r="AK18" s="628">
        <f>_xlfn.XLOOKUP($E18,'Løp 7'!$E$10:$E$90,'Løp 7'!$M$10:$M$90,0)</f>
        <v>50</v>
      </c>
      <c r="AL18" s="629">
        <f>_xlfn.XLOOKUP($E18,'Løp 7'!$E$10:$E$90,'Løp 7'!$O$10:$O$90,0)</f>
        <v>50</v>
      </c>
      <c r="AM18" s="629" t="str">
        <f>_xlfn.XLOOKUP($E18,'Løp 7'!$E$10:$E$90,'Løp 7'!$L$10:$L$90,0)</f>
        <v>Brutt</v>
      </c>
      <c r="AN18" s="628">
        <f>_xlfn.XLOOKUP($E18,'Løp 8'!$E$10:$E$91,'Løp 8'!$M$10:$M$91,0)</f>
        <v>94</v>
      </c>
      <c r="AO18" s="629">
        <f>_xlfn.XLOOKUP($E18,'Løp 8'!$E$10:$E$91,'Løp 8'!$O$10:$O$91,0)</f>
        <v>94</v>
      </c>
      <c r="AP18" s="629" t="str">
        <f>_xlfn.XLOOKUP($E18,'Løp 8'!$E$10:$E$91,'Løp 8'!$L$10:$L$91,0)</f>
        <v>Arr</v>
      </c>
      <c r="AQ18" s="628">
        <f>_xlfn.XLOOKUP($E18,'Løp 9'!$E$10:$E$91,'Løp 9'!$M$10:$M$91,0)</f>
        <v>71</v>
      </c>
      <c r="AR18" s="629">
        <f>_xlfn.XLOOKUP($E18,'Løp 9'!$E$10:$E$91,'Løp 9'!$O$10:$O$91,0)</f>
        <v>89</v>
      </c>
      <c r="AS18" s="629">
        <f>_xlfn.XLOOKUP($E18,'Løp 9'!$E$10:$E$91,'Løp 9'!$L$10:$L$91,0)</f>
        <v>9.5486111111111119E-3</v>
      </c>
      <c r="AT18" s="628">
        <f>_xlfn.XLOOKUP($E18,'Løp 10'!$E$10:$E$91,'Løp 10'!$M$10:$M$91,0)</f>
        <v>65</v>
      </c>
      <c r="AU18" s="629">
        <f>_xlfn.XLOOKUP($E18,'Løp 10'!$E$10:$E$91,'Løp 10'!$O$10:$O$91,0)</f>
        <v>91</v>
      </c>
      <c r="AV18" s="629">
        <f>_xlfn.XLOOKUP($E18,'Løp 10'!$E$10:$E$91,'Løp 10'!$L$10:$L$91,0)</f>
        <v>1.1429398148148147E-2</v>
      </c>
      <c r="AW18" s="628">
        <f>_xlfn.XLOOKUP($E18,'Løp 11'!$E$10:$E$91,'Løp 11'!$M$10:$M$91,0)</f>
        <v>66</v>
      </c>
      <c r="AX18" s="629">
        <f>_xlfn.XLOOKUP($E18,'Løp 11'!$E$10:$E$91,'Løp 11'!$O$10:$O$91,0)</f>
        <v>93</v>
      </c>
      <c r="AY18" s="629">
        <f>_xlfn.XLOOKUP($E18,'Løp 11'!$E$10:$E$91,'Løp 11'!$L$10:$L$91,0)</f>
        <v>1.113215488215488E-2</v>
      </c>
      <c r="AZ18" s="628">
        <f>_xlfn.XLOOKUP($E18,'Løp 12'!$E$10:$E$91,'Løp 12'!$M$10:$M$91,0)</f>
        <v>0</v>
      </c>
      <c r="BA18" s="629">
        <f>_xlfn.XLOOKUP($E18,'Løp 12'!$E$10:$E$91,'Løp 12'!$O$10:$O$91,0)</f>
        <v>0</v>
      </c>
      <c r="BB18" s="629">
        <f>_xlfn.XLOOKUP($E18,'Løp 12'!$E$10:$E$91,'Løp 12'!$L$10:$L$91,0)</f>
        <v>0</v>
      </c>
      <c r="BC18" s="628">
        <f>_xlfn.XLOOKUP($E18,'Løp 13'!$E$10:$E$91,'Løp 13'!$M$10:$M$91,0)</f>
        <v>0</v>
      </c>
      <c r="BD18" s="629">
        <f>_xlfn.XLOOKUP($E18,'Løp 13'!$E$10:$E$91,'Løp 13'!$O$10:$O$91,0)</f>
        <v>0</v>
      </c>
      <c r="BE18" s="629">
        <f>_xlfn.XLOOKUP($E18,'Løp 13'!$E$10:$E$91,'Løp 13'!$L$10:$L$91,0)</f>
        <v>0</v>
      </c>
      <c r="BF18" s="628">
        <f>_xlfn.XLOOKUP($E18,'Løp 14'!$E$10:$E$91,'Løp 14'!$M$10:$M$91,0)</f>
        <v>50</v>
      </c>
      <c r="BG18" s="629">
        <f>_xlfn.XLOOKUP($E18,'Løp 14'!$E$10:$E$91,'Løp 14'!$O$10:$O$91,0)</f>
        <v>62</v>
      </c>
      <c r="BH18" s="629">
        <f>_xlfn.XLOOKUP($E18,'Løp 14'!$E$10:$E$91,'Løp 14'!$L$10:$L$91,0)</f>
        <v>1.4456018518518519E-2</v>
      </c>
      <c r="BI18" s="628">
        <f>_xlfn.XLOOKUP($E18,'Løp 15'!$E$10:$E$91,'Løp 15'!$M$10:$M$91,0)</f>
        <v>54</v>
      </c>
      <c r="BJ18" s="629">
        <f>_xlfn.XLOOKUP($E18,'Løp 15'!$E$10:$E$91,'Løp 15'!$O$10:$O$91,0)</f>
        <v>69</v>
      </c>
      <c r="BK18" s="629">
        <f>_xlfn.XLOOKUP($E18,'Løp 15'!$E$10:$E$91,'Løp 15'!$L$10:$L$91,0)</f>
        <v>1.6060405643738979E-2</v>
      </c>
      <c r="BL18" s="628">
        <f>_xlfn.XLOOKUP($E18,'Løp 16'!$E$10:$E$91,'Løp 16'!$M$10:$M$91,0)</f>
        <v>50</v>
      </c>
      <c r="BM18" s="629">
        <f>_xlfn.XLOOKUP($E18,'Løp 16'!$E$10:$E$91,'Løp 16'!$O$10:$O$91,0)</f>
        <v>67</v>
      </c>
      <c r="BN18" s="629">
        <f>_xlfn.XLOOKUP($E18,'Løp 16'!$E$10:$E$91,'Løp 16'!$L$10:$L$91,0)</f>
        <v>1.5202294685990339E-2</v>
      </c>
      <c r="BO18" s="628">
        <f>_xlfn.XLOOKUP($E18,'Løp 17'!$E$10:$E$91,'Løp 17'!$M$10:$M$91,0)</f>
        <v>50</v>
      </c>
      <c r="BP18" s="629">
        <f>_xlfn.XLOOKUP($E18,'Løp 17'!$E$10:$E$91,'Løp 17'!$O$10:$O$91,0)</f>
        <v>71</v>
      </c>
      <c r="BQ18" s="629">
        <f>_xlfn.XLOOKUP($E18,'Løp 17'!$E$10:$E$91,'Løp 17'!$L$10:$L$91,0)</f>
        <v>1.3084795321637428E-2</v>
      </c>
      <c r="BR18" s="628">
        <f>_xlfn.XLOOKUP($E18,'Løp 18'!$E$10:$E$91,'Løp 18'!$M$10:$M$91,0)</f>
        <v>67</v>
      </c>
      <c r="BS18" s="629">
        <f>_xlfn.XLOOKUP($E18,'Løp 18'!$E$10:$E$91,'Løp 18'!$O$10:$O$91,0)</f>
        <v>92</v>
      </c>
      <c r="BT18" s="629">
        <f>_xlfn.XLOOKUP($E18,'Løp 18'!$E$10:$E$91,'Løp 18'!$L$10:$L$91,0)</f>
        <v>1.0653935185185185E-2</v>
      </c>
      <c r="BU18" s="628">
        <f>_xlfn.XLOOKUP($E18,'Løp 19'!$E$10:$E$91,'Løp 19'!$M$10:$M$91,0)</f>
        <v>67</v>
      </c>
      <c r="BV18" s="629">
        <f>_xlfn.XLOOKUP($E18,'Løp 19'!$E$10:$E$91,'Løp 19'!$O$10:$O$91,0)</f>
        <v>91</v>
      </c>
      <c r="BW18" s="629">
        <f>_xlfn.XLOOKUP($E18,'Løp 19'!$E$10:$E$91,'Løp 19'!$L$10:$L$91,0)</f>
        <v>1.2307098765432099E-2</v>
      </c>
      <c r="BX18" s="628">
        <f>_xlfn.XLOOKUP($E18,'Løp 20'!$E$10:$E$92,'Løp 20'!$M$10:$M$92,0)</f>
        <v>62</v>
      </c>
      <c r="BY18" s="629">
        <f>_xlfn.XLOOKUP($E18,'Løp 20'!$E$10:$E$92,'Løp 20'!$O$10:$O$92,0)</f>
        <v>86</v>
      </c>
      <c r="BZ18" s="629">
        <f>_xlfn.XLOOKUP($E18,'Løp 20'!$E$10:$E$92,'Løp 20'!$L$10:$L$92,0)</f>
        <v>1.2571649029982363E-2</v>
      </c>
      <c r="CA18" s="628">
        <f>_xlfn.XLOOKUP($E18,'Løp 21'!$E$10:$E$93,'Løp 21'!$M$10:$M$93,0)</f>
        <v>69</v>
      </c>
      <c r="CB18" s="629">
        <f>_xlfn.XLOOKUP($E18,'Løp 21'!$E$10:$E$93,'Løp 21'!$O$10:$O$93,0)</f>
        <v>100</v>
      </c>
      <c r="CC18" s="629">
        <f>_xlfn.XLOOKUP($E18,'Løp 21'!$E$10:$E$93,'Løp 21'!$L$10:$L$93,0)</f>
        <v>8.8264895330112739E-3</v>
      </c>
      <c r="CD18" s="628">
        <f>_xlfn.XLOOKUP($E18,'Løp 22'!$E$10:$E$93,'Løp 22'!$M$10:$M$93,0)</f>
        <v>70</v>
      </c>
      <c r="CE18" s="629">
        <f>_xlfn.XLOOKUP($E18,'Løp 22'!$E$10:$E$93,'Løp 22'!$O$10:$O$93,0)</f>
        <v>100</v>
      </c>
      <c r="CF18" s="629">
        <f>_xlfn.XLOOKUP($E18,'Løp 22'!$E$10:$E$93,'Løp 22'!$L$10:$L$93,0)</f>
        <v>9.9426807760141095E-3</v>
      </c>
      <c r="CG18" s="628">
        <f>_xlfn.XLOOKUP($E18,'Løp 23'!$E$10:$E$93,'Løp 23'!$M$10:$M$93,0)</f>
        <v>55</v>
      </c>
      <c r="CH18" s="629">
        <f>_xlfn.XLOOKUP($E18,'Løp 23'!$E$10:$E$93,'Løp 23'!$O$10:$O$93,0)</f>
        <v>78</v>
      </c>
      <c r="CI18" s="629">
        <f>_xlfn.XLOOKUP($E18,'Løp 23'!$E$10:$E$93,'Løp 23'!$L$10:$L$93,0)</f>
        <v>9.4907407407407406E-3</v>
      </c>
      <c r="CJ18" s="628">
        <f>_xlfn.XLOOKUP($E18,'Løp 24'!$E$10:$E$93,'Løp 24'!$M$10:$M$93,0)</f>
        <v>94</v>
      </c>
      <c r="CK18" s="629">
        <f>_xlfn.XLOOKUP($E18,'Løp 24'!$E$10:$E$93,'Løp 24'!$O$10:$O$93,0)</f>
        <v>94</v>
      </c>
      <c r="CL18" s="629" t="str">
        <f>_xlfn.XLOOKUP($E18,'Løp 24'!$E$10:$E$93,'Løp 24'!$L$10:$L$93,0)</f>
        <v>Arr</v>
      </c>
      <c r="CM18" s="628">
        <f>_xlfn.XLOOKUP($E18,'Løp 25'!$E$10:$E$94,'Løp 25'!$M$10:$M$94,0)</f>
        <v>51</v>
      </c>
      <c r="CN18" s="629">
        <f>_xlfn.XLOOKUP($E18,'Løp 25'!$E$10:$E$94,'Løp 25'!$O$10:$O$94,0)</f>
        <v>73</v>
      </c>
      <c r="CO18" s="629">
        <f>_xlfn.XLOOKUP($E18,'Løp 25'!$E$10:$E$94,'Løp 25'!$L$10:$L$94,0)</f>
        <v>1.4056069958847735E-2</v>
      </c>
      <c r="CP18" s="628">
        <f>_xlfn.XLOOKUP($E18,'Løp 26'!$E$10:$E$94,'Løp 26'!$M$10:$M$94,0)</f>
        <v>54</v>
      </c>
      <c r="CQ18" s="629">
        <f>_xlfn.XLOOKUP($E18,'Løp 26'!$E$10:$E$94,'Løp 26'!$O$10:$O$94,0)</f>
        <v>80</v>
      </c>
      <c r="CR18" s="629">
        <f>_xlfn.XLOOKUP($E18,'Løp 26'!$E$10:$E$94,'Løp 26'!$L$10:$L$94,0)</f>
        <v>1.3172186609686609E-2</v>
      </c>
      <c r="CS18" s="628">
        <f>_xlfn.XLOOKUP($E18,'Løp 27'!$E$10:$E$94,'Løp 27'!$M$10:$M$94,0)</f>
        <v>57</v>
      </c>
      <c r="CT18" s="629">
        <f>_xlfn.XLOOKUP($E18,'Løp 27'!$E$10:$E$94,'Løp 27'!$O$10:$O$94,0)</f>
        <v>86</v>
      </c>
      <c r="CU18" s="629">
        <f>_xlfn.XLOOKUP($E18,'Løp 27'!$E$10:$E$94,'Løp 27'!$L$10:$L$94,0)</f>
        <v>1.1921296296296296E-2</v>
      </c>
      <c r="CV18" s="628">
        <f>_xlfn.XLOOKUP($E18,'Løp 28'!$E$10:$E$95,'Løp 28'!$M$10:$M$95,0)</f>
        <v>50</v>
      </c>
      <c r="CW18" s="629">
        <f>_xlfn.XLOOKUP($E18,'Løp 28'!$E$10:$E$95,'Løp 28'!$O$10:$O$95,0)</f>
        <v>73</v>
      </c>
      <c r="CX18" s="629">
        <f>_xlfn.XLOOKUP($E18,'Løp 28'!$E$10:$E$95,'Løp 28'!$L$10:$L$95,0)</f>
        <v>1.3993055555555555E-2</v>
      </c>
      <c r="CY18" s="628">
        <f>_xlfn.XLOOKUP($E18,'Løp 29'!$E$10:$E$95,'Løp 29'!$M$10:$M$95,0)</f>
        <v>51</v>
      </c>
      <c r="CZ18" s="629">
        <f>_xlfn.XLOOKUP($E18,'Løp 29'!$E$10:$E$95,'Løp 29'!$O$10:$O$95,0)</f>
        <v>73</v>
      </c>
      <c r="DA18" s="629">
        <f>_xlfn.XLOOKUP($E18,'Løp 29'!$E$10:$E$95,'Løp 29'!$L$10:$L$95,0)</f>
        <v>1.429398148148148E-2</v>
      </c>
    </row>
    <row r="19" spans="2:105" ht="26" thickBot="1" x14ac:dyDescent="0.3">
      <c r="B19" s="627">
        <f t="shared" si="0"/>
        <v>10</v>
      </c>
      <c r="C19" s="119" t="s">
        <v>106</v>
      </c>
      <c r="D19" s="620" t="s">
        <v>107</v>
      </c>
      <c r="E19" s="616" t="str">
        <f>_xlfn.CONCAT(C19:D19)</f>
        <v>Jon ArneKlemetsaune</v>
      </c>
      <c r="F19" s="610"/>
      <c r="G19" s="653">
        <f>COUNTIF(S19:DA19,"&gt;2")/2</f>
        <v>24</v>
      </c>
      <c r="H19" s="852">
        <f>COUNTIF(S19:DA19,"=Løype")+COUNTIF(S19:DA19,"Arr")</f>
        <v>2</v>
      </c>
      <c r="I19" s="610"/>
      <c r="J19" s="632">
        <f>S19+V19+Y19+AB19+AE19+AH19+AK19+AN19+AQ19+AT19+AW19+AZ19+BC19+BF19+BI19+BL19+BO19+BR19+BU19+BX19+CA19+CD19+CG19+CJ19+CM19+CP19+CS19+CV19+CY19</f>
        <v>1876</v>
      </c>
      <c r="K19" s="633">
        <f>T19+W19+Z19+AC19+AF19+AI19+AL19+AO19+AR19+AU19+AX19+BA19+BD19+BG19+BJ19+BM19+BP19+BS19+BV19+BY19+CB19+CE19+CH19+CK19+CN19+CQ19+CT19+CW19+CZ19</f>
        <v>1912</v>
      </c>
      <c r="L19" s="613"/>
      <c r="M19" s="658">
        <f>IF($G19&gt;0,J19/G19,0)</f>
        <v>78.166666666666671</v>
      </c>
      <c r="N19" s="659">
        <f>IF($G19&gt;0,K19/$G19,0)</f>
        <v>79.666666666666671</v>
      </c>
      <c r="O19" s="862"/>
      <c r="P19" s="874">
        <f>IF(AND($G19&gt;$Q$3-1,$G19-$H19&gt;0),M19,0)</f>
        <v>78.166666666666671</v>
      </c>
      <c r="Q19" s="875">
        <f>IF(AND($G19&gt;$Q$3-1,$G19-$H19&gt;0),N19,0)</f>
        <v>79.666666666666671</v>
      </c>
      <c r="R19" s="613"/>
      <c r="S19" s="628">
        <f>_xlfn.XLOOKUP($E19,'Løp 1'!$E$10:$E$90,'Løp 1'!$M$10:$M$90,0)</f>
        <v>0</v>
      </c>
      <c r="T19" s="629">
        <f>_xlfn.XLOOKUP($E19,'Løp 1'!$E$10:$E$90,'Løp 1'!$O$10:$O$90,0)</f>
        <v>0</v>
      </c>
      <c r="U19" s="629">
        <f>_xlfn.XLOOKUP($E19,'Løp 1'!$E$10:$E$90,'Løp 1'!$L$10:$L$90,0)</f>
        <v>0</v>
      </c>
      <c r="V19" s="628">
        <f>_xlfn.XLOOKUP($E19,'Løp 2'!$E$10:$E$90,'Løp 2'!$M$10:$M$90,0)</f>
        <v>82</v>
      </c>
      <c r="W19" s="629">
        <f>_xlfn.XLOOKUP($E19,'Løp 2'!$E$10:$E$90,'Løp 2'!$O$10:$O$90,0)</f>
        <v>73</v>
      </c>
      <c r="X19" s="629">
        <f>_xlfn.XLOOKUP($E19,'Løp 2'!$E$10:$E$90,'Løp 2'!$L$10:$L$90,0)</f>
        <v>1.090029761904762E-2</v>
      </c>
      <c r="Y19" s="628">
        <f>_xlfn.XLOOKUP($E19,'Løp 3'!$E$10:$E$90,'Løp 3'!$M$10:$M$90,0)</f>
        <v>78</v>
      </c>
      <c r="Z19" s="629">
        <f>_xlfn.XLOOKUP($E19,'Løp 3'!$E$10:$E$90,'Løp 3'!$O$10:$O$90,0)</f>
        <v>78</v>
      </c>
      <c r="AA19" s="629">
        <f>_xlfn.XLOOKUP($E19,'Løp 3'!$E$10:$E$90,'Løp 3'!$L$10:$L$90,0)</f>
        <v>1.1537698412698413E-2</v>
      </c>
      <c r="AB19" s="628">
        <f>_xlfn.XLOOKUP($E19,'Løp 4'!$E$10:$E$90,'Løp 4'!$M$10:$M$90,0)</f>
        <v>75</v>
      </c>
      <c r="AC19" s="629">
        <f>_xlfn.XLOOKUP($E19,'Løp 4'!$E$10:$E$90,'Løp 4'!$O$10:$O$90,0)</f>
        <v>85</v>
      </c>
      <c r="AD19" s="629">
        <f>_xlfn.XLOOKUP($E19,'Løp 4'!$E$10:$E$90,'Løp 4'!$L$10:$L$90,0)</f>
        <v>9.2129629629629627E-3</v>
      </c>
      <c r="AE19" s="628">
        <f>_xlfn.XLOOKUP($E19,'Løp 5'!$E$10:$E$90,'Løp 5'!$M$10:$M$90,0)</f>
        <v>74</v>
      </c>
      <c r="AF19" s="629">
        <f>_xlfn.XLOOKUP($E19,'Løp 5'!$E$10:$E$90,'Løp 5'!$O$10:$O$90,0)</f>
        <v>75</v>
      </c>
      <c r="AG19" s="629">
        <f>_xlfn.XLOOKUP($E19,'Løp 5'!$E$10:$E$90,'Løp 5'!$L$10:$L$90,0)</f>
        <v>9.8208161865569275E-3</v>
      </c>
      <c r="AH19" s="628">
        <f>_xlfn.XLOOKUP($E19,'Løp 6'!$E$10:$E$90,'Løp 6'!$M$10:$M$90,0)</f>
        <v>82</v>
      </c>
      <c r="AI19" s="629">
        <f>_xlfn.XLOOKUP($E19,'Løp 6'!$E$10:$E$90,'Løp 6'!$O$10:$O$90,0)</f>
        <v>87</v>
      </c>
      <c r="AJ19" s="629">
        <f>_xlfn.XLOOKUP($E19,'Løp 6'!$E$10:$E$90,'Løp 6'!$L$10:$L$90,0)</f>
        <v>9.5138888888888894E-3</v>
      </c>
      <c r="AK19" s="628">
        <f>_xlfn.XLOOKUP($E19,'Løp 7'!$E$10:$E$90,'Løp 7'!$M$10:$M$90,0)</f>
        <v>100</v>
      </c>
      <c r="AL19" s="629">
        <f>_xlfn.XLOOKUP($E19,'Løp 7'!$E$10:$E$90,'Løp 7'!$O$10:$O$90,0)</f>
        <v>100</v>
      </c>
      <c r="AM19" s="629" t="str">
        <f>_xlfn.XLOOKUP($E19,'Løp 7'!$E$10:$E$90,'Løp 7'!$L$10:$L$90,0)</f>
        <v>Løype</v>
      </c>
      <c r="AN19" s="628">
        <f>_xlfn.XLOOKUP($E19,'Løp 8'!$E$10:$E$91,'Løp 8'!$M$10:$M$91,0)</f>
        <v>89</v>
      </c>
      <c r="AO19" s="629">
        <f>_xlfn.XLOOKUP($E19,'Løp 8'!$E$10:$E$91,'Løp 8'!$O$10:$O$91,0)</f>
        <v>78</v>
      </c>
      <c r="AP19" s="629">
        <f>_xlfn.XLOOKUP($E19,'Løp 8'!$E$10:$E$91,'Løp 8'!$L$10:$L$91,0)</f>
        <v>9.5591329966329963E-3</v>
      </c>
      <c r="AQ19" s="628">
        <f>_xlfn.XLOOKUP($E19,'Løp 9'!$E$10:$E$91,'Løp 9'!$M$10:$M$91,0)</f>
        <v>81</v>
      </c>
      <c r="AR19" s="629">
        <f>_xlfn.XLOOKUP($E19,'Løp 9'!$E$10:$E$91,'Løp 9'!$O$10:$O$91,0)</f>
        <v>75</v>
      </c>
      <c r="AS19" s="629">
        <f>_xlfn.XLOOKUP($E19,'Løp 9'!$E$10:$E$91,'Løp 9'!$L$10:$L$91,0)</f>
        <v>8.4378733572281952E-3</v>
      </c>
      <c r="AT19" s="628">
        <f>_xlfn.XLOOKUP($E19,'Løp 10'!$E$10:$E$91,'Løp 10'!$M$10:$M$91,0)</f>
        <v>85</v>
      </c>
      <c r="AU19" s="629">
        <f>_xlfn.XLOOKUP($E19,'Løp 10'!$E$10:$E$91,'Løp 10'!$O$10:$O$91,0)</f>
        <v>89</v>
      </c>
      <c r="AV19" s="629">
        <f>_xlfn.XLOOKUP($E19,'Løp 10'!$E$10:$E$91,'Løp 10'!$L$10:$L$91,0)</f>
        <v>8.7362825788751715E-3</v>
      </c>
      <c r="AW19" s="628">
        <f>_xlfn.XLOOKUP($E19,'Løp 11'!$E$10:$E$91,'Løp 11'!$M$10:$M$91,0)</f>
        <v>79</v>
      </c>
      <c r="AX19" s="629">
        <f>_xlfn.XLOOKUP($E19,'Løp 11'!$E$10:$E$91,'Løp 11'!$O$10:$O$91,0)</f>
        <v>83</v>
      </c>
      <c r="AY19" s="629">
        <f>_xlfn.XLOOKUP($E19,'Løp 11'!$E$10:$E$91,'Løp 11'!$L$10:$L$91,0)</f>
        <v>9.2411747685185175E-3</v>
      </c>
      <c r="AZ19" s="628">
        <f>_xlfn.XLOOKUP($E19,'Løp 12'!$E$10:$E$91,'Løp 12'!$M$10:$M$91,0)</f>
        <v>72</v>
      </c>
      <c r="BA19" s="629">
        <f>_xlfn.XLOOKUP($E19,'Løp 12'!$E$10:$E$91,'Løp 12'!$O$10:$O$91,0)</f>
        <v>81</v>
      </c>
      <c r="BB19" s="629">
        <f>_xlfn.XLOOKUP($E19,'Løp 12'!$E$10:$E$91,'Løp 12'!$L$10:$L$91,0)</f>
        <v>7.6636904761904767E-3</v>
      </c>
      <c r="BC19" s="628">
        <f>_xlfn.XLOOKUP($E19,'Løp 13'!$E$10:$E$91,'Løp 13'!$M$10:$M$91,0)</f>
        <v>0</v>
      </c>
      <c r="BD19" s="629">
        <f>_xlfn.XLOOKUP($E19,'Løp 13'!$E$10:$E$91,'Løp 13'!$O$10:$O$91,0)</f>
        <v>0</v>
      </c>
      <c r="BE19" s="629">
        <f>_xlfn.XLOOKUP($E19,'Løp 13'!$E$10:$E$91,'Løp 13'!$L$10:$L$91,0)</f>
        <v>0</v>
      </c>
      <c r="BF19" s="628">
        <f>_xlfn.XLOOKUP($E19,'Løp 14'!$E$10:$E$91,'Løp 14'!$M$10:$M$91,0)</f>
        <v>73</v>
      </c>
      <c r="BG19" s="629">
        <f>_xlfn.XLOOKUP($E19,'Løp 14'!$E$10:$E$91,'Løp 14'!$O$10:$O$91,0)</f>
        <v>77</v>
      </c>
      <c r="BH19" s="629">
        <f>_xlfn.XLOOKUP($E19,'Løp 14'!$E$10:$E$91,'Løp 14'!$L$10:$L$91,0)</f>
        <v>8.6118344907407402E-3</v>
      </c>
      <c r="BI19" s="628">
        <f>_xlfn.XLOOKUP($E19,'Løp 15'!$E$10:$E$91,'Løp 15'!$M$10:$M$91,0)</f>
        <v>0</v>
      </c>
      <c r="BJ19" s="629">
        <f>_xlfn.XLOOKUP($E19,'Løp 15'!$E$10:$E$91,'Løp 15'!$O$10:$O$91,0)</f>
        <v>0</v>
      </c>
      <c r="BK19" s="629">
        <f>_xlfn.XLOOKUP($E19,'Løp 15'!$E$10:$E$91,'Løp 15'!$L$10:$L$91,0)</f>
        <v>0</v>
      </c>
      <c r="BL19" s="628">
        <f>_xlfn.XLOOKUP($E19,'Løp 16'!$E$10:$E$91,'Løp 16'!$M$10:$M$91,0)</f>
        <v>0</v>
      </c>
      <c r="BM19" s="629">
        <f>_xlfn.XLOOKUP($E19,'Løp 16'!$E$10:$E$91,'Løp 16'!$O$10:$O$91,0)</f>
        <v>0</v>
      </c>
      <c r="BN19" s="629">
        <f>_xlfn.XLOOKUP($E19,'Løp 16'!$E$10:$E$91,'Løp 16'!$L$10:$L$91,0)</f>
        <v>0</v>
      </c>
      <c r="BO19" s="628">
        <f>_xlfn.XLOOKUP($E19,'Løp 17'!$E$10:$E$91,'Løp 17'!$M$10:$M$91,0)</f>
        <v>50</v>
      </c>
      <c r="BP19" s="629">
        <f>_xlfn.XLOOKUP($E19,'Løp 17'!$E$10:$E$91,'Løp 17'!$O$10:$O$91,0)</f>
        <v>50</v>
      </c>
      <c r="BQ19" s="629" t="str">
        <f>_xlfn.XLOOKUP($E19,'Løp 17'!$E$10:$E$91,'Løp 17'!$L$10:$L$91,0)</f>
        <v>Disk</v>
      </c>
      <c r="BR19" s="628">
        <f>_xlfn.XLOOKUP($E19,'Løp 18'!$E$10:$E$91,'Løp 18'!$M$10:$M$91,0)</f>
        <v>79</v>
      </c>
      <c r="BS19" s="629">
        <f>_xlfn.XLOOKUP($E19,'Løp 18'!$E$10:$E$91,'Løp 18'!$O$10:$O$91,0)</f>
        <v>80</v>
      </c>
      <c r="BT19" s="629">
        <f>_xlfn.XLOOKUP($E19,'Løp 18'!$E$10:$E$91,'Løp 18'!$L$10:$L$91,0)</f>
        <v>9.0494791666666657E-3</v>
      </c>
      <c r="BU19" s="628">
        <f>_xlfn.XLOOKUP($E19,'Løp 19'!$E$10:$E$91,'Løp 19'!$M$10:$M$91,0)</f>
        <v>85</v>
      </c>
      <c r="BV19" s="629">
        <f>_xlfn.XLOOKUP($E19,'Løp 19'!$E$10:$E$91,'Løp 19'!$O$10:$O$91,0)</f>
        <v>85</v>
      </c>
      <c r="BW19" s="629">
        <f>_xlfn.XLOOKUP($E19,'Løp 19'!$E$10:$E$91,'Løp 19'!$L$10:$L$91,0)</f>
        <v>9.6879286694101507E-3</v>
      </c>
      <c r="BX19" s="628">
        <f>_xlfn.XLOOKUP($E19,'Løp 20'!$E$10:$E$92,'Løp 20'!$M$10:$M$92,0)</f>
        <v>85</v>
      </c>
      <c r="BY19" s="629">
        <f>_xlfn.XLOOKUP($E19,'Løp 20'!$E$10:$E$92,'Løp 20'!$O$10:$O$92,0)</f>
        <v>87</v>
      </c>
      <c r="BZ19" s="629">
        <f>_xlfn.XLOOKUP($E19,'Løp 20'!$E$10:$E$92,'Løp 20'!$L$10:$L$92,0)</f>
        <v>9.1567460317460315E-3</v>
      </c>
      <c r="CA19" s="628">
        <f>_xlfn.XLOOKUP($E19,'Løp 21'!$E$10:$E$93,'Løp 21'!$M$10:$M$93,0)</f>
        <v>94</v>
      </c>
      <c r="CB19" s="629">
        <f>_xlfn.XLOOKUP($E19,'Løp 21'!$E$10:$E$93,'Løp 21'!$O$10:$O$93,0)</f>
        <v>94</v>
      </c>
      <c r="CC19" s="629" t="str">
        <f>_xlfn.XLOOKUP($E19,'Løp 21'!$E$10:$E$93,'Løp 21'!$L$10:$L$93,0)</f>
        <v>Arr</v>
      </c>
      <c r="CD19" s="628">
        <f>_xlfn.XLOOKUP($E19,'Løp 22'!$E$10:$E$93,'Løp 22'!$M$10:$M$93,0)</f>
        <v>71</v>
      </c>
      <c r="CE19" s="629">
        <f>_xlfn.XLOOKUP($E19,'Løp 22'!$E$10:$E$93,'Løp 22'!$O$10:$O$93,0)</f>
        <v>75</v>
      </c>
      <c r="CF19" s="629">
        <f>_xlfn.XLOOKUP($E19,'Løp 22'!$E$10:$E$93,'Løp 22'!$L$10:$L$93,0)</f>
        <v>9.8246082621082607E-3</v>
      </c>
      <c r="CG19" s="628">
        <f>_xlfn.XLOOKUP($E19,'Løp 23'!$E$10:$E$93,'Løp 23'!$M$10:$M$93,0)</f>
        <v>73</v>
      </c>
      <c r="CH19" s="629">
        <f>_xlfn.XLOOKUP($E19,'Løp 23'!$E$10:$E$93,'Løp 23'!$O$10:$O$93,0)</f>
        <v>78</v>
      </c>
      <c r="CI19" s="629">
        <f>_xlfn.XLOOKUP($E19,'Løp 23'!$E$10:$E$93,'Løp 23'!$L$10:$L$93,0)</f>
        <v>7.0561941251596431E-3</v>
      </c>
      <c r="CJ19" s="628">
        <f>_xlfn.XLOOKUP($E19,'Løp 24'!$E$10:$E$93,'Løp 24'!$M$10:$M$93,0)</f>
        <v>75</v>
      </c>
      <c r="CK19" s="629">
        <f>_xlfn.XLOOKUP($E19,'Løp 24'!$E$10:$E$93,'Løp 24'!$O$10:$O$93,0)</f>
        <v>66</v>
      </c>
      <c r="CL19" s="629">
        <f>_xlfn.XLOOKUP($E19,'Løp 24'!$E$10:$E$93,'Løp 24'!$L$10:$L$93,0)</f>
        <v>7.1348566308243721E-3</v>
      </c>
      <c r="CM19" s="628">
        <f>_xlfn.XLOOKUP($E19,'Løp 25'!$E$10:$E$94,'Løp 25'!$M$10:$M$94,0)</f>
        <v>70</v>
      </c>
      <c r="CN19" s="629">
        <f>_xlfn.XLOOKUP($E19,'Løp 25'!$E$10:$E$94,'Løp 25'!$O$10:$O$94,0)</f>
        <v>73</v>
      </c>
      <c r="CO19" s="629">
        <f>_xlfn.XLOOKUP($E19,'Løp 25'!$E$10:$E$94,'Løp 25'!$L$10:$L$94,0)</f>
        <v>1.0369646990740739E-2</v>
      </c>
      <c r="CP19" s="628">
        <f>_xlfn.XLOOKUP($E19,'Løp 26'!$E$10:$E$94,'Løp 26'!$M$10:$M$94,0)</f>
        <v>76</v>
      </c>
      <c r="CQ19" s="629">
        <f>_xlfn.XLOOKUP($E19,'Løp 26'!$E$10:$E$94,'Løp 26'!$O$10:$O$94,0)</f>
        <v>83</v>
      </c>
      <c r="CR19" s="629">
        <f>_xlfn.XLOOKUP($E19,'Løp 26'!$E$10:$E$94,'Løp 26'!$L$10:$L$94,0)</f>
        <v>9.3749999999999997E-3</v>
      </c>
      <c r="CS19" s="628">
        <f>_xlfn.XLOOKUP($E19,'Løp 27'!$E$10:$E$94,'Løp 27'!$M$10:$M$94,0)</f>
        <v>76</v>
      </c>
      <c r="CT19" s="629">
        <f>_xlfn.XLOOKUP($E19,'Løp 27'!$E$10:$E$94,'Løp 27'!$O$10:$O$94,0)</f>
        <v>83</v>
      </c>
      <c r="CU19" s="629">
        <f>_xlfn.XLOOKUP($E19,'Løp 27'!$E$10:$E$94,'Løp 27'!$L$10:$L$94,0)</f>
        <v>9.019204389574759E-3</v>
      </c>
      <c r="CV19" s="628">
        <f>_xlfn.XLOOKUP($E19,'Løp 28'!$E$10:$E$95,'Løp 28'!$M$10:$M$95,0)</f>
        <v>0</v>
      </c>
      <c r="CW19" s="629">
        <f>_xlfn.XLOOKUP($E19,'Løp 28'!$E$10:$E$95,'Løp 28'!$O$10:$O$95,0)</f>
        <v>0</v>
      </c>
      <c r="CX19" s="629">
        <f>_xlfn.XLOOKUP($E19,'Løp 28'!$E$10:$E$95,'Løp 28'!$L$10:$L$95,0)</f>
        <v>0</v>
      </c>
      <c r="CY19" s="628">
        <f>_xlfn.XLOOKUP($E19,'Løp 29'!$E$10:$E$95,'Løp 29'!$M$10:$M$95,0)</f>
        <v>72</v>
      </c>
      <c r="CZ19" s="629">
        <f>_xlfn.XLOOKUP($E19,'Løp 29'!$E$10:$E$95,'Løp 29'!$O$10:$O$95,0)</f>
        <v>77</v>
      </c>
      <c r="DA19" s="629">
        <f>_xlfn.XLOOKUP($E19,'Løp 29'!$E$10:$E$95,'Løp 29'!$L$10:$L$95,0)</f>
        <v>1.0090112433862434E-2</v>
      </c>
    </row>
    <row r="20" spans="2:105" ht="26" thickBot="1" x14ac:dyDescent="0.3">
      <c r="B20" s="627">
        <f t="shared" si="0"/>
        <v>11</v>
      </c>
      <c r="C20" s="119" t="s">
        <v>377</v>
      </c>
      <c r="D20" s="620" t="s">
        <v>83</v>
      </c>
      <c r="E20" s="616" t="str">
        <f>_xlfn.CONCAT(C20:D20)</f>
        <v>HildeForbord</v>
      </c>
      <c r="F20" s="610"/>
      <c r="G20" s="653">
        <f>COUNTIF(S20:DA20,"&gt;2")/2</f>
        <v>5</v>
      </c>
      <c r="H20" s="852">
        <f>COUNTIF(S20:DA20,"=Løype")+COUNTIF(S20:DA20,"Arr")</f>
        <v>0</v>
      </c>
      <c r="I20" s="610"/>
      <c r="J20" s="632">
        <f>S20+V20+Y20+AB20+AE20+AH20+AK20+AN20+AQ20+AT20+AW20+AZ20+BC20+BF20+BI20+BL20+BO20+BR20+BU20+BX20+CA20+CD20+CG20+CJ20+CM20+CP20+CS20+CV20+CY20</f>
        <v>402</v>
      </c>
      <c r="K20" s="633">
        <f>T20+W20+Z20+AC20+AF20+AI20+AL20+AO20+AR20+AU20+AX20+BA20+BD20+BG20+BJ20+BM20+BP20+BS20+BV20+BY20+CB20+CE20+CH20+CK20+CN20+CQ20+CT20+CW20+CZ20</f>
        <v>398</v>
      </c>
      <c r="L20" s="613"/>
      <c r="M20" s="658">
        <f>IF($G20&gt;0,J20/G20,0)</f>
        <v>80.400000000000006</v>
      </c>
      <c r="N20" s="659">
        <f>IF($G20&gt;0,K20/$G20,0)</f>
        <v>79.599999999999994</v>
      </c>
      <c r="O20" s="862"/>
      <c r="P20" s="874">
        <f>IF(AND($G20&gt;$Q$3-1,$G20-$H20&gt;0),M20,0)</f>
        <v>80.400000000000006</v>
      </c>
      <c r="Q20" s="875">
        <f>IF(AND($G20&gt;$Q$3-1,$G20-$H20&gt;0),N20,0)</f>
        <v>79.599999999999994</v>
      </c>
      <c r="R20" s="613"/>
      <c r="S20" s="628">
        <f>_xlfn.XLOOKUP($E20,'Løp 1'!$E$10:$E$90,'Løp 1'!$M$10:$M$90,0)</f>
        <v>0</v>
      </c>
      <c r="T20" s="629">
        <f>_xlfn.XLOOKUP($E20,'Løp 1'!$E$10:$E$90,'Løp 1'!$O$10:$O$90,0)</f>
        <v>0</v>
      </c>
      <c r="U20" s="629">
        <f>_xlfn.XLOOKUP($E20,'Løp 1'!$E$10:$E$90,'Løp 1'!$L$10:$L$90,0)</f>
        <v>0</v>
      </c>
      <c r="V20" s="628">
        <f>_xlfn.XLOOKUP($E20,'Løp 2'!$E$10:$E$90,'Løp 2'!$M$10:$M$90,0)</f>
        <v>0</v>
      </c>
      <c r="W20" s="629">
        <f>_xlfn.XLOOKUP($E20,'Løp 2'!$E$10:$E$90,'Løp 2'!$O$10:$O$90,0)</f>
        <v>0</v>
      </c>
      <c r="X20" s="629">
        <f>_xlfn.XLOOKUP($E20,'Løp 2'!$E$10:$E$90,'Løp 2'!$L$10:$L$90,0)</f>
        <v>0</v>
      </c>
      <c r="Y20" s="628">
        <f>_xlfn.XLOOKUP($E20,'Løp 3'!$E$10:$E$90,'Løp 3'!$M$10:$M$90,0)</f>
        <v>0</v>
      </c>
      <c r="Z20" s="629">
        <f>_xlfn.XLOOKUP($E20,'Løp 3'!$E$10:$E$90,'Løp 3'!$O$10:$O$90,0)</f>
        <v>0</v>
      </c>
      <c r="AA20" s="629">
        <f>_xlfn.XLOOKUP($E20,'Løp 3'!$E$10:$E$90,'Løp 3'!$L$10:$L$90,0)</f>
        <v>0</v>
      </c>
      <c r="AB20" s="628">
        <f>_xlfn.XLOOKUP($E20,'Løp 4'!$E$10:$E$90,'Løp 4'!$M$10:$M$90,0)</f>
        <v>0</v>
      </c>
      <c r="AC20" s="629">
        <f>_xlfn.XLOOKUP($E20,'Løp 4'!$E$10:$E$90,'Løp 4'!$O$10:$O$90,0)</f>
        <v>0</v>
      </c>
      <c r="AD20" s="629">
        <f>_xlfn.XLOOKUP($E20,'Løp 4'!$E$10:$E$90,'Løp 4'!$L$10:$L$90,0)</f>
        <v>0</v>
      </c>
      <c r="AE20" s="628">
        <f>_xlfn.XLOOKUP($E20,'Løp 5'!$E$10:$E$90,'Løp 5'!$M$10:$M$90,0)</f>
        <v>0</v>
      </c>
      <c r="AF20" s="629">
        <f>_xlfn.XLOOKUP($E20,'Løp 5'!$E$10:$E$90,'Løp 5'!$O$10:$O$90,0)</f>
        <v>0</v>
      </c>
      <c r="AG20" s="629">
        <f>_xlfn.XLOOKUP($E20,'Løp 5'!$E$10:$E$90,'Løp 5'!$L$10:$L$90,0)</f>
        <v>0</v>
      </c>
      <c r="AH20" s="628">
        <f>_xlfn.XLOOKUP($E20,'Løp 6'!$E$10:$E$90,'Løp 6'!$M$10:$M$90,0)</f>
        <v>0</v>
      </c>
      <c r="AI20" s="629">
        <f>_xlfn.XLOOKUP($E20,'Løp 6'!$E$10:$E$90,'Løp 6'!$O$10:$O$90,0)</f>
        <v>0</v>
      </c>
      <c r="AJ20" s="629">
        <f>_xlfn.XLOOKUP($E20,'Løp 6'!$E$10:$E$90,'Løp 6'!$L$10:$L$90,0)</f>
        <v>0</v>
      </c>
      <c r="AK20" s="628">
        <f>_xlfn.XLOOKUP($E20,'Løp 7'!$E$10:$E$90,'Løp 7'!$M$10:$M$90,0)</f>
        <v>0</v>
      </c>
      <c r="AL20" s="629">
        <f>_xlfn.XLOOKUP($E20,'Løp 7'!$E$10:$E$90,'Løp 7'!$O$10:$O$90,0)</f>
        <v>0</v>
      </c>
      <c r="AM20" s="629">
        <f>_xlfn.XLOOKUP($E20,'Løp 7'!$E$10:$E$90,'Løp 7'!$L$10:$L$90,0)</f>
        <v>0</v>
      </c>
      <c r="AN20" s="628">
        <f>_xlfn.XLOOKUP($E20,'Løp 8'!$E$10:$E$91,'Løp 8'!$M$10:$M$91,0)</f>
        <v>84</v>
      </c>
      <c r="AO20" s="629">
        <f>_xlfn.XLOOKUP($E20,'Løp 8'!$E$10:$E$91,'Løp 8'!$O$10:$O$91,0)</f>
        <v>72</v>
      </c>
      <c r="AP20" s="629">
        <f>_xlfn.XLOOKUP($E20,'Løp 8'!$E$10:$E$91,'Løp 8'!$L$10:$L$91,0)</f>
        <v>1.0122053872053871E-2</v>
      </c>
      <c r="AQ20" s="628">
        <f>_xlfn.XLOOKUP($E20,'Løp 9'!$E$10:$E$91,'Løp 9'!$M$10:$M$91,0)</f>
        <v>0</v>
      </c>
      <c r="AR20" s="629">
        <f>_xlfn.XLOOKUP($E20,'Løp 9'!$E$10:$E$91,'Løp 9'!$O$10:$O$91,0)</f>
        <v>0</v>
      </c>
      <c r="AS20" s="629">
        <f>_xlfn.XLOOKUP($E20,'Løp 9'!$E$10:$E$91,'Løp 9'!$L$10:$L$91,0)</f>
        <v>0</v>
      </c>
      <c r="AT20" s="628">
        <f>_xlfn.XLOOKUP($E20,'Løp 10'!$E$10:$E$91,'Løp 10'!$M$10:$M$91,0)</f>
        <v>0</v>
      </c>
      <c r="AU20" s="629">
        <f>_xlfn.XLOOKUP($E20,'Løp 10'!$E$10:$E$91,'Løp 10'!$O$10:$O$91,0)</f>
        <v>0</v>
      </c>
      <c r="AV20" s="629">
        <f>_xlfn.XLOOKUP($E20,'Løp 10'!$E$10:$E$91,'Løp 10'!$L$10:$L$91,0)</f>
        <v>0</v>
      </c>
      <c r="AW20" s="628">
        <f>_xlfn.XLOOKUP($E20,'Løp 11'!$E$10:$E$91,'Løp 11'!$M$10:$M$91,0)</f>
        <v>0</v>
      </c>
      <c r="AX20" s="629">
        <f>_xlfn.XLOOKUP($E20,'Løp 11'!$E$10:$E$91,'Løp 11'!$O$10:$O$91,0)</f>
        <v>0</v>
      </c>
      <c r="AY20" s="629">
        <f>_xlfn.XLOOKUP($E20,'Løp 11'!$E$10:$E$91,'Løp 11'!$L$10:$L$91,0)</f>
        <v>0</v>
      </c>
      <c r="AZ20" s="628">
        <f>_xlfn.XLOOKUP($E20,'Løp 12'!$E$10:$E$91,'Løp 12'!$M$10:$M$91,0)</f>
        <v>77</v>
      </c>
      <c r="BA20" s="629">
        <f>_xlfn.XLOOKUP($E20,'Løp 12'!$E$10:$E$91,'Løp 12'!$O$10:$O$91,0)</f>
        <v>84</v>
      </c>
      <c r="BB20" s="629">
        <f>_xlfn.XLOOKUP($E20,'Løp 12'!$E$10:$E$91,'Løp 12'!$L$10:$L$91,0)</f>
        <v>7.1676587301587307E-3</v>
      </c>
      <c r="BC20" s="628">
        <f>_xlfn.XLOOKUP($E20,'Løp 13'!$E$10:$E$91,'Løp 13'!$M$10:$M$91,0)</f>
        <v>71</v>
      </c>
      <c r="BD20" s="629">
        <f>_xlfn.XLOOKUP($E20,'Løp 13'!$E$10:$E$91,'Løp 13'!$O$10:$O$91,0)</f>
        <v>84</v>
      </c>
      <c r="BE20" s="629">
        <f>_xlfn.XLOOKUP($E20,'Løp 13'!$E$10:$E$91,'Løp 13'!$L$10:$L$91,0)</f>
        <v>7.6109514687100902E-3</v>
      </c>
      <c r="BF20" s="628">
        <f>_xlfn.XLOOKUP($E20,'Løp 14'!$E$10:$E$91,'Løp 14'!$M$10:$M$91,0)</f>
        <v>0</v>
      </c>
      <c r="BG20" s="629">
        <f>_xlfn.XLOOKUP($E20,'Løp 14'!$E$10:$E$91,'Løp 14'!$O$10:$O$91,0)</f>
        <v>0</v>
      </c>
      <c r="BH20" s="629">
        <f>_xlfn.XLOOKUP($E20,'Løp 14'!$E$10:$E$91,'Løp 14'!$L$10:$L$91,0)</f>
        <v>0</v>
      </c>
      <c r="BI20" s="628">
        <f>_xlfn.XLOOKUP($E20,'Løp 15'!$E$10:$E$91,'Løp 15'!$M$10:$M$91,0)</f>
        <v>0</v>
      </c>
      <c r="BJ20" s="629">
        <f>_xlfn.XLOOKUP($E20,'Løp 15'!$E$10:$E$91,'Løp 15'!$O$10:$O$91,0)</f>
        <v>0</v>
      </c>
      <c r="BK20" s="629">
        <f>_xlfn.XLOOKUP($E20,'Løp 15'!$E$10:$E$91,'Løp 15'!$L$10:$L$91,0)</f>
        <v>0</v>
      </c>
      <c r="BL20" s="628">
        <f>_xlfn.XLOOKUP($E20,'Løp 16'!$E$10:$E$91,'Løp 16'!$M$10:$M$91,0)</f>
        <v>0</v>
      </c>
      <c r="BM20" s="629">
        <f>_xlfn.XLOOKUP($E20,'Løp 16'!$E$10:$E$91,'Løp 16'!$O$10:$O$91,0)</f>
        <v>0</v>
      </c>
      <c r="BN20" s="629">
        <f>_xlfn.XLOOKUP($E20,'Løp 16'!$E$10:$E$91,'Løp 16'!$L$10:$L$91,0)</f>
        <v>0</v>
      </c>
      <c r="BO20" s="628">
        <f>_xlfn.XLOOKUP($E20,'Løp 17'!$E$10:$E$91,'Løp 17'!$M$10:$M$91,0)</f>
        <v>0</v>
      </c>
      <c r="BP20" s="629">
        <f>_xlfn.XLOOKUP($E20,'Løp 17'!$E$10:$E$91,'Løp 17'!$O$10:$O$91,0)</f>
        <v>0</v>
      </c>
      <c r="BQ20" s="629">
        <f>_xlfn.XLOOKUP($E20,'Løp 17'!$E$10:$E$91,'Løp 17'!$L$10:$L$91,0)</f>
        <v>0</v>
      </c>
      <c r="BR20" s="628">
        <f>_xlfn.XLOOKUP($E20,'Løp 18'!$E$10:$E$91,'Løp 18'!$M$10:$M$91,0)</f>
        <v>0</v>
      </c>
      <c r="BS20" s="629">
        <f>_xlfn.XLOOKUP($E20,'Løp 18'!$E$10:$E$91,'Løp 18'!$O$10:$O$91,0)</f>
        <v>0</v>
      </c>
      <c r="BT20" s="629">
        <f>_xlfn.XLOOKUP($E20,'Løp 18'!$E$10:$E$91,'Løp 18'!$L$10:$L$91,0)</f>
        <v>0</v>
      </c>
      <c r="BU20" s="628">
        <f>_xlfn.XLOOKUP($E20,'Løp 19'!$E$10:$E$91,'Løp 19'!$M$10:$M$91,0)</f>
        <v>0</v>
      </c>
      <c r="BV20" s="629">
        <f>_xlfn.XLOOKUP($E20,'Løp 19'!$E$10:$E$91,'Løp 19'!$O$10:$O$91,0)</f>
        <v>0</v>
      </c>
      <c r="BW20" s="629">
        <f>_xlfn.XLOOKUP($E20,'Løp 19'!$E$10:$E$91,'Løp 19'!$L$10:$L$91,0)</f>
        <v>0</v>
      </c>
      <c r="BX20" s="628">
        <f>_xlfn.XLOOKUP($E20,'Løp 20'!$E$10:$E$92,'Løp 20'!$M$10:$M$92,0)</f>
        <v>0</v>
      </c>
      <c r="BY20" s="629">
        <f>_xlfn.XLOOKUP($E20,'Løp 20'!$E$10:$E$92,'Løp 20'!$O$10:$O$92,0)</f>
        <v>0</v>
      </c>
      <c r="BZ20" s="629">
        <f>_xlfn.XLOOKUP($E20,'Løp 20'!$E$10:$E$92,'Løp 20'!$L$10:$L$92,0)</f>
        <v>0</v>
      </c>
      <c r="CA20" s="628">
        <f>_xlfn.XLOOKUP($E20,'Løp 21'!$E$10:$E$93,'Løp 21'!$M$10:$M$93,0)</f>
        <v>0</v>
      </c>
      <c r="CB20" s="629">
        <f>_xlfn.XLOOKUP($E20,'Løp 21'!$E$10:$E$93,'Løp 21'!$O$10:$O$93,0)</f>
        <v>0</v>
      </c>
      <c r="CC20" s="629">
        <f>_xlfn.XLOOKUP($E20,'Løp 21'!$E$10:$E$93,'Løp 21'!$L$10:$L$93,0)</f>
        <v>0</v>
      </c>
      <c r="CD20" s="628">
        <f>_xlfn.XLOOKUP($E20,'Løp 22'!$E$10:$E$93,'Løp 22'!$M$10:$M$93,0)</f>
        <v>0</v>
      </c>
      <c r="CE20" s="629">
        <f>_xlfn.XLOOKUP($E20,'Løp 22'!$E$10:$E$93,'Løp 22'!$O$10:$O$93,0)</f>
        <v>0</v>
      </c>
      <c r="CF20" s="629">
        <f>_xlfn.XLOOKUP($E20,'Løp 22'!$E$10:$E$93,'Løp 22'!$L$10:$L$93,0)</f>
        <v>0</v>
      </c>
      <c r="CG20" s="628">
        <f>_xlfn.XLOOKUP($E20,'Løp 23'!$E$10:$E$93,'Løp 23'!$M$10:$M$93,0)</f>
        <v>84</v>
      </c>
      <c r="CH20" s="629">
        <f>_xlfn.XLOOKUP($E20,'Løp 23'!$E$10:$E$93,'Løp 23'!$O$10:$O$93,0)</f>
        <v>85</v>
      </c>
      <c r="CI20" s="629">
        <f>_xlfn.XLOOKUP($E20,'Løp 23'!$E$10:$E$93,'Løp 23'!$L$10:$L$93,0)</f>
        <v>6.1342592592592594E-3</v>
      </c>
      <c r="CJ20" s="628">
        <f>_xlfn.XLOOKUP($E20,'Løp 24'!$E$10:$E$93,'Løp 24'!$M$10:$M$93,0)</f>
        <v>86</v>
      </c>
      <c r="CK20" s="629">
        <f>_xlfn.XLOOKUP($E20,'Løp 24'!$E$10:$E$93,'Løp 24'!$O$10:$O$93,0)</f>
        <v>73</v>
      </c>
      <c r="CL20" s="629">
        <f>_xlfn.XLOOKUP($E20,'Løp 24'!$E$10:$E$93,'Løp 24'!$L$10:$L$93,0)</f>
        <v>6.2126642771804068E-3</v>
      </c>
      <c r="CM20" s="628">
        <f>_xlfn.XLOOKUP($E20,'Løp 25'!$E$10:$E$94,'Løp 25'!$M$10:$M$94,0)</f>
        <v>0</v>
      </c>
      <c r="CN20" s="629">
        <f>_xlfn.XLOOKUP($E20,'Løp 25'!$E$10:$E$94,'Løp 25'!$O$10:$O$94,0)</f>
        <v>0</v>
      </c>
      <c r="CO20" s="629">
        <f>_xlfn.XLOOKUP($E20,'Løp 25'!$E$10:$E$94,'Løp 25'!$L$10:$L$94,0)</f>
        <v>0</v>
      </c>
      <c r="CP20" s="628">
        <f>_xlfn.XLOOKUP($E20,'Løp 26'!$E$10:$E$94,'Løp 26'!$M$10:$M$94,0)</f>
        <v>0</v>
      </c>
      <c r="CQ20" s="629">
        <f>_xlfn.XLOOKUP($E20,'Løp 26'!$E$10:$E$94,'Løp 26'!$O$10:$O$94,0)</f>
        <v>0</v>
      </c>
      <c r="CR20" s="629">
        <f>_xlfn.XLOOKUP($E20,'Løp 26'!$E$10:$E$94,'Løp 26'!$L$10:$L$94,0)</f>
        <v>0</v>
      </c>
      <c r="CS20" s="628">
        <f>_xlfn.XLOOKUP($E20,'Løp 27'!$E$10:$E$94,'Løp 27'!$M$10:$M$94,0)</f>
        <v>0</v>
      </c>
      <c r="CT20" s="629">
        <f>_xlfn.XLOOKUP($E20,'Løp 27'!$E$10:$E$94,'Løp 27'!$O$10:$O$94,0)</f>
        <v>0</v>
      </c>
      <c r="CU20" s="629">
        <f>_xlfn.XLOOKUP($E20,'Løp 27'!$E$10:$E$94,'Løp 27'!$L$10:$L$94,0)</f>
        <v>0</v>
      </c>
      <c r="CV20" s="628">
        <f>_xlfn.XLOOKUP($E20,'Løp 28'!$E$10:$E$95,'Løp 28'!$M$10:$M$95,0)</f>
        <v>0</v>
      </c>
      <c r="CW20" s="629">
        <f>_xlfn.XLOOKUP($E20,'Løp 28'!$E$10:$E$95,'Løp 28'!$O$10:$O$95,0)</f>
        <v>0</v>
      </c>
      <c r="CX20" s="629">
        <f>_xlfn.XLOOKUP($E20,'Løp 28'!$E$10:$E$95,'Løp 28'!$L$10:$L$95,0)</f>
        <v>0</v>
      </c>
      <c r="CY20" s="628">
        <f>_xlfn.XLOOKUP($E20,'Løp 29'!$E$10:$E$95,'Løp 29'!$M$10:$M$95,0)</f>
        <v>0</v>
      </c>
      <c r="CZ20" s="629">
        <f>_xlfn.XLOOKUP($E20,'Løp 29'!$E$10:$E$95,'Løp 29'!$O$10:$O$95,0)</f>
        <v>0</v>
      </c>
      <c r="DA20" s="629">
        <f>_xlfn.XLOOKUP($E20,'Løp 29'!$E$10:$E$95,'Løp 29'!$L$10:$L$95,0)</f>
        <v>0</v>
      </c>
    </row>
    <row r="21" spans="2:105" ht="26" thickBot="1" x14ac:dyDescent="0.3">
      <c r="B21" s="627">
        <f t="shared" si="0"/>
        <v>12</v>
      </c>
      <c r="C21" s="119" t="s">
        <v>134</v>
      </c>
      <c r="D21" s="620" t="s">
        <v>135</v>
      </c>
      <c r="E21" s="616" t="str">
        <f>_xlfn.CONCAT(C21:D21)</f>
        <v>IngeNørstebø</v>
      </c>
      <c r="F21" s="610"/>
      <c r="G21" s="653">
        <f>COUNTIF(S21:DA21,"&gt;2")/2</f>
        <v>26</v>
      </c>
      <c r="H21" s="852">
        <f>COUNTIF(S21:DA21,"=Løype")+COUNTIF(S21:DA21,"Arr")</f>
        <v>2</v>
      </c>
      <c r="I21" s="610"/>
      <c r="J21" s="632">
        <f>S21+V21+Y21+AB21+AE21+AH21+AK21+AN21+AQ21+AT21+AW21+AZ21+BC21+BF21+BI21+BL21+BO21+BR21+BU21+BX21+CA21+CD21+CG21+CJ21+CM21+CP21+CS21+CV21+CY21</f>
        <v>2362</v>
      </c>
      <c r="K21" s="633">
        <f>T21+W21+Z21+AC21+AF21+AI21+AL21+AO21+AR21+AU21+AX21+BA21+BD21+BG21+BJ21+BM21+BP21+BS21+BV21+BY21+CB21+CE21+CH21+CK21+CN21+CQ21+CT21+CW21+CZ21</f>
        <v>2063</v>
      </c>
      <c r="L21" s="613"/>
      <c r="M21" s="658">
        <f>IF($G21&gt;0,J21/G21,0)</f>
        <v>90.84615384615384</v>
      </c>
      <c r="N21" s="659">
        <f>IF($G21&gt;0,K21/$G21,0)</f>
        <v>79.34615384615384</v>
      </c>
      <c r="O21" s="862"/>
      <c r="P21" s="874">
        <f>IF(AND($G21&gt;$Q$3-1,$G21-$H21&gt;0),M21,0)</f>
        <v>90.84615384615384</v>
      </c>
      <c r="Q21" s="875">
        <f>IF(AND($G21&gt;$Q$3-1,$G21-$H21&gt;0),N21,0)</f>
        <v>79.34615384615384</v>
      </c>
      <c r="R21" s="613"/>
      <c r="S21" s="628">
        <f>_xlfn.XLOOKUP($E21,'Løp 1'!$E$10:$E$90,'Løp 1'!$M$10:$M$90,0)</f>
        <v>96</v>
      </c>
      <c r="T21" s="629">
        <f>_xlfn.XLOOKUP($E21,'Løp 1'!$E$10:$E$90,'Løp 1'!$O$10:$O$90,0)</f>
        <v>87</v>
      </c>
      <c r="U21" s="629">
        <f>_xlfn.XLOOKUP($E21,'Løp 1'!$E$10:$E$90,'Løp 1'!$L$10:$L$90,0)</f>
        <v>8.4410919540229886E-3</v>
      </c>
      <c r="V21" s="628">
        <f>_xlfn.XLOOKUP($E21,'Løp 2'!$E$10:$E$90,'Løp 2'!$M$10:$M$90,0)</f>
        <v>95</v>
      </c>
      <c r="W21" s="629">
        <f>_xlfn.XLOOKUP($E21,'Løp 2'!$E$10:$E$90,'Løp 2'!$O$10:$O$90,0)</f>
        <v>72</v>
      </c>
      <c r="X21" s="629">
        <f>_xlfn.XLOOKUP($E21,'Løp 2'!$E$10:$E$90,'Løp 2'!$L$10:$L$90,0)</f>
        <v>9.3625992063492078E-3</v>
      </c>
      <c r="Y21" s="628">
        <f>_xlfn.XLOOKUP($E21,'Løp 3'!$E$10:$E$90,'Løp 3'!$M$10:$M$90,0)</f>
        <v>84</v>
      </c>
      <c r="Z21" s="629">
        <f>_xlfn.XLOOKUP($E21,'Løp 3'!$E$10:$E$90,'Løp 3'!$O$10:$O$90,0)</f>
        <v>71</v>
      </c>
      <c r="AA21" s="629">
        <f>_xlfn.XLOOKUP($E21,'Løp 3'!$E$10:$E$90,'Løp 3'!$L$10:$L$90,0)</f>
        <v>1.0661375661375662E-2</v>
      </c>
      <c r="AB21" s="628">
        <f>_xlfn.XLOOKUP($E21,'Løp 4'!$E$10:$E$90,'Løp 4'!$M$10:$M$90,0)</f>
        <v>85</v>
      </c>
      <c r="AC21" s="629">
        <f>_xlfn.XLOOKUP($E21,'Løp 4'!$E$10:$E$90,'Løp 4'!$O$10:$O$90,0)</f>
        <v>81</v>
      </c>
      <c r="AD21" s="629">
        <f>_xlfn.XLOOKUP($E21,'Løp 4'!$E$10:$E$90,'Løp 4'!$L$10:$L$90,0)</f>
        <v>8.1404320987654311E-3</v>
      </c>
      <c r="AE21" s="628">
        <f>_xlfn.XLOOKUP($E21,'Løp 5'!$E$10:$E$90,'Løp 5'!$M$10:$M$90,0)</f>
        <v>97</v>
      </c>
      <c r="AF21" s="629">
        <f>_xlfn.XLOOKUP($E21,'Løp 5'!$E$10:$E$90,'Løp 5'!$O$10:$O$90,0)</f>
        <v>83</v>
      </c>
      <c r="AG21" s="629">
        <f>_xlfn.XLOOKUP($E21,'Løp 5'!$E$10:$E$90,'Løp 5'!$L$10:$L$90,0)</f>
        <v>7.4931412894375859E-3</v>
      </c>
      <c r="AH21" s="628">
        <f>_xlfn.XLOOKUP($E21,'Løp 6'!$E$10:$E$90,'Løp 6'!$M$10:$M$90,0)</f>
        <v>98</v>
      </c>
      <c r="AI21" s="629">
        <f>_xlfn.XLOOKUP($E21,'Løp 6'!$E$10:$E$90,'Løp 6'!$O$10:$O$90,0)</f>
        <v>87</v>
      </c>
      <c r="AJ21" s="629">
        <f>_xlfn.XLOOKUP($E21,'Løp 6'!$E$10:$E$90,'Løp 6'!$L$10:$L$90,0)</f>
        <v>8.024691358024692E-3</v>
      </c>
      <c r="AK21" s="628">
        <f>_xlfn.XLOOKUP($E21,'Løp 7'!$E$10:$E$90,'Løp 7'!$M$10:$M$90,0)</f>
        <v>94</v>
      </c>
      <c r="AL21" s="629">
        <f>_xlfn.XLOOKUP($E21,'Løp 7'!$E$10:$E$90,'Løp 7'!$O$10:$O$90,0)</f>
        <v>94</v>
      </c>
      <c r="AM21" s="629" t="str">
        <f>_xlfn.XLOOKUP($E21,'Løp 7'!$E$10:$E$90,'Løp 7'!$L$10:$L$90,0)</f>
        <v>Arr</v>
      </c>
      <c r="AN21" s="628">
        <f>_xlfn.XLOOKUP($E21,'Løp 8'!$E$10:$E$91,'Løp 8'!$M$10:$M$91,0)</f>
        <v>87</v>
      </c>
      <c r="AO21" s="629">
        <f>_xlfn.XLOOKUP($E21,'Løp 8'!$E$10:$E$91,'Løp 8'!$O$10:$O$91,0)</f>
        <v>64</v>
      </c>
      <c r="AP21" s="629">
        <f>_xlfn.XLOOKUP($E21,'Løp 8'!$E$10:$E$91,'Løp 8'!$L$10:$L$91,0)</f>
        <v>9.8221801346801332E-3</v>
      </c>
      <c r="AQ21" s="628">
        <f>_xlfn.XLOOKUP($E21,'Løp 9'!$E$10:$E$91,'Løp 9'!$M$10:$M$91,0)</f>
        <v>98</v>
      </c>
      <c r="AR21" s="629">
        <f>_xlfn.XLOOKUP($E21,'Løp 9'!$E$10:$E$91,'Løp 9'!$O$10:$O$91,0)</f>
        <v>77</v>
      </c>
      <c r="AS21" s="629">
        <f>_xlfn.XLOOKUP($E21,'Løp 9'!$E$10:$E$91,'Løp 9'!$L$10:$L$91,0)</f>
        <v>6.9668458781362002E-3</v>
      </c>
      <c r="AT21" s="628">
        <f>_xlfn.XLOOKUP($E21,'Løp 10'!$E$10:$E$91,'Løp 10'!$M$10:$M$91,0)</f>
        <v>89</v>
      </c>
      <c r="AU21" s="629">
        <f>_xlfn.XLOOKUP($E21,'Løp 10'!$E$10:$E$91,'Løp 10'!$O$10:$O$91,0)</f>
        <v>79</v>
      </c>
      <c r="AV21" s="629">
        <f>_xlfn.XLOOKUP($E21,'Løp 10'!$E$10:$E$91,'Løp 10'!$L$10:$L$91,0)</f>
        <v>8.3247599451303153E-3</v>
      </c>
      <c r="AW21" s="628">
        <f>_xlfn.XLOOKUP($E21,'Løp 11'!$E$10:$E$91,'Løp 11'!$M$10:$M$91,0)</f>
        <v>92</v>
      </c>
      <c r="AX21" s="629">
        <f>_xlfn.XLOOKUP($E21,'Løp 11'!$E$10:$E$91,'Løp 11'!$O$10:$O$91,0)</f>
        <v>82</v>
      </c>
      <c r="AY21" s="629">
        <f>_xlfn.XLOOKUP($E21,'Løp 11'!$E$10:$E$91,'Løp 11'!$L$10:$L$91,0)</f>
        <v>7.9535590277777773E-3</v>
      </c>
      <c r="AZ21" s="628">
        <f>_xlfn.XLOOKUP($E21,'Løp 12'!$E$10:$E$91,'Løp 12'!$M$10:$M$91,0)</f>
        <v>85</v>
      </c>
      <c r="BA21" s="629">
        <f>_xlfn.XLOOKUP($E21,'Løp 12'!$E$10:$E$91,'Løp 12'!$O$10:$O$91,0)</f>
        <v>80</v>
      </c>
      <c r="BB21" s="629">
        <f>_xlfn.XLOOKUP($E21,'Løp 12'!$E$10:$E$91,'Løp 12'!$L$10:$L$91,0)</f>
        <v>6.518683862433863E-3</v>
      </c>
      <c r="BC21" s="628">
        <f>_xlfn.XLOOKUP($E21,'Løp 13'!$E$10:$E$91,'Løp 13'!$M$10:$M$91,0)</f>
        <v>0</v>
      </c>
      <c r="BD21" s="629">
        <f>_xlfn.XLOOKUP($E21,'Løp 13'!$E$10:$E$91,'Løp 13'!$O$10:$O$91,0)</f>
        <v>0</v>
      </c>
      <c r="BE21" s="629">
        <f>_xlfn.XLOOKUP($E21,'Løp 13'!$E$10:$E$91,'Løp 13'!$L$10:$L$91,0)</f>
        <v>0</v>
      </c>
      <c r="BF21" s="628">
        <f>_xlfn.XLOOKUP($E21,'Løp 14'!$E$10:$E$91,'Løp 14'!$M$10:$M$91,0)</f>
        <v>87</v>
      </c>
      <c r="BG21" s="629">
        <f>_xlfn.XLOOKUP($E21,'Løp 14'!$E$10:$E$91,'Løp 14'!$O$10:$O$91,0)</f>
        <v>76</v>
      </c>
      <c r="BH21" s="629">
        <f>_xlfn.XLOOKUP($E21,'Løp 14'!$E$10:$E$91,'Løp 14'!$L$10:$L$91,0)</f>
        <v>7.2410300925925923E-3</v>
      </c>
      <c r="BI21" s="628">
        <f>_xlfn.XLOOKUP($E21,'Løp 15'!$E$10:$E$91,'Løp 15'!$M$10:$M$91,0)</f>
        <v>95</v>
      </c>
      <c r="BJ21" s="629">
        <f>_xlfn.XLOOKUP($E21,'Løp 15'!$E$10:$E$91,'Løp 15'!$O$10:$O$91,0)</f>
        <v>75</v>
      </c>
      <c r="BK21" s="629">
        <f>_xlfn.XLOOKUP($E21,'Løp 15'!$E$10:$E$91,'Løp 15'!$L$10:$L$91,0)</f>
        <v>9.1154601571268243E-3</v>
      </c>
      <c r="BL21" s="628">
        <f>_xlfn.XLOOKUP($E21,'Løp 16'!$E$10:$E$91,'Løp 16'!$M$10:$M$91,0)</f>
        <v>93</v>
      </c>
      <c r="BM21" s="629">
        <f>_xlfn.XLOOKUP($E21,'Løp 16'!$E$10:$E$91,'Løp 16'!$O$10:$O$91,0)</f>
        <v>85</v>
      </c>
      <c r="BN21" s="629">
        <f>_xlfn.XLOOKUP($E21,'Løp 16'!$E$10:$E$91,'Løp 16'!$L$10:$L$91,0)</f>
        <v>7.3855105105105102E-3</v>
      </c>
      <c r="BO21" s="628">
        <f>_xlfn.XLOOKUP($E21,'Løp 17'!$E$10:$E$91,'Løp 17'!$M$10:$M$91,0)</f>
        <v>91</v>
      </c>
      <c r="BP21" s="629">
        <f>_xlfn.XLOOKUP($E21,'Løp 17'!$E$10:$E$91,'Løp 17'!$O$10:$O$91,0)</f>
        <v>82</v>
      </c>
      <c r="BQ21" s="629">
        <f>_xlfn.XLOOKUP($E21,'Løp 17'!$E$10:$E$91,'Løp 17'!$L$10:$L$91,0)</f>
        <v>7.0003192848020444E-3</v>
      </c>
      <c r="BR21" s="628">
        <f>_xlfn.XLOOKUP($E21,'Løp 18'!$E$10:$E$91,'Løp 18'!$M$10:$M$91,0)</f>
        <v>95</v>
      </c>
      <c r="BS21" s="629">
        <f>_xlfn.XLOOKUP($E21,'Løp 18'!$E$10:$E$91,'Løp 18'!$O$10:$O$91,0)</f>
        <v>80</v>
      </c>
      <c r="BT21" s="629">
        <f>_xlfn.XLOOKUP($E21,'Løp 18'!$E$10:$E$91,'Løp 18'!$L$10:$L$91,0)</f>
        <v>7.548466435185185E-3</v>
      </c>
      <c r="BU21" s="628">
        <f>_xlfn.XLOOKUP($E21,'Løp 19'!$E$10:$E$91,'Løp 19'!$M$10:$M$91,0)</f>
        <v>96</v>
      </c>
      <c r="BV21" s="629">
        <f>_xlfn.XLOOKUP($E21,'Løp 19'!$E$10:$E$91,'Løp 19'!$O$10:$O$91,0)</f>
        <v>81</v>
      </c>
      <c r="BW21" s="629">
        <f>_xlfn.XLOOKUP($E21,'Løp 19'!$E$10:$E$91,'Løp 19'!$L$10:$L$91,0)</f>
        <v>8.5519547325102873E-3</v>
      </c>
      <c r="BX21" s="628">
        <f>_xlfn.XLOOKUP($E21,'Løp 20'!$E$10:$E$92,'Løp 20'!$M$10:$M$92,0)</f>
        <v>96</v>
      </c>
      <c r="BY21" s="629">
        <f>_xlfn.XLOOKUP($E21,'Løp 20'!$E$10:$E$92,'Løp 20'!$O$10:$O$92,0)</f>
        <v>82</v>
      </c>
      <c r="BZ21" s="629">
        <f>_xlfn.XLOOKUP($E21,'Løp 20'!$E$10:$E$92,'Løp 20'!$L$10:$L$92,0)</f>
        <v>8.1183862433862435E-3</v>
      </c>
      <c r="CA21" s="628">
        <f>_xlfn.XLOOKUP($E21,'Løp 21'!$E$10:$E$93,'Løp 21'!$M$10:$M$93,0)</f>
        <v>100</v>
      </c>
      <c r="CB21" s="629">
        <f>_xlfn.XLOOKUP($E21,'Løp 21'!$E$10:$E$93,'Løp 21'!$O$10:$O$93,0)</f>
        <v>100</v>
      </c>
      <c r="CC21" s="629" t="str">
        <f>_xlfn.XLOOKUP($E21,'Løp 21'!$E$10:$E$93,'Løp 21'!$L$10:$L$93,0)</f>
        <v>Løype</v>
      </c>
      <c r="CD21" s="628">
        <f>_xlfn.XLOOKUP($E21,'Løp 22'!$E$10:$E$93,'Løp 22'!$M$10:$M$93,0)</f>
        <v>86</v>
      </c>
      <c r="CE21" s="629">
        <f>_xlfn.XLOOKUP($E21,'Løp 22'!$E$10:$E$93,'Løp 22'!$O$10:$O$93,0)</f>
        <v>75</v>
      </c>
      <c r="CF21" s="629">
        <f>_xlfn.XLOOKUP($E21,'Løp 22'!$E$10:$E$93,'Løp 22'!$L$10:$L$93,0)</f>
        <v>8.128561253561253E-3</v>
      </c>
      <c r="CG21" s="628">
        <f>_xlfn.XLOOKUP($E21,'Løp 23'!$E$10:$E$93,'Løp 23'!$M$10:$M$93,0)</f>
        <v>0</v>
      </c>
      <c r="CH21" s="629">
        <f>_xlfn.XLOOKUP($E21,'Løp 23'!$E$10:$E$93,'Løp 23'!$O$10:$O$93,0)</f>
        <v>0</v>
      </c>
      <c r="CI21" s="629">
        <f>_xlfn.XLOOKUP($E21,'Løp 23'!$E$10:$E$93,'Løp 23'!$L$10:$L$93,0)</f>
        <v>0</v>
      </c>
      <c r="CJ21" s="628">
        <f>_xlfn.XLOOKUP($E21,'Løp 24'!$E$10:$E$93,'Løp 24'!$M$10:$M$93,0)</f>
        <v>86</v>
      </c>
      <c r="CK21" s="629">
        <f>_xlfn.XLOOKUP($E21,'Løp 24'!$E$10:$E$93,'Løp 24'!$O$10:$O$93,0)</f>
        <v>64</v>
      </c>
      <c r="CL21" s="629">
        <f>_xlfn.XLOOKUP($E21,'Løp 24'!$E$10:$E$93,'Løp 24'!$L$10:$L$93,0)</f>
        <v>6.2126642771804068E-3</v>
      </c>
      <c r="CM21" s="628">
        <f>_xlfn.XLOOKUP($E21,'Løp 25'!$E$10:$E$94,'Løp 25'!$M$10:$M$94,0)</f>
        <v>78</v>
      </c>
      <c r="CN21" s="629">
        <f>_xlfn.XLOOKUP($E21,'Løp 25'!$E$10:$E$94,'Løp 25'!$O$10:$O$94,0)</f>
        <v>69</v>
      </c>
      <c r="CO21" s="629">
        <f>_xlfn.XLOOKUP($E21,'Løp 25'!$E$10:$E$94,'Løp 25'!$L$10:$L$94,0)</f>
        <v>9.2447916666666668E-3</v>
      </c>
      <c r="CP21" s="628">
        <f>_xlfn.XLOOKUP($E21,'Løp 26'!$E$10:$E$94,'Løp 26'!$M$10:$M$94,0)</f>
        <v>0</v>
      </c>
      <c r="CQ21" s="629">
        <f>_xlfn.XLOOKUP($E21,'Løp 26'!$E$10:$E$94,'Løp 26'!$O$10:$O$94,0)</f>
        <v>0</v>
      </c>
      <c r="CR21" s="629">
        <f>_xlfn.XLOOKUP($E21,'Løp 26'!$E$10:$E$94,'Løp 26'!$L$10:$L$94,0)</f>
        <v>0</v>
      </c>
      <c r="CS21" s="628">
        <f>_xlfn.XLOOKUP($E21,'Løp 27'!$E$10:$E$94,'Løp 27'!$M$10:$M$94,0)</f>
        <v>100</v>
      </c>
      <c r="CT21" s="629">
        <f>_xlfn.XLOOKUP($E21,'Løp 27'!$E$10:$E$94,'Løp 27'!$O$10:$O$94,0)</f>
        <v>92</v>
      </c>
      <c r="CU21" s="629">
        <f>_xlfn.XLOOKUP($E21,'Løp 27'!$E$10:$E$94,'Løp 27'!$L$10:$L$94,0)</f>
        <v>6.8544238683127569E-3</v>
      </c>
      <c r="CV21" s="628">
        <f>_xlfn.XLOOKUP($E21,'Løp 28'!$E$10:$E$95,'Løp 28'!$M$10:$M$95,0)</f>
        <v>72</v>
      </c>
      <c r="CW21" s="629">
        <f>_xlfn.XLOOKUP($E21,'Løp 28'!$E$10:$E$95,'Løp 28'!$O$10:$O$95,0)</f>
        <v>68</v>
      </c>
      <c r="CX21" s="629">
        <f>_xlfn.XLOOKUP($E21,'Løp 28'!$E$10:$E$95,'Løp 28'!$L$10:$L$95,0)</f>
        <v>9.2592592592592605E-3</v>
      </c>
      <c r="CY21" s="628">
        <f>_xlfn.XLOOKUP($E21,'Løp 29'!$E$10:$E$95,'Løp 29'!$M$10:$M$95,0)</f>
        <v>87</v>
      </c>
      <c r="CZ21" s="629">
        <f>_xlfn.XLOOKUP($E21,'Løp 29'!$E$10:$E$95,'Løp 29'!$O$10:$O$95,0)</f>
        <v>77</v>
      </c>
      <c r="DA21" s="629">
        <f>_xlfn.XLOOKUP($E21,'Løp 29'!$E$10:$E$95,'Løp 29'!$L$10:$L$95,0)</f>
        <v>8.3498677248677253E-3</v>
      </c>
    </row>
    <row r="22" spans="2:105" ht="24" customHeight="1" thickBot="1" x14ac:dyDescent="0.3">
      <c r="B22" s="627">
        <f t="shared" si="0"/>
        <v>13</v>
      </c>
      <c r="C22" s="119" t="s">
        <v>120</v>
      </c>
      <c r="D22" s="620" t="s">
        <v>121</v>
      </c>
      <c r="E22" s="616" t="str">
        <f>_xlfn.CONCAT(C22:D22)</f>
        <v>KlausLivik</v>
      </c>
      <c r="F22" s="610"/>
      <c r="G22" s="653">
        <f>COUNTIF(S22:DA22,"&gt;2")/2</f>
        <v>22</v>
      </c>
      <c r="H22" s="852">
        <f>COUNTIF(S22:DA22,"=Løype")+COUNTIF(S22:DA22,"Arr")</f>
        <v>2</v>
      </c>
      <c r="I22" s="610"/>
      <c r="J22" s="632">
        <f>S22+V22+Y22+AB22+AE22+AH22+AK22+AN22+AQ22+AT22+AW22+AZ22+BC22+BF22+BI22+BL22+BO22+BR22+BU22+BX22+CA22+CD22+CG22+CJ22+CM22+CP22+CS22+CV22+CY22</f>
        <v>1881</v>
      </c>
      <c r="K22" s="633">
        <f>T22+W22+Z22+AC22+AF22+AI22+AL22+AO22+AR22+AU22+AX22+BA22+BD22+BG22+BJ22+BM22+BP22+BS22+BV22+BY22+CB22+CE22+CH22+CK22+CN22+CQ22+CT22+CW22+CZ22</f>
        <v>1724</v>
      </c>
      <c r="L22" s="613"/>
      <c r="M22" s="658">
        <f>IF($G22&gt;0,J22/G22,0)</f>
        <v>85.5</v>
      </c>
      <c r="N22" s="659">
        <f>IF($G22&gt;0,K22/$G22,0)</f>
        <v>78.36363636363636</v>
      </c>
      <c r="O22" s="862"/>
      <c r="P22" s="874">
        <f>IF(AND($G22&gt;$Q$3-1,$G22-$H22&gt;0),M22,0)</f>
        <v>85.5</v>
      </c>
      <c r="Q22" s="875">
        <f>IF(AND($G22&gt;$Q$3-1,$G22-$H22&gt;0),N22,0)</f>
        <v>78.36363636363636</v>
      </c>
      <c r="R22" s="613"/>
      <c r="S22" s="628">
        <f>_xlfn.XLOOKUP($E22,'Løp 1'!$E$10:$E$90,'Løp 1'!$M$10:$M$90,0)</f>
        <v>0</v>
      </c>
      <c r="T22" s="629">
        <f>_xlfn.XLOOKUP($E22,'Løp 1'!$E$10:$E$90,'Løp 1'!$O$10:$O$90,0)</f>
        <v>0</v>
      </c>
      <c r="U22" s="629">
        <f>_xlfn.XLOOKUP($E22,'Løp 1'!$E$10:$E$90,'Løp 1'!$L$10:$L$90,0)</f>
        <v>0</v>
      </c>
      <c r="V22" s="628">
        <f>_xlfn.XLOOKUP($E22,'Løp 2'!$E$10:$E$90,'Løp 2'!$M$10:$M$90,0)</f>
        <v>0</v>
      </c>
      <c r="W22" s="629">
        <f>_xlfn.XLOOKUP($E22,'Løp 2'!$E$10:$E$90,'Løp 2'!$O$10:$O$90,0)</f>
        <v>0</v>
      </c>
      <c r="X22" s="629">
        <f>_xlfn.XLOOKUP($E22,'Løp 2'!$E$10:$E$90,'Løp 2'!$L$10:$L$90,0)</f>
        <v>0</v>
      </c>
      <c r="Y22" s="628">
        <f>_xlfn.XLOOKUP($E22,'Løp 3'!$E$10:$E$90,'Løp 3'!$M$10:$M$90,0)</f>
        <v>90</v>
      </c>
      <c r="Z22" s="629">
        <f>_xlfn.XLOOKUP($E22,'Løp 3'!$E$10:$E$90,'Løp 3'!$O$10:$O$90,0)</f>
        <v>79</v>
      </c>
      <c r="AA22" s="629">
        <f>_xlfn.XLOOKUP($E22,'Løp 3'!$E$10:$E$90,'Løp 3'!$L$10:$L$90,0)</f>
        <v>1.0003306878306879E-2</v>
      </c>
      <c r="AB22" s="628">
        <f>_xlfn.XLOOKUP($E22,'Løp 4'!$E$10:$E$90,'Løp 4'!$M$10:$M$90,0)</f>
        <v>100</v>
      </c>
      <c r="AC22" s="629">
        <f>_xlfn.XLOOKUP($E22,'Løp 4'!$E$10:$E$90,'Løp 4'!$O$10:$O$90,0)</f>
        <v>100</v>
      </c>
      <c r="AD22" s="629" t="str">
        <f>_xlfn.XLOOKUP($E22,'Løp 4'!$E$10:$E$90,'Løp 4'!$L$10:$L$90,0)</f>
        <v>Løype</v>
      </c>
      <c r="AE22" s="628">
        <f>_xlfn.XLOOKUP($E22,'Løp 5'!$E$10:$E$90,'Løp 5'!$M$10:$M$90,0)</f>
        <v>50</v>
      </c>
      <c r="AF22" s="629">
        <f>_xlfn.XLOOKUP($E22,'Løp 5'!$E$10:$E$90,'Løp 5'!$O$10:$O$90,0)</f>
        <v>50</v>
      </c>
      <c r="AG22" s="629" t="str">
        <f>_xlfn.XLOOKUP($E22,'Løp 5'!$E$10:$E$90,'Løp 5'!$L$10:$L$90,0)</f>
        <v>Brutt</v>
      </c>
      <c r="AH22" s="628">
        <f>_xlfn.XLOOKUP($E22,'Løp 6'!$E$10:$E$90,'Løp 6'!$M$10:$M$90,0)</f>
        <v>0</v>
      </c>
      <c r="AI22" s="629">
        <f>_xlfn.XLOOKUP($E22,'Løp 6'!$E$10:$E$90,'Løp 6'!$O$10:$O$90,0)</f>
        <v>0</v>
      </c>
      <c r="AJ22" s="629">
        <f>_xlfn.XLOOKUP($E22,'Løp 6'!$E$10:$E$90,'Løp 6'!$L$10:$L$90,0)</f>
        <v>0</v>
      </c>
      <c r="AK22" s="628">
        <f>_xlfn.XLOOKUP($E22,'Løp 7'!$E$10:$E$90,'Løp 7'!$M$10:$M$90,0)</f>
        <v>95</v>
      </c>
      <c r="AL22" s="629">
        <f>_xlfn.XLOOKUP($E22,'Løp 7'!$E$10:$E$90,'Løp 7'!$O$10:$O$90,0)</f>
        <v>72</v>
      </c>
      <c r="AM22" s="629">
        <f>_xlfn.XLOOKUP($E22,'Løp 7'!$E$10:$E$90,'Løp 7'!$L$10:$L$90,0)</f>
        <v>1.7700866188769412E-2</v>
      </c>
      <c r="AN22" s="628">
        <f>_xlfn.XLOOKUP($E22,'Løp 8'!$E$10:$E$91,'Løp 8'!$M$10:$M$91,0)</f>
        <v>87</v>
      </c>
      <c r="AO22" s="629">
        <f>_xlfn.XLOOKUP($E22,'Løp 8'!$E$10:$E$91,'Løp 8'!$O$10:$O$91,0)</f>
        <v>68</v>
      </c>
      <c r="AP22" s="629">
        <f>_xlfn.XLOOKUP($E22,'Løp 8'!$E$10:$E$91,'Løp 8'!$L$10:$L$91,0)</f>
        <v>9.7695707070707075E-3</v>
      </c>
      <c r="AQ22" s="628">
        <f>_xlfn.XLOOKUP($E22,'Løp 9'!$E$10:$E$91,'Løp 9'!$M$10:$M$91,0)</f>
        <v>96</v>
      </c>
      <c r="AR22" s="629">
        <f>_xlfn.XLOOKUP($E22,'Løp 9'!$E$10:$E$91,'Løp 9'!$O$10:$O$91,0)</f>
        <v>79</v>
      </c>
      <c r="AS22" s="629">
        <f>_xlfn.XLOOKUP($E22,'Løp 9'!$E$10:$E$91,'Løp 9'!$L$10:$L$91,0)</f>
        <v>7.1161887694145762E-3</v>
      </c>
      <c r="AT22" s="628">
        <f>_xlfn.XLOOKUP($E22,'Løp 10'!$E$10:$E$91,'Løp 10'!$M$10:$M$91,0)</f>
        <v>80</v>
      </c>
      <c r="AU22" s="629">
        <f>_xlfn.XLOOKUP($E22,'Løp 10'!$E$10:$E$91,'Løp 10'!$O$10:$O$91,0)</f>
        <v>74</v>
      </c>
      <c r="AV22" s="629">
        <f>_xlfn.XLOOKUP($E22,'Løp 10'!$E$10:$E$91,'Løp 10'!$L$10:$L$91,0)</f>
        <v>9.2635459533607686E-3</v>
      </c>
      <c r="AW22" s="628">
        <f>_xlfn.XLOOKUP($E22,'Løp 11'!$E$10:$E$91,'Løp 11'!$M$10:$M$91,0)</f>
        <v>93</v>
      </c>
      <c r="AX22" s="629">
        <f>_xlfn.XLOOKUP($E22,'Løp 11'!$E$10:$E$91,'Løp 11'!$O$10:$O$91,0)</f>
        <v>86</v>
      </c>
      <c r="AY22" s="629">
        <f>_xlfn.XLOOKUP($E22,'Løp 11'!$E$10:$E$91,'Løp 11'!$L$10:$L$91,0)</f>
        <v>7.8739872685185171E-3</v>
      </c>
      <c r="AZ22" s="628">
        <f>_xlfn.XLOOKUP($E22,'Løp 12'!$E$10:$E$91,'Løp 12'!$M$10:$M$91,0)</f>
        <v>75</v>
      </c>
      <c r="BA22" s="629">
        <f>_xlfn.XLOOKUP($E22,'Løp 12'!$E$10:$E$91,'Løp 12'!$O$10:$O$91,0)</f>
        <v>74</v>
      </c>
      <c r="BB22" s="629">
        <f>_xlfn.XLOOKUP($E22,'Løp 12'!$E$10:$E$91,'Løp 12'!$L$10:$L$91,0)</f>
        <v>7.3881172839506178E-3</v>
      </c>
      <c r="BC22" s="628">
        <f>_xlfn.XLOOKUP($E22,'Løp 13'!$E$10:$E$91,'Løp 13'!$M$10:$M$91,0)</f>
        <v>83</v>
      </c>
      <c r="BD22" s="629">
        <f>_xlfn.XLOOKUP($E22,'Løp 13'!$E$10:$E$91,'Løp 13'!$O$10:$O$91,0)</f>
        <v>89</v>
      </c>
      <c r="BE22" s="629">
        <f>_xlfn.XLOOKUP($E22,'Løp 13'!$E$10:$E$91,'Løp 13'!$L$10:$L$91,0)</f>
        <v>6.5453384418901663E-3</v>
      </c>
      <c r="BF22" s="628">
        <f>_xlfn.XLOOKUP($E22,'Løp 14'!$E$10:$E$91,'Løp 14'!$M$10:$M$91,0)</f>
        <v>94</v>
      </c>
      <c r="BG22" s="629">
        <f>_xlfn.XLOOKUP($E22,'Løp 14'!$E$10:$E$91,'Løp 14'!$O$10:$O$91,0)</f>
        <v>87</v>
      </c>
      <c r="BH22" s="629">
        <f>_xlfn.XLOOKUP($E22,'Løp 14'!$E$10:$E$91,'Løp 14'!$L$10:$L$91,0)</f>
        <v>6.6587094907407402E-3</v>
      </c>
      <c r="BI22" s="628">
        <f>_xlfn.XLOOKUP($E22,'Løp 15'!$E$10:$E$91,'Løp 15'!$M$10:$M$91,0)</f>
        <v>0</v>
      </c>
      <c r="BJ22" s="629">
        <f>_xlfn.XLOOKUP($E22,'Løp 15'!$E$10:$E$91,'Løp 15'!$O$10:$O$91,0)</f>
        <v>0</v>
      </c>
      <c r="BK22" s="629">
        <f>_xlfn.XLOOKUP($E22,'Løp 15'!$E$10:$E$91,'Løp 15'!$L$10:$L$91,0)</f>
        <v>0</v>
      </c>
      <c r="BL22" s="628">
        <f>_xlfn.XLOOKUP($E22,'Løp 16'!$E$10:$E$91,'Løp 16'!$M$10:$M$91,0)</f>
        <v>0</v>
      </c>
      <c r="BM22" s="629">
        <f>_xlfn.XLOOKUP($E22,'Løp 16'!$E$10:$E$91,'Løp 16'!$O$10:$O$91,0)</f>
        <v>0</v>
      </c>
      <c r="BN22" s="629">
        <f>_xlfn.XLOOKUP($E22,'Løp 16'!$E$10:$E$91,'Løp 16'!$L$10:$L$91,0)</f>
        <v>0</v>
      </c>
      <c r="BO22" s="628">
        <f>_xlfn.XLOOKUP($E22,'Løp 17'!$E$10:$E$91,'Løp 17'!$M$10:$M$91,0)</f>
        <v>68</v>
      </c>
      <c r="BP22" s="629">
        <f>_xlfn.XLOOKUP($E22,'Løp 17'!$E$10:$E$91,'Løp 17'!$O$10:$O$91,0)</f>
        <v>64</v>
      </c>
      <c r="BQ22" s="629">
        <f>_xlfn.XLOOKUP($E22,'Løp 17'!$E$10:$E$91,'Løp 17'!$L$10:$L$91,0)</f>
        <v>9.3871832358674474E-3</v>
      </c>
      <c r="BR22" s="628">
        <f>_xlfn.XLOOKUP($E22,'Løp 18'!$E$10:$E$91,'Løp 18'!$M$10:$M$91,0)</f>
        <v>88</v>
      </c>
      <c r="BS22" s="629">
        <f>_xlfn.XLOOKUP($E22,'Løp 18'!$E$10:$E$91,'Løp 18'!$O$10:$O$91,0)</f>
        <v>78</v>
      </c>
      <c r="BT22" s="629">
        <f>_xlfn.XLOOKUP($E22,'Løp 18'!$E$10:$E$91,'Løp 18'!$L$10:$L$91,0)</f>
        <v>8.1597222222222227E-3</v>
      </c>
      <c r="BU22" s="628">
        <f>_xlfn.XLOOKUP($E22,'Løp 19'!$E$10:$E$91,'Løp 19'!$M$10:$M$91,0)</f>
        <v>94</v>
      </c>
      <c r="BV22" s="629">
        <f>_xlfn.XLOOKUP($E22,'Løp 19'!$E$10:$E$91,'Løp 19'!$O$10:$O$91,0)</f>
        <v>94</v>
      </c>
      <c r="BW22" s="629" t="str">
        <f>_xlfn.XLOOKUP($E22,'Løp 19'!$E$10:$E$91,'Løp 19'!$L$10:$L$91,0)</f>
        <v>Arr</v>
      </c>
      <c r="BX22" s="628">
        <f>_xlfn.XLOOKUP($E22,'Løp 20'!$E$10:$E$92,'Løp 20'!$M$10:$M$92,0)</f>
        <v>94</v>
      </c>
      <c r="BY22" s="629">
        <f>_xlfn.XLOOKUP($E22,'Løp 20'!$E$10:$E$92,'Løp 20'!$O$10:$O$92,0)</f>
        <v>85</v>
      </c>
      <c r="BZ22" s="629">
        <f>_xlfn.XLOOKUP($E22,'Løp 20'!$E$10:$E$92,'Løp 20'!$L$10:$L$92,0)</f>
        <v>8.2142857142857139E-3</v>
      </c>
      <c r="CA22" s="628">
        <f>_xlfn.XLOOKUP($E22,'Løp 21'!$E$10:$E$93,'Løp 21'!$M$10:$M$93,0)</f>
        <v>0</v>
      </c>
      <c r="CB22" s="629">
        <f>_xlfn.XLOOKUP($E22,'Løp 21'!$E$10:$E$93,'Løp 21'!$O$10:$O$93,0)</f>
        <v>0</v>
      </c>
      <c r="CC22" s="629">
        <f>_xlfn.XLOOKUP($E22,'Løp 21'!$E$10:$E$93,'Løp 21'!$L$10:$L$93,0)</f>
        <v>0</v>
      </c>
      <c r="CD22" s="628">
        <f>_xlfn.XLOOKUP($E22,'Løp 22'!$E$10:$E$93,'Løp 22'!$M$10:$M$93,0)</f>
        <v>86</v>
      </c>
      <c r="CE22" s="629">
        <f>_xlfn.XLOOKUP($E22,'Løp 22'!$E$10:$E$93,'Løp 22'!$O$10:$O$93,0)</f>
        <v>79</v>
      </c>
      <c r="CF22" s="629">
        <f>_xlfn.XLOOKUP($E22,'Løp 22'!$E$10:$E$93,'Løp 22'!$L$10:$L$93,0)</f>
        <v>8.1330128205128194E-3</v>
      </c>
      <c r="CG22" s="628">
        <f>_xlfn.XLOOKUP($E22,'Løp 23'!$E$10:$E$93,'Løp 23'!$M$10:$M$93,0)</f>
        <v>93</v>
      </c>
      <c r="CH22" s="629">
        <f>_xlfn.XLOOKUP($E22,'Løp 23'!$E$10:$E$93,'Løp 23'!$O$10:$O$93,0)</f>
        <v>86</v>
      </c>
      <c r="CI22" s="629">
        <f>_xlfn.XLOOKUP($E22,'Løp 23'!$E$10:$E$93,'Løp 23'!$L$10:$L$93,0)</f>
        <v>5.5795019157088123E-3</v>
      </c>
      <c r="CJ22" s="628">
        <f>_xlfn.XLOOKUP($E22,'Løp 24'!$E$10:$E$93,'Løp 24'!$M$10:$M$93,0)</f>
        <v>87</v>
      </c>
      <c r="CK22" s="629">
        <f>_xlfn.XLOOKUP($E22,'Løp 24'!$E$10:$E$93,'Løp 24'!$O$10:$O$93,0)</f>
        <v>68</v>
      </c>
      <c r="CL22" s="629">
        <f>_xlfn.XLOOKUP($E22,'Løp 24'!$E$10:$E$93,'Løp 24'!$L$10:$L$93,0)</f>
        <v>6.1081242532855439E-3</v>
      </c>
      <c r="CM22" s="628">
        <f>_xlfn.XLOOKUP($E22,'Løp 25'!$E$10:$E$94,'Løp 25'!$M$10:$M$94,0)</f>
        <v>85</v>
      </c>
      <c r="CN22" s="629">
        <f>_xlfn.XLOOKUP($E22,'Løp 25'!$E$10:$E$94,'Løp 25'!$O$10:$O$94,0)</f>
        <v>79</v>
      </c>
      <c r="CO22" s="629">
        <f>_xlfn.XLOOKUP($E22,'Løp 25'!$E$10:$E$94,'Løp 25'!$L$10:$L$94,0)</f>
        <v>8.5141782407407406E-3</v>
      </c>
      <c r="CP22" s="628">
        <f>_xlfn.XLOOKUP($E22,'Løp 26'!$E$10:$E$94,'Løp 26'!$M$10:$M$94,0)</f>
        <v>0</v>
      </c>
      <c r="CQ22" s="629">
        <f>_xlfn.XLOOKUP($E22,'Løp 26'!$E$10:$E$94,'Løp 26'!$O$10:$O$94,0)</f>
        <v>0</v>
      </c>
      <c r="CR22" s="629">
        <f>_xlfn.XLOOKUP($E22,'Løp 26'!$E$10:$E$94,'Løp 26'!$L$10:$L$94,0)</f>
        <v>0</v>
      </c>
      <c r="CS22" s="628">
        <f>_xlfn.XLOOKUP($E22,'Løp 27'!$E$10:$E$94,'Løp 27'!$M$10:$M$94,0)</f>
        <v>82</v>
      </c>
      <c r="CT22" s="629">
        <f>_xlfn.XLOOKUP($E22,'Løp 27'!$E$10:$E$94,'Løp 27'!$O$10:$O$94,0)</f>
        <v>79</v>
      </c>
      <c r="CU22" s="629">
        <f>_xlfn.XLOOKUP($E22,'Løp 27'!$E$10:$E$94,'Løp 27'!$L$10:$L$94,0)</f>
        <v>8.363340192043895E-3</v>
      </c>
      <c r="CV22" s="628">
        <f>_xlfn.XLOOKUP($E22,'Løp 28'!$E$10:$E$95,'Løp 28'!$M$10:$M$95,0)</f>
        <v>76</v>
      </c>
      <c r="CW22" s="629">
        <f>_xlfn.XLOOKUP($E22,'Løp 28'!$E$10:$E$95,'Løp 28'!$O$10:$O$95,0)</f>
        <v>75</v>
      </c>
      <c r="CX22" s="629">
        <f>_xlfn.XLOOKUP($E22,'Løp 28'!$E$10:$E$95,'Løp 28'!$L$10:$L$95,0)</f>
        <v>8.7912640901771349E-3</v>
      </c>
      <c r="CY22" s="628">
        <f>_xlfn.XLOOKUP($E22,'Løp 29'!$E$10:$E$95,'Løp 29'!$M$10:$M$95,0)</f>
        <v>85</v>
      </c>
      <c r="CZ22" s="629">
        <f>_xlfn.XLOOKUP($E22,'Løp 29'!$E$10:$E$95,'Løp 29'!$O$10:$O$95,0)</f>
        <v>79</v>
      </c>
      <c r="DA22" s="629">
        <f>_xlfn.XLOOKUP($E22,'Løp 29'!$E$10:$E$95,'Løp 29'!$L$10:$L$95,0)</f>
        <v>8.6061507936507943E-3</v>
      </c>
    </row>
    <row r="23" spans="2:105" ht="26" customHeight="1" thickBot="1" x14ac:dyDescent="0.3">
      <c r="B23" s="627">
        <f t="shared" si="0"/>
        <v>14</v>
      </c>
      <c r="C23" s="119" t="s">
        <v>222</v>
      </c>
      <c r="D23" s="620" t="s">
        <v>221</v>
      </c>
      <c r="E23" s="616" t="str">
        <f>_xlfn.CONCAT(C23:D23)</f>
        <v>Kjell Maroni</v>
      </c>
      <c r="F23" s="610"/>
      <c r="G23" s="653">
        <f>COUNTIF(S23:DA23,"&gt;2")/2</f>
        <v>16</v>
      </c>
      <c r="H23" s="852">
        <f>COUNTIF(S23:DA23,"=Løype")+COUNTIF(S23:DA23,"Arr")</f>
        <v>1</v>
      </c>
      <c r="I23" s="610"/>
      <c r="J23" s="632">
        <f>S23+V23+Y23+AB23+AE23+AH23+AK23+AN23+AQ23+AT23+AW23+AZ23+BC23+BF23+BI23+BL23+BO23+BR23+BU23+BX23+CA23+CD23+CG23+CJ23+CM23+CP23+CS23+CV23+CY23</f>
        <v>1400</v>
      </c>
      <c r="K23" s="633">
        <f>T23+W23+Z23+AC23+AF23+AI23+AL23+AO23+AR23+AU23+AX23+BA23+BD23+BG23+BJ23+BM23+BP23+BS23+BV23+BY23+CB23+CE23+CH23+CK23+CN23+CQ23+CT23+CW23+CZ23</f>
        <v>1245</v>
      </c>
      <c r="L23" s="613"/>
      <c r="M23" s="658">
        <f>IF($G23&gt;0,J23/G23,0)</f>
        <v>87.5</v>
      </c>
      <c r="N23" s="659">
        <f>IF($G23&gt;0,K23/$G23,0)</f>
        <v>77.8125</v>
      </c>
      <c r="O23" s="862"/>
      <c r="P23" s="874">
        <f>IF(AND($G23&gt;$Q$3-1,$G23-$H23&gt;0),M23,0)</f>
        <v>87.5</v>
      </c>
      <c r="Q23" s="875">
        <f>IF(AND($G23&gt;$Q$3-1,$G23-$H23&gt;0),N23,0)</f>
        <v>77.8125</v>
      </c>
      <c r="R23" s="613"/>
      <c r="S23" s="628">
        <f>_xlfn.XLOOKUP($E23,'Løp 1'!$E$10:$E$90,'Løp 1'!$M$10:$M$90,0)</f>
        <v>50</v>
      </c>
      <c r="T23" s="629">
        <f>_xlfn.XLOOKUP($E23,'Løp 1'!$E$10:$E$90,'Løp 1'!$O$10:$O$90,0)</f>
        <v>50</v>
      </c>
      <c r="U23" s="629" t="str">
        <f>_xlfn.XLOOKUP($E23,'Løp 1'!$E$10:$E$90,'Løp 1'!$L$10:$L$90,0)</f>
        <v>Disk</v>
      </c>
      <c r="V23" s="628">
        <f>_xlfn.XLOOKUP($E23,'Løp 2'!$E$10:$E$90,'Løp 2'!$M$10:$M$90,0)</f>
        <v>0</v>
      </c>
      <c r="W23" s="629">
        <f>_xlfn.XLOOKUP($E23,'Løp 2'!$E$10:$E$90,'Løp 2'!$O$10:$O$90,0)</f>
        <v>0</v>
      </c>
      <c r="X23" s="629">
        <f>_xlfn.XLOOKUP($E23,'Løp 2'!$E$10:$E$90,'Løp 2'!$L$10:$L$90,0)</f>
        <v>0</v>
      </c>
      <c r="Y23" s="628">
        <f>_xlfn.XLOOKUP($E23,'Løp 3'!$E$10:$E$90,'Løp 3'!$M$10:$M$90,0)</f>
        <v>100</v>
      </c>
      <c r="Z23" s="629">
        <f>_xlfn.XLOOKUP($E23,'Løp 3'!$E$10:$E$90,'Løp 3'!$O$10:$O$90,0)</f>
        <v>100</v>
      </c>
      <c r="AA23" s="629" t="str">
        <f>_xlfn.XLOOKUP($E23,'Løp 3'!$E$10:$E$90,'Løp 3'!$L$10:$L$90,0)</f>
        <v>Løype</v>
      </c>
      <c r="AB23" s="628">
        <f>_xlfn.XLOOKUP($E23,'Løp 4'!$E$10:$E$90,'Løp 4'!$M$10:$M$90,0)</f>
        <v>0</v>
      </c>
      <c r="AC23" s="629">
        <f>_xlfn.XLOOKUP($E23,'Løp 4'!$E$10:$E$90,'Løp 4'!$O$10:$O$90,0)</f>
        <v>0</v>
      </c>
      <c r="AD23" s="629">
        <f>_xlfn.XLOOKUP($E23,'Løp 4'!$E$10:$E$90,'Løp 4'!$L$10:$L$90,0)</f>
        <v>0</v>
      </c>
      <c r="AE23" s="628">
        <f>_xlfn.XLOOKUP($E23,'Løp 5'!$E$10:$E$90,'Løp 5'!$M$10:$M$90,0)</f>
        <v>84</v>
      </c>
      <c r="AF23" s="629">
        <f>_xlfn.XLOOKUP($E23,'Løp 5'!$E$10:$E$90,'Løp 5'!$O$10:$O$90,0)</f>
        <v>72</v>
      </c>
      <c r="AG23" s="629">
        <f>_xlfn.XLOOKUP($E23,'Løp 5'!$E$10:$E$90,'Løp 5'!$L$10:$L$90,0)</f>
        <v>8.6591220850480103E-3</v>
      </c>
      <c r="AH23" s="628">
        <f>_xlfn.XLOOKUP($E23,'Løp 6'!$E$10:$E$90,'Løp 6'!$M$10:$M$90,0)</f>
        <v>0</v>
      </c>
      <c r="AI23" s="629">
        <f>_xlfn.XLOOKUP($E23,'Løp 6'!$E$10:$E$90,'Løp 6'!$O$10:$O$90,0)</f>
        <v>0</v>
      </c>
      <c r="AJ23" s="629">
        <f>_xlfn.XLOOKUP($E23,'Løp 6'!$E$10:$E$90,'Løp 6'!$L$10:$L$90,0)</f>
        <v>0</v>
      </c>
      <c r="AK23" s="628">
        <f>_xlfn.XLOOKUP($E23,'Løp 7'!$E$10:$E$90,'Løp 7'!$M$10:$M$90,0)</f>
        <v>0</v>
      </c>
      <c r="AL23" s="629">
        <f>_xlfn.XLOOKUP($E23,'Løp 7'!$E$10:$E$90,'Løp 7'!$O$10:$O$90,0)</f>
        <v>0</v>
      </c>
      <c r="AM23" s="629">
        <f>_xlfn.XLOOKUP($E23,'Løp 7'!$E$10:$E$90,'Løp 7'!$L$10:$L$90,0)</f>
        <v>0</v>
      </c>
      <c r="AN23" s="628">
        <f>_xlfn.XLOOKUP($E23,'Løp 8'!$E$10:$E$91,'Løp 8'!$M$10:$M$91,0)</f>
        <v>0</v>
      </c>
      <c r="AO23" s="629">
        <f>_xlfn.XLOOKUP($E23,'Løp 8'!$E$10:$E$91,'Løp 8'!$O$10:$O$91,0)</f>
        <v>0</v>
      </c>
      <c r="AP23" s="629">
        <f>_xlfn.XLOOKUP($E23,'Løp 8'!$E$10:$E$91,'Løp 8'!$L$10:$L$91,0)</f>
        <v>0</v>
      </c>
      <c r="AQ23" s="628">
        <f>_xlfn.XLOOKUP($E23,'Løp 9'!$E$10:$E$91,'Løp 9'!$M$10:$M$91,0)</f>
        <v>0</v>
      </c>
      <c r="AR23" s="629">
        <f>_xlfn.XLOOKUP($E23,'Løp 9'!$E$10:$E$91,'Løp 9'!$O$10:$O$91,0)</f>
        <v>0</v>
      </c>
      <c r="AS23" s="629">
        <f>_xlfn.XLOOKUP($E23,'Løp 9'!$E$10:$E$91,'Løp 9'!$L$10:$L$91,0)</f>
        <v>0</v>
      </c>
      <c r="AT23" s="628">
        <f>_xlfn.XLOOKUP($E23,'Løp 10'!$E$10:$E$91,'Løp 10'!$M$10:$M$91,0)</f>
        <v>100</v>
      </c>
      <c r="AU23" s="629">
        <f>_xlfn.XLOOKUP($E23,'Løp 10'!$E$10:$E$91,'Løp 10'!$O$10:$O$91,0)</f>
        <v>88</v>
      </c>
      <c r="AV23" s="629">
        <f>_xlfn.XLOOKUP($E23,'Løp 10'!$E$10:$E$91,'Løp 10'!$L$10:$L$91,0)</f>
        <v>7.4245541838134418E-3</v>
      </c>
      <c r="AW23" s="628">
        <f>_xlfn.XLOOKUP($E23,'Løp 11'!$E$10:$E$91,'Løp 11'!$M$10:$M$91,0)</f>
        <v>90</v>
      </c>
      <c r="AX23" s="629">
        <f>_xlfn.XLOOKUP($E23,'Løp 11'!$E$10:$E$91,'Løp 11'!$O$10:$O$91,0)</f>
        <v>80</v>
      </c>
      <c r="AY23" s="629">
        <f>_xlfn.XLOOKUP($E23,'Løp 11'!$E$10:$E$91,'Løp 11'!$L$10:$L$91,0)</f>
        <v>8.1090856481481483E-3</v>
      </c>
      <c r="AZ23" s="628">
        <f>_xlfn.XLOOKUP($E23,'Løp 12'!$E$10:$E$91,'Løp 12'!$M$10:$M$91,0)</f>
        <v>86</v>
      </c>
      <c r="BA23" s="629">
        <f>_xlfn.XLOOKUP($E23,'Løp 12'!$E$10:$E$91,'Løp 12'!$O$10:$O$91,0)</f>
        <v>81</v>
      </c>
      <c r="BB23" s="629">
        <f>_xlfn.XLOOKUP($E23,'Løp 12'!$E$10:$E$91,'Løp 12'!$L$10:$L$91,0)</f>
        <v>6.4525462962962974E-3</v>
      </c>
      <c r="BC23" s="628">
        <f>_xlfn.XLOOKUP($E23,'Løp 13'!$E$10:$E$91,'Løp 13'!$M$10:$M$91,0)</f>
        <v>75</v>
      </c>
      <c r="BD23" s="629">
        <f>_xlfn.XLOOKUP($E23,'Løp 13'!$E$10:$E$91,'Løp 13'!$O$10:$O$91,0)</f>
        <v>78</v>
      </c>
      <c r="BE23" s="629">
        <f>_xlfn.XLOOKUP($E23,'Løp 13'!$E$10:$E$91,'Løp 13'!$L$10:$L$91,0)</f>
        <v>7.2238186462324399E-3</v>
      </c>
      <c r="BF23" s="628">
        <f>_xlfn.XLOOKUP($E23,'Løp 14'!$E$10:$E$91,'Løp 14'!$M$10:$M$91,0)</f>
        <v>95</v>
      </c>
      <c r="BG23" s="629">
        <f>_xlfn.XLOOKUP($E23,'Løp 14'!$E$10:$E$91,'Løp 14'!$O$10:$O$91,0)</f>
        <v>84</v>
      </c>
      <c r="BH23" s="629">
        <f>_xlfn.XLOOKUP($E23,'Løp 14'!$E$10:$E$91,'Løp 14'!$L$10:$L$91,0)</f>
        <v>6.6153067129629635E-3</v>
      </c>
      <c r="BI23" s="628">
        <f>_xlfn.XLOOKUP($E23,'Løp 15'!$E$10:$E$91,'Løp 15'!$M$10:$M$91,0)</f>
        <v>99</v>
      </c>
      <c r="BJ23" s="629">
        <f>_xlfn.XLOOKUP($E23,'Løp 15'!$E$10:$E$91,'Løp 15'!$O$10:$O$91,0)</f>
        <v>78</v>
      </c>
      <c r="BK23" s="629">
        <f>_xlfn.XLOOKUP($E23,'Løp 15'!$E$10:$E$91,'Løp 15'!$L$10:$L$91,0)</f>
        <v>8.747194163860831E-3</v>
      </c>
      <c r="BL23" s="628">
        <f>_xlfn.XLOOKUP($E23,'Løp 16'!$E$10:$E$91,'Løp 16'!$M$10:$M$91,0)</f>
        <v>0</v>
      </c>
      <c r="BM23" s="629">
        <f>_xlfn.XLOOKUP($E23,'Løp 16'!$E$10:$E$91,'Løp 16'!$O$10:$O$91,0)</f>
        <v>0</v>
      </c>
      <c r="BN23" s="629">
        <f>_xlfn.XLOOKUP($E23,'Løp 16'!$E$10:$E$91,'Løp 16'!$L$10:$L$91,0)</f>
        <v>0</v>
      </c>
      <c r="BO23" s="628">
        <f>_xlfn.XLOOKUP($E23,'Løp 17'!$E$10:$E$91,'Løp 17'!$M$10:$M$91,0)</f>
        <v>88</v>
      </c>
      <c r="BP23" s="629">
        <f>_xlfn.XLOOKUP($E23,'Løp 17'!$E$10:$E$91,'Løp 17'!$O$10:$O$91,0)</f>
        <v>79</v>
      </c>
      <c r="BQ23" s="629">
        <f>_xlfn.XLOOKUP($E23,'Løp 17'!$E$10:$E$91,'Løp 17'!$L$10:$L$91,0)</f>
        <v>7.2357918263090673E-3</v>
      </c>
      <c r="BR23" s="628">
        <f>_xlfn.XLOOKUP($E23,'Løp 18'!$E$10:$E$91,'Løp 18'!$M$10:$M$91,0)</f>
        <v>0</v>
      </c>
      <c r="BS23" s="629">
        <f>_xlfn.XLOOKUP($E23,'Løp 18'!$E$10:$E$91,'Løp 18'!$O$10:$O$91,0)</f>
        <v>0</v>
      </c>
      <c r="BT23" s="629">
        <f>_xlfn.XLOOKUP($E23,'Løp 18'!$E$10:$E$91,'Løp 18'!$L$10:$L$91,0)</f>
        <v>0</v>
      </c>
      <c r="BU23" s="628">
        <f>_xlfn.XLOOKUP($E23,'Løp 19'!$E$10:$E$91,'Løp 19'!$M$10:$M$91,0)</f>
        <v>95</v>
      </c>
      <c r="BV23" s="629">
        <f>_xlfn.XLOOKUP($E23,'Løp 19'!$E$10:$E$91,'Løp 19'!$O$10:$O$91,0)</f>
        <v>80</v>
      </c>
      <c r="BW23" s="629">
        <f>_xlfn.XLOOKUP($E23,'Løp 19'!$E$10:$E$91,'Løp 19'!$L$10:$L$91,0)</f>
        <v>8.6634087791495184E-3</v>
      </c>
      <c r="BX23" s="628">
        <f>_xlfn.XLOOKUP($E23,'Løp 20'!$E$10:$E$92,'Løp 20'!$M$10:$M$92,0)</f>
        <v>94</v>
      </c>
      <c r="BY23" s="629">
        <f>_xlfn.XLOOKUP($E23,'Løp 20'!$E$10:$E$92,'Løp 20'!$O$10:$O$92,0)</f>
        <v>81</v>
      </c>
      <c r="BZ23" s="629">
        <f>_xlfn.XLOOKUP($E23,'Løp 20'!$E$10:$E$92,'Løp 20'!$L$10:$L$92,0)</f>
        <v>8.2407407407407412E-3</v>
      </c>
      <c r="CA23" s="628">
        <f>_xlfn.XLOOKUP($E23,'Løp 21'!$E$10:$E$93,'Løp 21'!$M$10:$M$93,0)</f>
        <v>0</v>
      </c>
      <c r="CB23" s="629">
        <f>_xlfn.XLOOKUP($E23,'Løp 21'!$E$10:$E$93,'Løp 21'!$O$10:$O$93,0)</f>
        <v>0</v>
      </c>
      <c r="CC23" s="629">
        <f>_xlfn.XLOOKUP($E23,'Løp 21'!$E$10:$E$93,'Løp 21'!$L$10:$L$93,0)</f>
        <v>0</v>
      </c>
      <c r="CD23" s="628">
        <f>_xlfn.XLOOKUP($E23,'Løp 22'!$E$10:$E$93,'Løp 22'!$M$10:$M$93,0)</f>
        <v>83</v>
      </c>
      <c r="CE23" s="629">
        <f>_xlfn.XLOOKUP($E23,'Løp 22'!$E$10:$E$93,'Løp 22'!$O$10:$O$93,0)</f>
        <v>73</v>
      </c>
      <c r="CF23" s="629">
        <f>_xlfn.XLOOKUP($E23,'Løp 22'!$E$10:$E$93,'Løp 22'!$L$10:$L$93,0)</f>
        <v>8.4312678062678052E-3</v>
      </c>
      <c r="CG23" s="628">
        <f>_xlfn.XLOOKUP($E23,'Løp 23'!$E$10:$E$93,'Løp 23'!$M$10:$M$93,0)</f>
        <v>0</v>
      </c>
      <c r="CH23" s="629">
        <f>_xlfn.XLOOKUP($E23,'Løp 23'!$E$10:$E$93,'Løp 23'!$O$10:$O$93,0)</f>
        <v>0</v>
      </c>
      <c r="CI23" s="629">
        <f>_xlfn.XLOOKUP($E23,'Løp 23'!$E$10:$E$93,'Løp 23'!$L$10:$L$93,0)</f>
        <v>0</v>
      </c>
      <c r="CJ23" s="628">
        <f>_xlfn.XLOOKUP($E23,'Løp 24'!$E$10:$E$93,'Løp 24'!$M$10:$M$93,0)</f>
        <v>95</v>
      </c>
      <c r="CK23" s="629">
        <f>_xlfn.XLOOKUP($E23,'Løp 24'!$E$10:$E$93,'Løp 24'!$O$10:$O$93,0)</f>
        <v>70</v>
      </c>
      <c r="CL23" s="629">
        <f>_xlfn.XLOOKUP($E23,'Løp 24'!$E$10:$E$93,'Løp 24'!$L$10:$L$93,0)</f>
        <v>5.6190262843488657E-3</v>
      </c>
      <c r="CM23" s="628">
        <f>_xlfn.XLOOKUP($E23,'Løp 25'!$E$10:$E$94,'Løp 25'!$M$10:$M$94,0)</f>
        <v>100</v>
      </c>
      <c r="CN23" s="629">
        <f>_xlfn.XLOOKUP($E23,'Løp 25'!$E$10:$E$94,'Løp 25'!$O$10:$O$94,0)</f>
        <v>88</v>
      </c>
      <c r="CO23" s="629">
        <f>_xlfn.XLOOKUP($E23,'Løp 25'!$E$10:$E$94,'Løp 25'!$L$10:$L$94,0)</f>
        <v>7.2301793981481479E-3</v>
      </c>
      <c r="CP23" s="628">
        <f>_xlfn.XLOOKUP($E23,'Løp 26'!$E$10:$E$94,'Løp 26'!$M$10:$M$94,0)</f>
        <v>0</v>
      </c>
      <c r="CQ23" s="629">
        <f>_xlfn.XLOOKUP($E23,'Løp 26'!$E$10:$E$94,'Løp 26'!$O$10:$O$94,0)</f>
        <v>0</v>
      </c>
      <c r="CR23" s="629">
        <f>_xlfn.XLOOKUP($E23,'Løp 26'!$E$10:$E$94,'Løp 26'!$L$10:$L$94,0)</f>
        <v>0</v>
      </c>
      <c r="CS23" s="628">
        <f>_xlfn.XLOOKUP($E23,'Løp 27'!$E$10:$E$94,'Løp 27'!$M$10:$M$94,0)</f>
        <v>0</v>
      </c>
      <c r="CT23" s="629">
        <f>_xlfn.XLOOKUP($E23,'Løp 27'!$E$10:$E$94,'Løp 27'!$O$10:$O$94,0)</f>
        <v>0</v>
      </c>
      <c r="CU23" s="629">
        <f>_xlfn.XLOOKUP($E23,'Løp 27'!$E$10:$E$94,'Løp 27'!$L$10:$L$94,0)</f>
        <v>0</v>
      </c>
      <c r="CV23" s="628">
        <f>_xlfn.XLOOKUP($E23,'Løp 28'!$E$10:$E$95,'Løp 28'!$M$10:$M$95,0)</f>
        <v>66</v>
      </c>
      <c r="CW23" s="629">
        <f>_xlfn.XLOOKUP($E23,'Løp 28'!$E$10:$E$95,'Løp 28'!$O$10:$O$95,0)</f>
        <v>63</v>
      </c>
      <c r="CX23" s="629">
        <f>_xlfn.XLOOKUP($E23,'Løp 28'!$E$10:$E$95,'Løp 28'!$L$10:$L$95,0)</f>
        <v>1.0044283413848632E-2</v>
      </c>
      <c r="CY23" s="628">
        <f>_xlfn.XLOOKUP($E23,'Løp 29'!$E$10:$E$95,'Løp 29'!$M$10:$M$95,0)</f>
        <v>0</v>
      </c>
      <c r="CZ23" s="629">
        <f>_xlfn.XLOOKUP($E23,'Løp 29'!$E$10:$E$95,'Løp 29'!$O$10:$O$95,0)</f>
        <v>0</v>
      </c>
      <c r="DA23" s="629">
        <f>_xlfn.XLOOKUP($E23,'Løp 29'!$E$10:$E$95,'Løp 29'!$L$10:$L$95,0)</f>
        <v>0</v>
      </c>
    </row>
    <row r="24" spans="2:105" ht="26" customHeight="1" thickBot="1" x14ac:dyDescent="0.3">
      <c r="B24" s="627">
        <f t="shared" si="0"/>
        <v>15</v>
      </c>
      <c r="C24" s="119" t="s">
        <v>80</v>
      </c>
      <c r="D24" s="620" t="s">
        <v>81</v>
      </c>
      <c r="E24" s="616" t="str">
        <f>_xlfn.CONCAT(C24:D24)</f>
        <v>HalvorFlatberg</v>
      </c>
      <c r="F24" s="610"/>
      <c r="G24" s="653">
        <f>COUNTIF(S24:DA24,"&gt;2")/2</f>
        <v>18</v>
      </c>
      <c r="H24" s="852">
        <f>COUNTIF(S24:DA24,"=Løype")+COUNTIF(S24:DA24,"Arr")</f>
        <v>3</v>
      </c>
      <c r="I24" s="610"/>
      <c r="J24" s="632">
        <f>S24+V24+Y24+AB24+AE24+AH24+AK24+AN24+AQ24+AT24+AW24+AZ24+BC24+BF24+BI24+BL24+BO24+BR24+BU24+BX24+CA24+CD24+CG24+CJ24+CM24+CP24+CS24+CV24+CY24</f>
        <v>1310</v>
      </c>
      <c r="K24" s="633">
        <f>T24+W24+Z24+AC24+AF24+AI24+AL24+AO24+AR24+AU24+AX24+BA24+BD24+BG24+BJ24+BM24+BP24+BS24+BV24+BY24+CB24+CE24+CH24+CK24+CN24+CQ24+CT24+CW24+CZ24</f>
        <v>1399</v>
      </c>
      <c r="L24" s="613"/>
      <c r="M24" s="658">
        <f>IF($G24&gt;0,J24/G24,0)</f>
        <v>72.777777777777771</v>
      </c>
      <c r="N24" s="659">
        <f>IF($G24&gt;0,K24/$G24,0)</f>
        <v>77.722222222222229</v>
      </c>
      <c r="O24" s="862"/>
      <c r="P24" s="874">
        <f>IF(AND($G24&gt;$Q$3-1,$G24-$H24&gt;0),M24,0)</f>
        <v>72.777777777777771</v>
      </c>
      <c r="Q24" s="875">
        <f>IF(AND($G24&gt;$Q$3-1,$G24-$H24&gt;0),N24,0)</f>
        <v>77.722222222222229</v>
      </c>
      <c r="R24" s="613"/>
      <c r="S24" s="628">
        <f>_xlfn.XLOOKUP($E24,'Løp 1'!$E$10:$E$90,'Løp 1'!$M$10:$M$90,0)</f>
        <v>0</v>
      </c>
      <c r="T24" s="629">
        <f>_xlfn.XLOOKUP($E24,'Løp 1'!$E$10:$E$90,'Løp 1'!$O$10:$O$90,0)</f>
        <v>0</v>
      </c>
      <c r="U24" s="629">
        <f>_xlfn.XLOOKUP($E24,'Løp 1'!$E$10:$E$90,'Løp 1'!$L$10:$L$90,0)</f>
        <v>0</v>
      </c>
      <c r="V24" s="628">
        <f>_xlfn.XLOOKUP($E24,'Løp 2'!$E$10:$E$90,'Løp 2'!$M$10:$M$90,0)</f>
        <v>100</v>
      </c>
      <c r="W24" s="629">
        <f>_xlfn.XLOOKUP($E24,'Løp 2'!$E$10:$E$90,'Løp 2'!$O$10:$O$90,0)</f>
        <v>100</v>
      </c>
      <c r="X24" s="629" t="str">
        <f>_xlfn.XLOOKUP($E24,'Løp 2'!$E$10:$E$90,'Løp 2'!$L$10:$L$90,0)</f>
        <v>Løype</v>
      </c>
      <c r="Y24" s="628">
        <f>_xlfn.XLOOKUP($E24,'Løp 3'!$E$10:$E$90,'Løp 3'!$M$10:$M$90,0)</f>
        <v>0</v>
      </c>
      <c r="Z24" s="629">
        <f>_xlfn.XLOOKUP($E24,'Løp 3'!$E$10:$E$90,'Løp 3'!$O$10:$O$90,0)</f>
        <v>0</v>
      </c>
      <c r="AA24" s="629">
        <f>_xlfn.XLOOKUP($E24,'Løp 3'!$E$10:$E$90,'Løp 3'!$L$10:$L$90,0)</f>
        <v>0</v>
      </c>
      <c r="AB24" s="628">
        <f>_xlfn.XLOOKUP($E24,'Løp 4'!$E$10:$E$90,'Løp 4'!$M$10:$M$90,0)</f>
        <v>0</v>
      </c>
      <c r="AC24" s="629">
        <f>_xlfn.XLOOKUP($E24,'Løp 4'!$E$10:$E$90,'Løp 4'!$O$10:$O$90,0)</f>
        <v>0</v>
      </c>
      <c r="AD24" s="629">
        <f>_xlfn.XLOOKUP($E24,'Løp 4'!$E$10:$E$90,'Løp 4'!$L$10:$L$90,0)</f>
        <v>0</v>
      </c>
      <c r="AE24" s="628">
        <f>_xlfn.XLOOKUP($E24,'Løp 5'!$E$10:$E$90,'Løp 5'!$M$10:$M$90,0)</f>
        <v>58</v>
      </c>
      <c r="AF24" s="629">
        <f>_xlfn.XLOOKUP($E24,'Løp 5'!$E$10:$E$90,'Løp 5'!$O$10:$O$90,0)</f>
        <v>64</v>
      </c>
      <c r="AG24" s="629">
        <f>_xlfn.XLOOKUP($E24,'Løp 5'!$E$10:$E$90,'Løp 5'!$L$10:$L$90,0)</f>
        <v>1.2499999999999999E-2</v>
      </c>
      <c r="AH24" s="628">
        <f>_xlfn.XLOOKUP($E24,'Løp 6'!$E$10:$E$90,'Løp 6'!$M$10:$M$90,0)</f>
        <v>76</v>
      </c>
      <c r="AI24" s="629">
        <f>_xlfn.XLOOKUP($E24,'Løp 6'!$E$10:$E$90,'Løp 6'!$O$10:$O$90,0)</f>
        <v>88</v>
      </c>
      <c r="AJ24" s="629">
        <f>_xlfn.XLOOKUP($E24,'Løp 6'!$E$10:$E$90,'Løp 6'!$L$10:$L$90,0)</f>
        <v>1.0260076252723313E-2</v>
      </c>
      <c r="AK24" s="628">
        <f>_xlfn.XLOOKUP($E24,'Løp 7'!$E$10:$E$90,'Løp 7'!$M$10:$M$90,0)</f>
        <v>89</v>
      </c>
      <c r="AL24" s="629">
        <f>_xlfn.XLOOKUP($E24,'Løp 7'!$E$10:$E$90,'Løp 7'!$O$10:$O$90,0)</f>
        <v>84</v>
      </c>
      <c r="AM24" s="629">
        <f>_xlfn.XLOOKUP($E24,'Løp 7'!$E$10:$E$90,'Løp 7'!$L$10:$L$90,0)</f>
        <v>1.8818392255892255E-2</v>
      </c>
      <c r="AN24" s="628">
        <f>_xlfn.XLOOKUP($E24,'Løp 8'!$E$10:$E$91,'Løp 8'!$M$10:$M$91,0)</f>
        <v>77</v>
      </c>
      <c r="AO24" s="629">
        <f>_xlfn.XLOOKUP($E24,'Løp 8'!$E$10:$E$91,'Løp 8'!$O$10:$O$91,0)</f>
        <v>74</v>
      </c>
      <c r="AP24" s="629">
        <f>_xlfn.XLOOKUP($E24,'Løp 8'!$E$10:$E$91,'Løp 8'!$L$10:$L$91,0)</f>
        <v>1.1005892255892255E-2</v>
      </c>
      <c r="AQ24" s="628">
        <f>_xlfn.XLOOKUP($E24,'Løp 9'!$E$10:$E$91,'Løp 9'!$M$10:$M$91,0)</f>
        <v>81</v>
      </c>
      <c r="AR24" s="629">
        <f>_xlfn.XLOOKUP($E24,'Løp 9'!$E$10:$E$91,'Løp 9'!$O$10:$O$91,0)</f>
        <v>82</v>
      </c>
      <c r="AS24" s="629">
        <f>_xlfn.XLOOKUP($E24,'Løp 9'!$E$10:$E$91,'Løp 9'!$L$10:$L$91,0)</f>
        <v>8.4438131313131302E-3</v>
      </c>
      <c r="AT24" s="628">
        <f>_xlfn.XLOOKUP($E24,'Løp 10'!$E$10:$E$91,'Løp 10'!$M$10:$M$91,0)</f>
        <v>66</v>
      </c>
      <c r="AU24" s="629">
        <f>_xlfn.XLOOKUP($E24,'Løp 10'!$E$10:$E$91,'Løp 10'!$O$10:$O$91,0)</f>
        <v>75</v>
      </c>
      <c r="AV24" s="629">
        <f>_xlfn.XLOOKUP($E24,'Løp 10'!$E$10:$E$91,'Løp 10'!$L$10:$L$91,0)</f>
        <v>1.1313657407407406E-2</v>
      </c>
      <c r="AW24" s="628">
        <f>_xlfn.XLOOKUP($E24,'Løp 11'!$E$10:$E$91,'Løp 11'!$M$10:$M$91,0)</f>
        <v>0</v>
      </c>
      <c r="AX24" s="629">
        <f>_xlfn.XLOOKUP($E24,'Løp 11'!$E$10:$E$91,'Løp 11'!$O$10:$O$91,0)</f>
        <v>0</v>
      </c>
      <c r="AY24" s="629">
        <f>_xlfn.XLOOKUP($E24,'Løp 11'!$E$10:$E$91,'Løp 11'!$L$10:$L$91,0)</f>
        <v>0</v>
      </c>
      <c r="AZ24" s="628">
        <f>_xlfn.XLOOKUP($E24,'Løp 12'!$E$10:$E$91,'Løp 12'!$M$10:$M$91,0)</f>
        <v>0</v>
      </c>
      <c r="BA24" s="629">
        <f>_xlfn.XLOOKUP($E24,'Løp 12'!$E$10:$E$91,'Løp 12'!$O$10:$O$91,0)</f>
        <v>0</v>
      </c>
      <c r="BB24" s="629">
        <f>_xlfn.XLOOKUP($E24,'Løp 12'!$E$10:$E$91,'Løp 12'!$L$10:$L$91,0)</f>
        <v>0</v>
      </c>
      <c r="BC24" s="628">
        <f>_xlfn.XLOOKUP($E24,'Løp 13'!$E$10:$E$91,'Løp 13'!$M$10:$M$91,0)</f>
        <v>0</v>
      </c>
      <c r="BD24" s="629">
        <f>_xlfn.XLOOKUP($E24,'Løp 13'!$E$10:$E$91,'Løp 13'!$O$10:$O$91,0)</f>
        <v>0</v>
      </c>
      <c r="BE24" s="629">
        <f>_xlfn.XLOOKUP($E24,'Løp 13'!$E$10:$E$91,'Løp 13'!$L$10:$L$91,0)</f>
        <v>0</v>
      </c>
      <c r="BF24" s="628">
        <f>_xlfn.XLOOKUP($E24,'Løp 14'!$E$10:$E$91,'Løp 14'!$M$10:$M$91,0)</f>
        <v>0</v>
      </c>
      <c r="BG24" s="629">
        <f>_xlfn.XLOOKUP($E24,'Løp 14'!$E$10:$E$91,'Løp 14'!$O$10:$O$91,0)</f>
        <v>0</v>
      </c>
      <c r="BH24" s="629">
        <f>_xlfn.XLOOKUP($E24,'Løp 14'!$E$10:$E$91,'Løp 14'!$L$10:$L$91,0)</f>
        <v>0</v>
      </c>
      <c r="BI24" s="628">
        <f>_xlfn.XLOOKUP($E24,'Løp 15'!$E$10:$E$91,'Løp 15'!$M$10:$M$91,0)</f>
        <v>94</v>
      </c>
      <c r="BJ24" s="629">
        <f>_xlfn.XLOOKUP($E24,'Løp 15'!$E$10:$E$91,'Løp 15'!$O$10:$O$91,0)</f>
        <v>94</v>
      </c>
      <c r="BK24" s="629" t="str">
        <f>_xlfn.XLOOKUP($E24,'Løp 15'!$E$10:$E$91,'Løp 15'!$L$10:$L$91,0)</f>
        <v>Arr</v>
      </c>
      <c r="BL24" s="628">
        <f>_xlfn.XLOOKUP($E24,'Løp 16'!$E$10:$E$91,'Løp 16'!$M$10:$M$91,0)</f>
        <v>0</v>
      </c>
      <c r="BM24" s="629">
        <f>_xlfn.XLOOKUP($E24,'Løp 16'!$E$10:$E$91,'Løp 16'!$O$10:$O$91,0)</f>
        <v>0</v>
      </c>
      <c r="BN24" s="629">
        <f>_xlfn.XLOOKUP($E24,'Løp 16'!$E$10:$E$91,'Løp 16'!$L$10:$L$91,0)</f>
        <v>0</v>
      </c>
      <c r="BO24" s="628">
        <f>_xlfn.XLOOKUP($E24,'Løp 17'!$E$10:$E$91,'Løp 17'!$M$10:$M$91,0)</f>
        <v>0</v>
      </c>
      <c r="BP24" s="629">
        <f>_xlfn.XLOOKUP($E24,'Løp 17'!$E$10:$E$91,'Løp 17'!$O$10:$O$91,0)</f>
        <v>0</v>
      </c>
      <c r="BQ24" s="629">
        <f>_xlfn.XLOOKUP($E24,'Løp 17'!$E$10:$E$91,'Løp 17'!$L$10:$L$91,0)</f>
        <v>0</v>
      </c>
      <c r="BR24" s="628">
        <f>_xlfn.XLOOKUP($E24,'Løp 18'!$E$10:$E$91,'Løp 18'!$M$10:$M$91,0)</f>
        <v>75</v>
      </c>
      <c r="BS24" s="629">
        <f>_xlfn.XLOOKUP($E24,'Løp 18'!$E$10:$E$91,'Løp 18'!$O$10:$O$91,0)</f>
        <v>82</v>
      </c>
      <c r="BT24" s="629">
        <f>_xlfn.XLOOKUP($E24,'Løp 18'!$E$10:$E$91,'Løp 18'!$L$10:$L$91,0)</f>
        <v>9.5428240740740734E-3</v>
      </c>
      <c r="BU24" s="628">
        <f>_xlfn.XLOOKUP($E24,'Løp 19'!$E$10:$E$91,'Løp 19'!$M$10:$M$91,0)</f>
        <v>50</v>
      </c>
      <c r="BV24" s="629">
        <f>_xlfn.XLOOKUP($E24,'Løp 19'!$E$10:$E$91,'Løp 19'!$O$10:$O$91,0)</f>
        <v>50</v>
      </c>
      <c r="BW24" s="629" t="str">
        <f>_xlfn.XLOOKUP($E24,'Løp 19'!$E$10:$E$91,'Løp 19'!$L$10:$L$91,0)</f>
        <v>Brutt</v>
      </c>
      <c r="BX24" s="628">
        <f>_xlfn.XLOOKUP($E24,'Løp 20'!$E$10:$E$92,'Løp 20'!$M$10:$M$92,0)</f>
        <v>63</v>
      </c>
      <c r="BY24" s="629">
        <f>_xlfn.XLOOKUP($E24,'Løp 20'!$E$10:$E$92,'Løp 20'!$O$10:$O$92,0)</f>
        <v>70</v>
      </c>
      <c r="BZ24" s="629">
        <f>_xlfn.XLOOKUP($E24,'Løp 20'!$E$10:$E$92,'Løp 20'!$L$10:$L$92,0)</f>
        <v>1.2274029982363314E-2</v>
      </c>
      <c r="CA24" s="628">
        <f>_xlfn.XLOOKUP($E24,'Løp 21'!$E$10:$E$93,'Løp 21'!$M$10:$M$93,0)</f>
        <v>69</v>
      </c>
      <c r="CB24" s="629">
        <f>_xlfn.XLOOKUP($E24,'Løp 21'!$E$10:$E$93,'Løp 21'!$O$10:$O$93,0)</f>
        <v>81</v>
      </c>
      <c r="CC24" s="629">
        <f>_xlfn.XLOOKUP($E24,'Løp 21'!$E$10:$E$93,'Løp 21'!$L$10:$L$93,0)</f>
        <v>8.7862318840579712E-3</v>
      </c>
      <c r="CD24" s="628">
        <f>_xlfn.XLOOKUP($E24,'Løp 22'!$E$10:$E$93,'Løp 22'!$M$10:$M$93,0)</f>
        <v>0</v>
      </c>
      <c r="CE24" s="629">
        <f>_xlfn.XLOOKUP($E24,'Løp 22'!$E$10:$E$93,'Løp 22'!$O$10:$O$93,0)</f>
        <v>0</v>
      </c>
      <c r="CF24" s="629">
        <f>_xlfn.XLOOKUP($E24,'Løp 22'!$E$10:$E$93,'Løp 22'!$L$10:$L$93,0)</f>
        <v>0</v>
      </c>
      <c r="CG24" s="628">
        <f>_xlfn.XLOOKUP($E24,'Løp 23'!$E$10:$E$93,'Løp 23'!$M$10:$M$93,0)</f>
        <v>94</v>
      </c>
      <c r="CH24" s="629">
        <f>_xlfn.XLOOKUP($E24,'Løp 23'!$E$10:$E$93,'Løp 23'!$O$10:$O$93,0)</f>
        <v>94</v>
      </c>
      <c r="CI24" s="629" t="str">
        <f>_xlfn.XLOOKUP($E24,'Løp 23'!$E$10:$E$93,'Løp 23'!$L$10:$L$93,0)</f>
        <v>Arr</v>
      </c>
      <c r="CJ24" s="628">
        <f>_xlfn.XLOOKUP($E24,'Løp 24'!$E$10:$E$93,'Løp 24'!$M$10:$M$93,0)</f>
        <v>67</v>
      </c>
      <c r="CK24" s="629">
        <f>_xlfn.XLOOKUP($E24,'Løp 24'!$E$10:$E$93,'Løp 24'!$O$10:$O$93,0)</f>
        <v>65</v>
      </c>
      <c r="CL24" s="629">
        <f>_xlfn.XLOOKUP($E24,'Løp 24'!$E$10:$E$93,'Løp 24'!$L$10:$L$93,0)</f>
        <v>7.9124579124579108E-3</v>
      </c>
      <c r="CM24" s="628">
        <f>_xlfn.XLOOKUP($E24,'Løp 25'!$E$10:$E$94,'Løp 25'!$M$10:$M$94,0)</f>
        <v>71</v>
      </c>
      <c r="CN24" s="629">
        <f>_xlfn.XLOOKUP($E24,'Løp 25'!$E$10:$E$94,'Løp 25'!$O$10:$O$94,0)</f>
        <v>81</v>
      </c>
      <c r="CO24" s="629">
        <f>_xlfn.XLOOKUP($E24,'Løp 25'!$E$10:$E$94,'Løp 25'!$L$10:$L$94,0)</f>
        <v>1.0199652777777778E-2</v>
      </c>
      <c r="CP24" s="628">
        <f>_xlfn.XLOOKUP($E24,'Løp 26'!$E$10:$E$94,'Løp 26'!$M$10:$M$94,0)</f>
        <v>58</v>
      </c>
      <c r="CQ24" s="629">
        <f>_xlfn.XLOOKUP($E24,'Løp 26'!$E$10:$E$94,'Løp 26'!$O$10:$O$94,0)</f>
        <v>69</v>
      </c>
      <c r="CR24" s="629">
        <f>_xlfn.XLOOKUP($E24,'Løp 26'!$E$10:$E$94,'Løp 26'!$L$10:$L$94,0)</f>
        <v>1.229522792022792E-2</v>
      </c>
      <c r="CS24" s="628">
        <f>_xlfn.XLOOKUP($E24,'Løp 27'!$E$10:$E$94,'Løp 27'!$M$10:$M$94,0)</f>
        <v>0</v>
      </c>
      <c r="CT24" s="629">
        <f>_xlfn.XLOOKUP($E24,'Løp 27'!$E$10:$E$94,'Løp 27'!$O$10:$O$94,0)</f>
        <v>0</v>
      </c>
      <c r="CU24" s="629">
        <f>_xlfn.XLOOKUP($E24,'Løp 27'!$E$10:$E$94,'Løp 27'!$L$10:$L$94,0)</f>
        <v>0</v>
      </c>
      <c r="CV24" s="628">
        <f>_xlfn.XLOOKUP($E24,'Løp 28'!$E$10:$E$95,'Løp 28'!$M$10:$M$95,0)</f>
        <v>53</v>
      </c>
      <c r="CW24" s="629">
        <f>_xlfn.XLOOKUP($E24,'Løp 28'!$E$10:$E$95,'Løp 28'!$O$10:$O$95,0)</f>
        <v>66</v>
      </c>
      <c r="CX24" s="629">
        <f>_xlfn.XLOOKUP($E24,'Løp 28'!$E$10:$E$95,'Løp 28'!$L$10:$L$95,0)</f>
        <v>1.2465277777777778E-2</v>
      </c>
      <c r="CY24" s="628">
        <f>_xlfn.XLOOKUP($E24,'Løp 29'!$E$10:$E$95,'Løp 29'!$M$10:$M$95,0)</f>
        <v>69</v>
      </c>
      <c r="CZ24" s="629">
        <f>_xlfn.XLOOKUP($E24,'Løp 29'!$E$10:$E$95,'Løp 29'!$O$10:$O$95,0)</f>
        <v>80</v>
      </c>
      <c r="DA24" s="629">
        <f>_xlfn.XLOOKUP($E24,'Løp 29'!$E$10:$E$95,'Løp 29'!$L$10:$L$95,0)</f>
        <v>1.0539641203703704E-2</v>
      </c>
    </row>
    <row r="25" spans="2:105" ht="26" thickBot="1" x14ac:dyDescent="0.3">
      <c r="B25" s="627">
        <f t="shared" si="0"/>
        <v>16</v>
      </c>
      <c r="C25" s="119" t="s">
        <v>114</v>
      </c>
      <c r="D25" s="620" t="s">
        <v>115</v>
      </c>
      <c r="E25" s="616" t="str">
        <f>_xlfn.CONCAT(C25:D25)</f>
        <v>MagnusLandstad</v>
      </c>
      <c r="F25" s="610"/>
      <c r="G25" s="653">
        <f>COUNTIF(S25:DA25,"&gt;2")/2</f>
        <v>24</v>
      </c>
      <c r="H25" s="852">
        <f>COUNTIF(S25:DA25,"=Løype")+COUNTIF(S25:DA25,"Arr")</f>
        <v>0</v>
      </c>
      <c r="I25" s="610"/>
      <c r="J25" s="632">
        <f>S25+V25+Y25+AB25+AE25+AH25+AK25+AN25+AQ25+AT25+AW25+AZ25+BC25+BF25+BI25+BL25+BO25+BR25+BU25+BX25+CA25+CD25+CG25+CJ25+CM25+CP25+CS25+CV25+CY25</f>
        <v>1491</v>
      </c>
      <c r="K25" s="633">
        <f>T25+W25+Z25+AC25+AF25+AI25+AL25+AO25+AR25+AU25+AX25+BA25+BD25+BG25+BJ25+BM25+BP25+BS25+BV25+BY25+CB25+CE25+CH25+CK25+CN25+CQ25+CT25+CW25+CZ25</f>
        <v>1845</v>
      </c>
      <c r="L25" s="613"/>
      <c r="M25" s="658">
        <f>IF($G25&gt;0,J25/G25,0)</f>
        <v>62.125</v>
      </c>
      <c r="N25" s="659">
        <f>IF($G25&gt;0,K25/$G25,0)</f>
        <v>76.875</v>
      </c>
      <c r="O25" s="862"/>
      <c r="P25" s="874">
        <f>IF(AND($G25&gt;$Q$3-1,$G25-$H25&gt;0),M25,0)</f>
        <v>62.125</v>
      </c>
      <c r="Q25" s="875">
        <f>IF(AND($G25&gt;$Q$3-1,$G25-$H25&gt;0),N25,0)</f>
        <v>76.875</v>
      </c>
      <c r="R25" s="613"/>
      <c r="S25" s="628">
        <f>_xlfn.XLOOKUP($E25,'Løp 1'!$E$10:$E$90,'Løp 1'!$M$10:$M$90,0)</f>
        <v>60</v>
      </c>
      <c r="T25" s="629">
        <f>_xlfn.XLOOKUP($E25,'Løp 1'!$E$10:$E$90,'Løp 1'!$O$10:$O$90,0)</f>
        <v>78</v>
      </c>
      <c r="U25" s="629">
        <f>_xlfn.XLOOKUP($E25,'Løp 1'!$E$10:$E$90,'Løp 1'!$L$10:$L$90,0)</f>
        <v>1.3457854406130268E-2</v>
      </c>
      <c r="V25" s="628">
        <f>_xlfn.XLOOKUP($E25,'Løp 2'!$E$10:$E$90,'Løp 2'!$M$10:$M$90,0)</f>
        <v>65</v>
      </c>
      <c r="W25" s="629">
        <f>_xlfn.XLOOKUP($E25,'Løp 2'!$E$10:$E$90,'Løp 2'!$O$10:$O$90,0)</f>
        <v>71</v>
      </c>
      <c r="X25" s="629">
        <f>_xlfn.XLOOKUP($E25,'Løp 2'!$E$10:$E$90,'Løp 2'!$L$10:$L$90,0)</f>
        <v>1.3653273809523811E-2</v>
      </c>
      <c r="Y25" s="628">
        <f>_xlfn.XLOOKUP($E25,'Løp 3'!$E$10:$E$90,'Løp 3'!$M$10:$M$90,0)</f>
        <v>0</v>
      </c>
      <c r="Z25" s="629">
        <f>_xlfn.XLOOKUP($E25,'Løp 3'!$E$10:$E$90,'Løp 3'!$O$10:$O$90,0)</f>
        <v>0</v>
      </c>
      <c r="AA25" s="629">
        <f>_xlfn.XLOOKUP($E25,'Løp 3'!$E$10:$E$90,'Løp 3'!$L$10:$L$90,0)</f>
        <v>0</v>
      </c>
      <c r="AB25" s="628">
        <f>_xlfn.XLOOKUP($E25,'Løp 4'!$E$10:$E$90,'Løp 4'!$M$10:$M$90,0)</f>
        <v>63</v>
      </c>
      <c r="AC25" s="629">
        <f>_xlfn.XLOOKUP($E25,'Løp 4'!$E$10:$E$90,'Løp 4'!$O$10:$O$90,0)</f>
        <v>85</v>
      </c>
      <c r="AD25" s="629">
        <f>_xlfn.XLOOKUP($E25,'Løp 4'!$E$10:$E$90,'Løp 4'!$L$10:$L$90,0)</f>
        <v>1.1084104938271605E-2</v>
      </c>
      <c r="AE25" s="628">
        <f>_xlfn.XLOOKUP($E25,'Løp 5'!$E$10:$E$90,'Løp 5'!$M$10:$M$90,0)</f>
        <v>61</v>
      </c>
      <c r="AF25" s="629">
        <f>_xlfn.XLOOKUP($E25,'Løp 5'!$E$10:$E$90,'Løp 5'!$O$10:$O$90,0)</f>
        <v>75</v>
      </c>
      <c r="AG25" s="629">
        <f>_xlfn.XLOOKUP($E25,'Løp 5'!$E$10:$E$90,'Løp 5'!$L$10:$L$90,0)</f>
        <v>1.1805555555555555E-2</v>
      </c>
      <c r="AH25" s="628">
        <f>_xlfn.XLOOKUP($E25,'Løp 6'!$E$10:$E$90,'Løp 6'!$M$10:$M$90,0)</f>
        <v>67</v>
      </c>
      <c r="AI25" s="629">
        <f>_xlfn.XLOOKUP($E25,'Løp 6'!$E$10:$E$90,'Løp 6'!$O$10:$O$90,0)</f>
        <v>85</v>
      </c>
      <c r="AJ25" s="629">
        <f>_xlfn.XLOOKUP($E25,'Løp 6'!$E$10:$E$90,'Løp 6'!$L$10:$L$90,0)</f>
        <v>1.1724537037037039E-2</v>
      </c>
      <c r="AK25" s="628">
        <f>_xlfn.XLOOKUP($E25,'Løp 7'!$E$10:$E$90,'Løp 7'!$M$10:$M$90,0)</f>
        <v>84</v>
      </c>
      <c r="AL25" s="629">
        <f>_xlfn.XLOOKUP($E25,'Løp 7'!$E$10:$E$90,'Løp 7'!$O$10:$O$90,0)</f>
        <v>88</v>
      </c>
      <c r="AM25" s="629">
        <f>_xlfn.XLOOKUP($E25,'Løp 7'!$E$10:$E$90,'Løp 7'!$L$10:$L$90,0)</f>
        <v>2.001194743130227E-2</v>
      </c>
      <c r="AN25" s="628">
        <f>_xlfn.XLOOKUP($E25,'Løp 8'!$E$10:$E$91,'Løp 8'!$M$10:$M$91,0)</f>
        <v>68</v>
      </c>
      <c r="AO25" s="629">
        <f>_xlfn.XLOOKUP($E25,'Løp 8'!$E$10:$E$91,'Løp 8'!$O$10:$O$91,0)</f>
        <v>73</v>
      </c>
      <c r="AP25" s="629">
        <f>_xlfn.XLOOKUP($E25,'Løp 8'!$E$10:$E$91,'Løp 8'!$L$10:$L$91,0)</f>
        <v>1.24631734006734E-2</v>
      </c>
      <c r="AQ25" s="628">
        <f>_xlfn.XLOOKUP($E25,'Løp 9'!$E$10:$E$91,'Løp 9'!$M$10:$M$91,0)</f>
        <v>51</v>
      </c>
      <c r="AR25" s="629">
        <f>_xlfn.XLOOKUP($E25,'Løp 9'!$E$10:$E$91,'Løp 9'!$O$10:$O$91,0)</f>
        <v>57</v>
      </c>
      <c r="AS25" s="629">
        <f>_xlfn.XLOOKUP($E25,'Løp 9'!$E$10:$E$91,'Løp 9'!$L$10:$L$91,0)</f>
        <v>1.3448327359617681E-2</v>
      </c>
      <c r="AT25" s="628">
        <f>_xlfn.XLOOKUP($E25,'Løp 10'!$E$10:$E$91,'Løp 10'!$M$10:$M$91,0)</f>
        <v>63</v>
      </c>
      <c r="AU25" s="629">
        <f>_xlfn.XLOOKUP($E25,'Løp 10'!$E$10:$E$91,'Løp 10'!$O$10:$O$91,0)</f>
        <v>80</v>
      </c>
      <c r="AV25" s="629">
        <f>_xlfn.XLOOKUP($E25,'Løp 10'!$E$10:$E$91,'Løp 10'!$L$10:$L$91,0)</f>
        <v>1.1715534979423866E-2</v>
      </c>
      <c r="AW25" s="628">
        <f>_xlfn.XLOOKUP($E25,'Løp 11'!$E$10:$E$91,'Løp 11'!$M$10:$M$91,0)</f>
        <v>57</v>
      </c>
      <c r="AX25" s="629">
        <f>_xlfn.XLOOKUP($E25,'Løp 11'!$E$10:$E$91,'Løp 11'!$O$10:$O$91,0)</f>
        <v>73</v>
      </c>
      <c r="AY25" s="629">
        <f>_xlfn.XLOOKUP($E25,'Løp 11'!$E$10:$E$91,'Løp 11'!$L$10:$L$91,0)</f>
        <v>1.2854456018518519E-2</v>
      </c>
      <c r="AZ25" s="628">
        <f>_xlfn.XLOOKUP($E25,'Løp 12'!$E$10:$E$91,'Løp 12'!$M$10:$M$91,0)</f>
        <v>0</v>
      </c>
      <c r="BA25" s="629">
        <f>_xlfn.XLOOKUP($E25,'Løp 12'!$E$10:$E$91,'Løp 12'!$O$10:$O$91,0)</f>
        <v>0</v>
      </c>
      <c r="BB25" s="629">
        <f>_xlfn.XLOOKUP($E25,'Løp 12'!$E$10:$E$91,'Løp 12'!$L$10:$L$91,0)</f>
        <v>0</v>
      </c>
      <c r="BC25" s="628">
        <f>_xlfn.XLOOKUP($E25,'Løp 13'!$E$10:$E$91,'Løp 13'!$M$10:$M$91,0)</f>
        <v>59</v>
      </c>
      <c r="BD25" s="629">
        <f>_xlfn.XLOOKUP($E25,'Løp 13'!$E$10:$E$91,'Løp 13'!$O$10:$O$91,0)</f>
        <v>88</v>
      </c>
      <c r="BE25" s="629">
        <f>_xlfn.XLOOKUP($E25,'Løp 13'!$E$10:$E$91,'Løp 13'!$L$10:$L$91,0)</f>
        <v>9.1594827586206889E-3</v>
      </c>
      <c r="BF25" s="628">
        <f>_xlfn.XLOOKUP($E25,'Løp 14'!$E$10:$E$91,'Løp 14'!$M$10:$M$91,0)</f>
        <v>67</v>
      </c>
      <c r="BG25" s="629">
        <f>_xlfn.XLOOKUP($E25,'Løp 14'!$E$10:$E$91,'Løp 14'!$O$10:$O$91,0)</f>
        <v>86</v>
      </c>
      <c r="BH25" s="629">
        <f>_xlfn.XLOOKUP($E25,'Løp 14'!$E$10:$E$91,'Løp 14'!$L$10:$L$91,0)</f>
        <v>9.3424479166666664E-3</v>
      </c>
      <c r="BI25" s="628">
        <f>_xlfn.XLOOKUP($E25,'Løp 15'!$E$10:$E$91,'Løp 15'!$M$10:$M$91,0)</f>
        <v>70</v>
      </c>
      <c r="BJ25" s="629">
        <f>_xlfn.XLOOKUP($E25,'Løp 15'!$E$10:$E$91,'Løp 15'!$O$10:$O$91,0)</f>
        <v>80</v>
      </c>
      <c r="BK25" s="629">
        <f>_xlfn.XLOOKUP($E25,'Løp 15'!$E$10:$E$91,'Løp 15'!$L$10:$L$91,0)</f>
        <v>1.2412317620650955E-2</v>
      </c>
      <c r="BL25" s="628">
        <f>_xlfn.XLOOKUP($E25,'Løp 16'!$E$10:$E$91,'Løp 16'!$M$10:$M$91,0)</f>
        <v>50</v>
      </c>
      <c r="BM25" s="629">
        <f>_xlfn.XLOOKUP($E25,'Løp 16'!$E$10:$E$91,'Løp 16'!$O$10:$O$91,0)</f>
        <v>50</v>
      </c>
      <c r="BN25" s="629" t="str">
        <f>_xlfn.XLOOKUP($E25,'Løp 16'!$E$10:$E$91,'Løp 16'!$L$10:$L$91,0)</f>
        <v>Disk</v>
      </c>
      <c r="BO25" s="628">
        <f>_xlfn.XLOOKUP($E25,'Løp 17'!$E$10:$E$91,'Løp 17'!$M$10:$M$91,0)</f>
        <v>56</v>
      </c>
      <c r="BP25" s="629">
        <f>_xlfn.XLOOKUP($E25,'Løp 17'!$E$10:$E$91,'Løp 17'!$O$10:$O$91,0)</f>
        <v>74</v>
      </c>
      <c r="BQ25" s="629">
        <f>_xlfn.XLOOKUP($E25,'Løp 17'!$E$10:$E$91,'Løp 17'!$L$10:$L$91,0)</f>
        <v>1.1278735632183907E-2</v>
      </c>
      <c r="BR25" s="628">
        <f>_xlfn.XLOOKUP($E25,'Løp 18'!$E$10:$E$91,'Løp 18'!$M$10:$M$91,0)</f>
        <v>67</v>
      </c>
      <c r="BS25" s="629">
        <f>_xlfn.XLOOKUP($E25,'Løp 18'!$E$10:$E$91,'Løp 18'!$O$10:$O$91,0)</f>
        <v>82</v>
      </c>
      <c r="BT25" s="629">
        <f>_xlfn.XLOOKUP($E25,'Løp 18'!$E$10:$E$91,'Løp 18'!$L$10:$L$91,0)</f>
        <v>1.0756655092592592E-2</v>
      </c>
      <c r="BU25" s="628">
        <f>_xlfn.XLOOKUP($E25,'Løp 19'!$E$10:$E$91,'Løp 19'!$M$10:$M$91,0)</f>
        <v>0</v>
      </c>
      <c r="BV25" s="629">
        <f>_xlfn.XLOOKUP($E25,'Løp 19'!$E$10:$E$91,'Løp 19'!$O$10:$O$91,0)</f>
        <v>0</v>
      </c>
      <c r="BW25" s="629">
        <f>_xlfn.XLOOKUP($E25,'Løp 19'!$E$10:$E$91,'Løp 19'!$L$10:$L$91,0)</f>
        <v>0</v>
      </c>
      <c r="BX25" s="628">
        <f>_xlfn.XLOOKUP($E25,'Løp 20'!$E$10:$E$92,'Løp 20'!$M$10:$M$92,0)</f>
        <v>0</v>
      </c>
      <c r="BY25" s="629">
        <f>_xlfn.XLOOKUP($E25,'Løp 20'!$E$10:$E$92,'Løp 20'!$O$10:$O$92,0)</f>
        <v>0</v>
      </c>
      <c r="BZ25" s="629">
        <f>_xlfn.XLOOKUP($E25,'Løp 20'!$E$10:$E$92,'Løp 20'!$L$10:$L$92,0)</f>
        <v>0</v>
      </c>
      <c r="CA25" s="628">
        <f>_xlfn.XLOOKUP($E25,'Løp 21'!$E$10:$E$93,'Løp 21'!$M$10:$M$93,0)</f>
        <v>0</v>
      </c>
      <c r="CB25" s="629">
        <f>_xlfn.XLOOKUP($E25,'Løp 21'!$E$10:$E$93,'Løp 21'!$O$10:$O$93,0)</f>
        <v>0</v>
      </c>
      <c r="CC25" s="629">
        <f>_xlfn.XLOOKUP($E25,'Løp 21'!$E$10:$E$93,'Løp 21'!$L$10:$L$93,0)</f>
        <v>0</v>
      </c>
      <c r="CD25" s="628">
        <f>_xlfn.XLOOKUP($E25,'Løp 22'!$E$10:$E$93,'Løp 22'!$M$10:$M$93,0)</f>
        <v>63</v>
      </c>
      <c r="CE25" s="629">
        <f>_xlfn.XLOOKUP($E25,'Løp 22'!$E$10:$E$93,'Løp 22'!$O$10:$O$93,0)</f>
        <v>80</v>
      </c>
      <c r="CF25" s="629">
        <f>_xlfn.XLOOKUP($E25,'Løp 22'!$E$10:$E$93,'Løp 22'!$L$10:$L$93,0)</f>
        <v>1.114227207977208E-2</v>
      </c>
      <c r="CG25" s="628">
        <f>_xlfn.XLOOKUP($E25,'Løp 23'!$E$10:$E$93,'Løp 23'!$M$10:$M$93,0)</f>
        <v>58</v>
      </c>
      <c r="CH25" s="629">
        <f>_xlfn.XLOOKUP($E25,'Løp 23'!$E$10:$E$93,'Løp 23'!$O$10:$O$93,0)</f>
        <v>75</v>
      </c>
      <c r="CI25" s="629">
        <f>_xlfn.XLOOKUP($E25,'Løp 23'!$E$10:$E$93,'Løp 23'!$L$10:$L$93,0)</f>
        <v>8.8801085568326957E-3</v>
      </c>
      <c r="CJ25" s="628">
        <f>_xlfn.XLOOKUP($E25,'Løp 24'!$E$10:$E$93,'Løp 24'!$M$10:$M$93,0)</f>
        <v>67</v>
      </c>
      <c r="CK25" s="629">
        <f>_xlfn.XLOOKUP($E25,'Løp 24'!$E$10:$E$93,'Løp 24'!$O$10:$O$93,0)</f>
        <v>73</v>
      </c>
      <c r="CL25" s="629">
        <f>_xlfn.XLOOKUP($E25,'Løp 24'!$E$10:$E$93,'Løp 24'!$L$10:$L$93,0)</f>
        <v>7.8965053763440859E-3</v>
      </c>
      <c r="CM25" s="628">
        <f>_xlfn.XLOOKUP($E25,'Løp 25'!$E$10:$E$94,'Løp 25'!$M$10:$M$94,0)</f>
        <v>62</v>
      </c>
      <c r="CN25" s="629">
        <f>_xlfn.XLOOKUP($E25,'Løp 25'!$E$10:$E$94,'Løp 25'!$O$10:$O$94,0)</f>
        <v>80</v>
      </c>
      <c r="CO25" s="629">
        <f>_xlfn.XLOOKUP($E25,'Løp 25'!$E$10:$E$94,'Løp 25'!$L$10:$L$94,0)</f>
        <v>1.1624710648148146E-2</v>
      </c>
      <c r="CP25" s="628">
        <f>_xlfn.XLOOKUP($E25,'Løp 26'!$E$10:$E$94,'Løp 26'!$M$10:$M$94,0)</f>
        <v>64</v>
      </c>
      <c r="CQ25" s="629">
        <f>_xlfn.XLOOKUP($E25,'Løp 26'!$E$10:$E$94,'Løp 26'!$O$10:$O$94,0)</f>
        <v>86</v>
      </c>
      <c r="CR25" s="629">
        <f>_xlfn.XLOOKUP($E25,'Løp 26'!$E$10:$E$94,'Løp 26'!$L$10:$L$94,0)</f>
        <v>1.101919934640523E-2</v>
      </c>
      <c r="CS25" s="628">
        <f>_xlfn.XLOOKUP($E25,'Løp 27'!$E$10:$E$94,'Løp 27'!$M$10:$M$94,0)</f>
        <v>61</v>
      </c>
      <c r="CT25" s="629">
        <f>_xlfn.XLOOKUP($E25,'Løp 27'!$E$10:$E$94,'Løp 27'!$O$10:$O$94,0)</f>
        <v>82</v>
      </c>
      <c r="CU25" s="629">
        <f>_xlfn.XLOOKUP($E25,'Løp 27'!$E$10:$E$94,'Løp 27'!$L$10:$L$94,0)</f>
        <v>1.1188271604938271E-2</v>
      </c>
      <c r="CV25" s="628">
        <f>_xlfn.XLOOKUP($E25,'Løp 28'!$E$10:$E$95,'Løp 28'!$M$10:$M$95,0)</f>
        <v>54</v>
      </c>
      <c r="CW25" s="629">
        <f>_xlfn.XLOOKUP($E25,'Løp 28'!$E$10:$E$95,'Løp 28'!$O$10:$O$95,0)</f>
        <v>74</v>
      </c>
      <c r="CX25" s="629">
        <f>_xlfn.XLOOKUP($E25,'Løp 28'!$E$10:$E$95,'Løp 28'!$L$10:$L$95,0)</f>
        <v>1.2404388083735911E-2</v>
      </c>
      <c r="CY25" s="628">
        <f>_xlfn.XLOOKUP($E25,'Løp 29'!$E$10:$E$95,'Løp 29'!$M$10:$M$95,0)</f>
        <v>54</v>
      </c>
      <c r="CZ25" s="629">
        <f>_xlfn.XLOOKUP($E25,'Løp 29'!$E$10:$E$95,'Løp 29'!$O$10:$O$95,0)</f>
        <v>70</v>
      </c>
      <c r="DA25" s="629">
        <f>_xlfn.XLOOKUP($E25,'Løp 29'!$E$10:$E$95,'Løp 29'!$L$10:$L$95,0)</f>
        <v>1.3450727513227513E-2</v>
      </c>
    </row>
    <row r="26" spans="2:105" ht="26" thickBot="1" x14ac:dyDescent="0.3">
      <c r="B26" s="627">
        <f t="shared" si="0"/>
        <v>17</v>
      </c>
      <c r="C26" s="119" t="s">
        <v>124</v>
      </c>
      <c r="D26" s="620" t="s">
        <v>125</v>
      </c>
      <c r="E26" s="616" t="str">
        <f>_xlfn.CONCAT(C26:D26)</f>
        <v>Heidi Midttun</v>
      </c>
      <c r="F26" s="610"/>
      <c r="G26" s="653">
        <f>COUNTIF(S26:DA26,"&gt;2")/2</f>
        <v>23</v>
      </c>
      <c r="H26" s="852">
        <f>COUNTIF(S26:DA26,"=Løype")+COUNTIF(S26:DA26,"Arr")</f>
        <v>0</v>
      </c>
      <c r="I26" s="610"/>
      <c r="J26" s="632">
        <f>S26+V26+Y26+AB26+AE26+AH26+AK26+AN26+AQ26+AT26+AW26+AZ26+BC26+BF26+BI26+BL26+BO26+BR26+BU26+BX26+CA26+CD26+CG26+CJ26+CM26+CP26+CS26+CV26+CY26</f>
        <v>1460</v>
      </c>
      <c r="K26" s="633">
        <f>T26+W26+Z26+AC26+AF26+AI26+AL26+AO26+AR26+AU26+AX26+BA26+BD26+BG26+BJ26+BM26+BP26+BS26+BV26+BY26+CB26+CE26+CH26+CK26+CN26+CQ26+CT26+CW26+CZ26</f>
        <v>1763</v>
      </c>
      <c r="L26" s="613"/>
      <c r="M26" s="658">
        <f>IF($G26&gt;0,J26/G26,0)</f>
        <v>63.478260869565219</v>
      </c>
      <c r="N26" s="659">
        <f>IF($G26&gt;0,K26/$G26,0)</f>
        <v>76.652173913043484</v>
      </c>
      <c r="O26" s="862"/>
      <c r="P26" s="874">
        <f>IF(AND($G26&gt;$Q$3-1,$G26-$H26&gt;0),M26,0)</f>
        <v>63.478260869565219</v>
      </c>
      <c r="Q26" s="875">
        <f>IF(AND($G26&gt;$Q$3-1,$G26-$H26&gt;0),N26,0)</f>
        <v>76.652173913043484</v>
      </c>
      <c r="R26" s="613"/>
      <c r="S26" s="628">
        <f>_xlfn.XLOOKUP($E26,'Løp 1'!$E$10:$E$90,'Løp 1'!$M$10:$M$90,0)</f>
        <v>58</v>
      </c>
      <c r="T26" s="629">
        <f>_xlfn.XLOOKUP($E26,'Løp 1'!$E$10:$E$90,'Løp 1'!$O$10:$O$90,0)</f>
        <v>73</v>
      </c>
      <c r="U26" s="629">
        <f>_xlfn.XLOOKUP($E26,'Løp 1'!$E$10:$E$90,'Løp 1'!$L$10:$L$90,0)</f>
        <v>1.4004629629629631E-2</v>
      </c>
      <c r="V26" s="628">
        <f>_xlfn.XLOOKUP($E26,'Løp 2'!$E$10:$E$90,'Løp 2'!$M$10:$M$90,0)</f>
        <v>53</v>
      </c>
      <c r="W26" s="629">
        <f>_xlfn.XLOOKUP($E26,'Løp 2'!$E$10:$E$90,'Løp 2'!$O$10:$O$90,0)</f>
        <v>56</v>
      </c>
      <c r="X26" s="629">
        <f>_xlfn.XLOOKUP($E26,'Løp 2'!$E$10:$E$90,'Løp 2'!$L$10:$L$90,0)</f>
        <v>1.6774691358024691E-2</v>
      </c>
      <c r="Y26" s="628">
        <f>_xlfn.XLOOKUP($E26,'Løp 3'!$E$10:$E$90,'Løp 3'!$M$10:$M$90,0)</f>
        <v>0</v>
      </c>
      <c r="Z26" s="629">
        <f>_xlfn.XLOOKUP($E26,'Løp 3'!$E$10:$E$90,'Løp 3'!$O$10:$O$90,0)</f>
        <v>0</v>
      </c>
      <c r="AA26" s="629">
        <f>_xlfn.XLOOKUP($E26,'Løp 3'!$E$10:$E$90,'Løp 3'!$L$10:$L$90,0)</f>
        <v>0</v>
      </c>
      <c r="AB26" s="628">
        <f>_xlfn.XLOOKUP($E26,'Løp 4'!$E$10:$E$90,'Løp 4'!$M$10:$M$90,0)</f>
        <v>0</v>
      </c>
      <c r="AC26" s="629">
        <f>_xlfn.XLOOKUP($E26,'Løp 4'!$E$10:$E$90,'Løp 4'!$O$10:$O$90,0)</f>
        <v>0</v>
      </c>
      <c r="AD26" s="629">
        <f>_xlfn.XLOOKUP($E26,'Løp 4'!$E$10:$E$90,'Løp 4'!$L$10:$L$90,0)</f>
        <v>0</v>
      </c>
      <c r="AE26" s="628">
        <f>_xlfn.XLOOKUP($E26,'Løp 5'!$E$10:$E$90,'Løp 5'!$M$10:$M$90,0)</f>
        <v>57</v>
      </c>
      <c r="AF26" s="629">
        <f>_xlfn.XLOOKUP($E26,'Løp 5'!$E$10:$E$90,'Løp 5'!$O$10:$O$90,0)</f>
        <v>69</v>
      </c>
      <c r="AG26" s="629">
        <f>_xlfn.XLOOKUP($E26,'Løp 5'!$E$10:$E$90,'Løp 5'!$L$10:$L$90,0)</f>
        <v>1.2645747599451302E-2</v>
      </c>
      <c r="AH26" s="628">
        <f>_xlfn.XLOOKUP($E26,'Løp 6'!$E$10:$E$90,'Løp 6'!$M$10:$M$90,0)</f>
        <v>61</v>
      </c>
      <c r="AI26" s="629">
        <f>_xlfn.XLOOKUP($E26,'Løp 6'!$E$10:$E$90,'Løp 6'!$O$10:$O$90,0)</f>
        <v>76</v>
      </c>
      <c r="AJ26" s="629">
        <f>_xlfn.XLOOKUP($E26,'Løp 6'!$E$10:$E$90,'Løp 6'!$L$10:$L$90,0)</f>
        <v>1.2862654320987654E-2</v>
      </c>
      <c r="AK26" s="628">
        <f>_xlfn.XLOOKUP($E26,'Løp 7'!$E$10:$E$90,'Løp 7'!$M$10:$M$90,0)</f>
        <v>83</v>
      </c>
      <c r="AL26" s="629">
        <f>_xlfn.XLOOKUP($E26,'Løp 7'!$E$10:$E$90,'Løp 7'!$O$10:$O$90,0)</f>
        <v>84</v>
      </c>
      <c r="AM26" s="629">
        <f>_xlfn.XLOOKUP($E26,'Løp 7'!$E$10:$E$90,'Løp 7'!$L$10:$L$90,0)</f>
        <v>2.0380892255892253E-2</v>
      </c>
      <c r="AN26" s="628">
        <f>_xlfn.XLOOKUP($E26,'Løp 8'!$E$10:$E$91,'Løp 8'!$M$10:$M$91,0)</f>
        <v>0</v>
      </c>
      <c r="AO26" s="629">
        <f>_xlfn.XLOOKUP($E26,'Løp 8'!$E$10:$E$91,'Løp 8'!$O$10:$O$91,0)</f>
        <v>0</v>
      </c>
      <c r="AP26" s="629">
        <f>_xlfn.XLOOKUP($E26,'Løp 8'!$E$10:$E$91,'Løp 8'!$L$10:$L$91,0)</f>
        <v>0</v>
      </c>
      <c r="AQ26" s="628">
        <f>_xlfn.XLOOKUP($E26,'Løp 9'!$E$10:$E$91,'Løp 9'!$M$10:$M$91,0)</f>
        <v>0</v>
      </c>
      <c r="AR26" s="629">
        <f>_xlfn.XLOOKUP($E26,'Løp 9'!$E$10:$E$91,'Løp 9'!$O$10:$O$91,0)</f>
        <v>0</v>
      </c>
      <c r="AS26" s="629">
        <f>_xlfn.XLOOKUP($E26,'Løp 9'!$E$10:$E$91,'Løp 9'!$L$10:$L$91,0)</f>
        <v>0</v>
      </c>
      <c r="AT26" s="628">
        <f>_xlfn.XLOOKUP($E26,'Løp 10'!$E$10:$E$91,'Løp 10'!$M$10:$M$91,0)</f>
        <v>59</v>
      </c>
      <c r="AU26" s="629">
        <f>_xlfn.XLOOKUP($E26,'Løp 10'!$E$10:$E$91,'Løp 10'!$O$10:$O$91,0)</f>
        <v>73</v>
      </c>
      <c r="AV26" s="629">
        <f>_xlfn.XLOOKUP($E26,'Løp 10'!$E$10:$E$91,'Løp 10'!$L$10:$L$91,0)</f>
        <v>1.2512860082304527E-2</v>
      </c>
      <c r="AW26" s="628">
        <f>_xlfn.XLOOKUP($E26,'Løp 11'!$E$10:$E$91,'Løp 11'!$M$10:$M$91,0)</f>
        <v>69</v>
      </c>
      <c r="AX26" s="629">
        <f>_xlfn.XLOOKUP($E26,'Løp 11'!$E$10:$E$91,'Løp 11'!$O$10:$O$91,0)</f>
        <v>85</v>
      </c>
      <c r="AY26" s="629">
        <f>_xlfn.XLOOKUP($E26,'Løp 11'!$E$10:$E$91,'Løp 11'!$L$10:$L$91,0)</f>
        <v>1.0684974747474747E-2</v>
      </c>
      <c r="AZ26" s="628">
        <f>_xlfn.XLOOKUP($E26,'Løp 12'!$E$10:$E$91,'Løp 12'!$M$10:$M$91,0)</f>
        <v>59</v>
      </c>
      <c r="BA26" s="629">
        <f>_xlfn.XLOOKUP($E26,'Løp 12'!$E$10:$E$91,'Løp 12'!$O$10:$O$91,0)</f>
        <v>78</v>
      </c>
      <c r="BB26" s="629">
        <f>_xlfn.XLOOKUP($E26,'Løp 12'!$E$10:$E$91,'Løp 12'!$L$10:$L$91,0)</f>
        <v>9.3171296296296283E-3</v>
      </c>
      <c r="BC26" s="628">
        <f>_xlfn.XLOOKUP($E26,'Løp 13'!$E$10:$E$91,'Løp 13'!$M$10:$M$91,0)</f>
        <v>0</v>
      </c>
      <c r="BD26" s="629">
        <f>_xlfn.XLOOKUP($E26,'Løp 13'!$E$10:$E$91,'Løp 13'!$O$10:$O$91,0)</f>
        <v>0</v>
      </c>
      <c r="BE26" s="629">
        <f>_xlfn.XLOOKUP($E26,'Løp 13'!$E$10:$E$91,'Løp 13'!$L$10:$L$91,0)</f>
        <v>0</v>
      </c>
      <c r="BF26" s="628">
        <f>_xlfn.XLOOKUP($E26,'Løp 14'!$E$10:$E$91,'Løp 14'!$M$10:$M$91,0)</f>
        <v>65</v>
      </c>
      <c r="BG26" s="629">
        <f>_xlfn.XLOOKUP($E26,'Løp 14'!$E$10:$E$91,'Løp 14'!$O$10:$O$91,0)</f>
        <v>80</v>
      </c>
      <c r="BH26" s="629">
        <f>_xlfn.XLOOKUP($E26,'Løp 14'!$E$10:$E$91,'Løp 14'!$L$10:$L$91,0)</f>
        <v>9.7337962962962959E-3</v>
      </c>
      <c r="BI26" s="628">
        <f>_xlfn.XLOOKUP($E26,'Løp 15'!$E$10:$E$91,'Løp 15'!$M$10:$M$91,0)</f>
        <v>64</v>
      </c>
      <c r="BJ26" s="629">
        <f>_xlfn.XLOOKUP($E26,'Løp 15'!$E$10:$E$91,'Løp 15'!$O$10:$O$91,0)</f>
        <v>71</v>
      </c>
      <c r="BK26" s="629">
        <f>_xlfn.XLOOKUP($E26,'Løp 15'!$E$10:$E$91,'Løp 15'!$L$10:$L$91,0)</f>
        <v>1.3398368606701939E-2</v>
      </c>
      <c r="BL26" s="628">
        <f>_xlfn.XLOOKUP($E26,'Løp 16'!$E$10:$E$91,'Løp 16'!$M$10:$M$91,0)</f>
        <v>69</v>
      </c>
      <c r="BM26" s="629">
        <f>_xlfn.XLOOKUP($E26,'Løp 16'!$E$10:$E$91,'Løp 16'!$O$10:$O$91,0)</f>
        <v>88</v>
      </c>
      <c r="BN26" s="629">
        <f>_xlfn.XLOOKUP($E26,'Løp 16'!$E$10:$E$91,'Løp 16'!$L$10:$L$91,0)</f>
        <v>9.8782206119162642E-3</v>
      </c>
      <c r="BO26" s="628">
        <f>_xlfn.XLOOKUP($E26,'Løp 17'!$E$10:$E$91,'Løp 17'!$M$10:$M$91,0)</f>
        <v>65</v>
      </c>
      <c r="BP26" s="629">
        <f>_xlfn.XLOOKUP($E26,'Løp 17'!$E$10:$E$91,'Løp 17'!$O$10:$O$91,0)</f>
        <v>82</v>
      </c>
      <c r="BQ26" s="629">
        <f>_xlfn.XLOOKUP($E26,'Løp 17'!$E$10:$E$91,'Løp 17'!$L$10:$L$91,0)</f>
        <v>9.7701149425287355E-3</v>
      </c>
      <c r="BR26" s="628">
        <f>_xlfn.XLOOKUP($E26,'Løp 18'!$E$10:$E$91,'Løp 18'!$M$10:$M$91,0)</f>
        <v>73</v>
      </c>
      <c r="BS26" s="629">
        <f>_xlfn.XLOOKUP($E26,'Løp 18'!$E$10:$E$91,'Løp 18'!$O$10:$O$91,0)</f>
        <v>86</v>
      </c>
      <c r="BT26" s="629">
        <f>_xlfn.XLOOKUP($E26,'Løp 18'!$E$10:$E$91,'Løp 18'!$L$10:$L$91,0)</f>
        <v>9.8321759259259265E-3</v>
      </c>
      <c r="BU26" s="628">
        <f>_xlfn.XLOOKUP($E26,'Løp 19'!$E$10:$E$91,'Løp 19'!$M$10:$M$91,0)</f>
        <v>55</v>
      </c>
      <c r="BV26" s="629">
        <f>_xlfn.XLOOKUP($E26,'Løp 19'!$E$10:$E$91,'Løp 19'!$O$10:$O$91,0)</f>
        <v>65</v>
      </c>
      <c r="BW26" s="629">
        <f>_xlfn.XLOOKUP($E26,'Løp 19'!$E$10:$E$91,'Løp 19'!$L$10:$L$91,0)</f>
        <v>1.4981995884773662E-2</v>
      </c>
      <c r="BX26" s="628">
        <f>_xlfn.XLOOKUP($E26,'Løp 20'!$E$10:$E$92,'Løp 20'!$M$10:$M$92,0)</f>
        <v>68</v>
      </c>
      <c r="BY26" s="629">
        <f>_xlfn.XLOOKUP($E26,'Løp 20'!$E$10:$E$92,'Løp 20'!$O$10:$O$92,0)</f>
        <v>82</v>
      </c>
      <c r="BZ26" s="629">
        <f>_xlfn.XLOOKUP($E26,'Løp 20'!$E$10:$E$92,'Løp 20'!$L$10:$L$92,0)</f>
        <v>1.1332671957671958E-2</v>
      </c>
      <c r="CA26" s="628">
        <f>_xlfn.XLOOKUP($E26,'Løp 21'!$E$10:$E$93,'Løp 21'!$M$10:$M$93,0)</f>
        <v>68</v>
      </c>
      <c r="CB26" s="629">
        <f>_xlfn.XLOOKUP($E26,'Løp 21'!$E$10:$E$93,'Løp 21'!$O$10:$O$93,0)</f>
        <v>85</v>
      </c>
      <c r="CC26" s="629">
        <f>_xlfn.XLOOKUP($E26,'Løp 21'!$E$10:$E$93,'Løp 21'!$L$10:$L$93,0)</f>
        <v>8.977455716586152E-3</v>
      </c>
      <c r="CD26" s="628">
        <f>_xlfn.XLOOKUP($E26,'Løp 22'!$E$10:$E$93,'Løp 22'!$M$10:$M$93,0)</f>
        <v>64</v>
      </c>
      <c r="CE26" s="629">
        <f>_xlfn.XLOOKUP($E26,'Løp 22'!$E$10:$E$93,'Løp 22'!$O$10:$O$93,0)</f>
        <v>78</v>
      </c>
      <c r="CF26" s="629">
        <f>_xlfn.XLOOKUP($E26,'Løp 22'!$E$10:$E$93,'Løp 22'!$L$10:$L$93,0)</f>
        <v>1.0986467236467236E-2</v>
      </c>
      <c r="CG26" s="628">
        <f>_xlfn.XLOOKUP($E26,'Løp 23'!$E$10:$E$93,'Løp 23'!$M$10:$M$93,0)</f>
        <v>66</v>
      </c>
      <c r="CH26" s="629">
        <f>_xlfn.XLOOKUP($E26,'Løp 23'!$E$10:$E$93,'Løp 23'!$O$10:$O$93,0)</f>
        <v>81</v>
      </c>
      <c r="CI26" s="629">
        <f>_xlfn.XLOOKUP($E26,'Løp 23'!$E$10:$E$93,'Løp 23'!$L$10:$L$93,0)</f>
        <v>7.8544061302682003E-3</v>
      </c>
      <c r="CJ26" s="628">
        <f>_xlfn.XLOOKUP($E26,'Løp 24'!$E$10:$E$93,'Løp 24'!$M$10:$M$93,0)</f>
        <v>65</v>
      </c>
      <c r="CK26" s="629">
        <f>_xlfn.XLOOKUP($E26,'Løp 24'!$E$10:$E$93,'Løp 24'!$O$10:$O$93,0)</f>
        <v>68</v>
      </c>
      <c r="CL26" s="629">
        <f>_xlfn.XLOOKUP($E26,'Løp 24'!$E$10:$E$93,'Løp 24'!$L$10:$L$93,0)</f>
        <v>8.159722222222221E-3</v>
      </c>
      <c r="CM26" s="628">
        <f>_xlfn.XLOOKUP($E26,'Løp 25'!$E$10:$E$94,'Løp 25'!$M$10:$M$94,0)</f>
        <v>58</v>
      </c>
      <c r="CN26" s="629">
        <f>_xlfn.XLOOKUP($E26,'Løp 25'!$E$10:$E$94,'Løp 25'!$O$10:$O$94,0)</f>
        <v>72</v>
      </c>
      <c r="CO26" s="629">
        <f>_xlfn.XLOOKUP($E26,'Løp 25'!$E$10:$E$94,'Løp 25'!$L$10:$L$94,0)</f>
        <v>1.238425925925926E-2</v>
      </c>
      <c r="CP26" s="628">
        <f>_xlfn.XLOOKUP($E26,'Løp 26'!$E$10:$E$94,'Løp 26'!$M$10:$M$94,0)</f>
        <v>0</v>
      </c>
      <c r="CQ26" s="629">
        <f>_xlfn.XLOOKUP($E26,'Løp 26'!$E$10:$E$94,'Løp 26'!$O$10:$O$94,0)</f>
        <v>0</v>
      </c>
      <c r="CR26" s="629">
        <f>_xlfn.XLOOKUP($E26,'Løp 26'!$E$10:$E$94,'Løp 26'!$L$10:$L$94,0)</f>
        <v>0</v>
      </c>
      <c r="CS26" s="628">
        <f>_xlfn.XLOOKUP($E26,'Løp 27'!$E$10:$E$94,'Løp 27'!$M$10:$M$94,0)</f>
        <v>63</v>
      </c>
      <c r="CT26" s="629">
        <f>_xlfn.XLOOKUP($E26,'Løp 27'!$E$10:$E$94,'Løp 27'!$O$10:$O$94,0)</f>
        <v>80</v>
      </c>
      <c r="CU26" s="629">
        <f>_xlfn.XLOOKUP($E26,'Løp 27'!$E$10:$E$94,'Løp 27'!$L$10:$L$94,0)</f>
        <v>1.0935356652949244E-2</v>
      </c>
      <c r="CV26" s="628">
        <f>_xlfn.XLOOKUP($E26,'Løp 28'!$E$10:$E$95,'Løp 28'!$M$10:$M$95,0)</f>
        <v>50</v>
      </c>
      <c r="CW26" s="629">
        <f>_xlfn.XLOOKUP($E26,'Løp 28'!$E$10:$E$95,'Løp 28'!$O$10:$O$95,0)</f>
        <v>66</v>
      </c>
      <c r="CX26" s="629">
        <f>_xlfn.XLOOKUP($E26,'Løp 28'!$E$10:$E$95,'Løp 28'!$L$10:$L$95,0)</f>
        <v>1.3234702093397747E-2</v>
      </c>
      <c r="CY26" s="628">
        <f>_xlfn.XLOOKUP($E26,'Løp 29'!$E$10:$E$95,'Løp 29'!$M$10:$M$95,0)</f>
        <v>68</v>
      </c>
      <c r="CZ26" s="629">
        <f>_xlfn.XLOOKUP($E26,'Løp 29'!$E$10:$E$95,'Løp 29'!$O$10:$O$95,0)</f>
        <v>85</v>
      </c>
      <c r="DA26" s="629">
        <f>_xlfn.XLOOKUP($E26,'Løp 29'!$E$10:$E$95,'Løp 29'!$L$10:$L$95,0)</f>
        <v>1.0668816137566138E-2</v>
      </c>
    </row>
    <row r="27" spans="2:105" ht="26" customHeight="1" thickBot="1" x14ac:dyDescent="0.3">
      <c r="B27" s="627">
        <f t="shared" si="0"/>
        <v>18</v>
      </c>
      <c r="C27" s="119" t="s">
        <v>63</v>
      </c>
      <c r="D27" s="620" t="s">
        <v>105</v>
      </c>
      <c r="E27" s="616" t="str">
        <f>_xlfn.CONCAT(C27:D27)</f>
        <v>ToreKiste</v>
      </c>
      <c r="F27" s="610"/>
      <c r="G27" s="653">
        <f>COUNTIF(S27:DA27,"&gt;2")/2</f>
        <v>9</v>
      </c>
      <c r="H27" s="852">
        <f>COUNTIF(S27:DA27,"=Løype")+COUNTIF(S27:DA27,"Arr")</f>
        <v>5</v>
      </c>
      <c r="I27" s="610"/>
      <c r="J27" s="632">
        <f>S27+V27+Y27+AB27+AE27+AH27+AK27+AN27+AQ27+AT27+AW27+AZ27+BC27+BF27+BI27+BL27+BO27+BR27+BU27+BX27+CA27+CD27+CG27+CJ27+CM27+CP27+CS27+CV27+CY27</f>
        <v>676</v>
      </c>
      <c r="K27" s="633">
        <f>T27+W27+Z27+AC27+AF27+AI27+AL27+AO27+AR27+AU27+AX27+BA27+BD27+BG27+BJ27+BM27+BP27+BS27+BV27+BY27+CB27+CE27+CH27+CK27+CN27+CQ27+CT27+CW27+CZ27</f>
        <v>688</v>
      </c>
      <c r="L27" s="613"/>
      <c r="M27" s="658">
        <f>IF($G27&gt;0,J27/G27,0)</f>
        <v>75.111111111111114</v>
      </c>
      <c r="N27" s="659">
        <f>IF($G27&gt;0,K27/$G27,0)</f>
        <v>76.444444444444443</v>
      </c>
      <c r="O27" s="862"/>
      <c r="P27" s="874">
        <f>IF(AND($G27&gt;$Q$3-1,$G27-$H27&gt;0),M27,0)</f>
        <v>75.111111111111114</v>
      </c>
      <c r="Q27" s="875">
        <f>IF(AND($G27&gt;$Q$3-1,$G27-$H27&gt;0),N27,0)</f>
        <v>76.444444444444443</v>
      </c>
      <c r="R27" s="613"/>
      <c r="S27" s="628">
        <f>_xlfn.XLOOKUP($E27,'Løp 1'!$E$10:$E$90,'Løp 1'!$M$10:$M$90,0)</f>
        <v>0</v>
      </c>
      <c r="T27" s="629">
        <f>_xlfn.XLOOKUP($E27,'Løp 1'!$E$10:$E$90,'Løp 1'!$O$10:$O$90,0)</f>
        <v>0</v>
      </c>
      <c r="U27" s="629">
        <f>_xlfn.XLOOKUP($E27,'Løp 1'!$E$10:$E$90,'Løp 1'!$L$10:$L$90,0)</f>
        <v>0</v>
      </c>
      <c r="V27" s="628">
        <f>_xlfn.XLOOKUP($E27,'Løp 2'!$E$10:$E$90,'Løp 2'!$M$10:$M$90,0)</f>
        <v>94</v>
      </c>
      <c r="W27" s="629">
        <f>_xlfn.XLOOKUP($E27,'Løp 2'!$E$10:$E$90,'Løp 2'!$O$10:$O$90,0)</f>
        <v>94</v>
      </c>
      <c r="X27" s="629" t="str">
        <f>_xlfn.XLOOKUP($E27,'Løp 2'!$E$10:$E$90,'Løp 2'!$L$10:$L$90,0)</f>
        <v>Arr</v>
      </c>
      <c r="Y27" s="628">
        <f>_xlfn.XLOOKUP($E27,'Løp 3'!$E$10:$E$90,'Løp 3'!$M$10:$M$90,0)</f>
        <v>0</v>
      </c>
      <c r="Z27" s="629">
        <f>_xlfn.XLOOKUP($E27,'Løp 3'!$E$10:$E$90,'Løp 3'!$O$10:$O$90,0)</f>
        <v>0</v>
      </c>
      <c r="AA27" s="629">
        <f>_xlfn.XLOOKUP($E27,'Løp 3'!$E$10:$E$90,'Løp 3'!$L$10:$L$90,0)</f>
        <v>0</v>
      </c>
      <c r="AB27" s="628">
        <f>_xlfn.XLOOKUP($E27,'Løp 4'!$E$10:$E$90,'Løp 4'!$M$10:$M$90,0)</f>
        <v>0</v>
      </c>
      <c r="AC27" s="629">
        <f>_xlfn.XLOOKUP($E27,'Løp 4'!$E$10:$E$90,'Løp 4'!$O$10:$O$90,0)</f>
        <v>0</v>
      </c>
      <c r="AD27" s="629">
        <f>_xlfn.XLOOKUP($E27,'Løp 4'!$E$10:$E$90,'Løp 4'!$L$10:$L$90,0)</f>
        <v>0</v>
      </c>
      <c r="AE27" s="628">
        <f>_xlfn.XLOOKUP($E27,'Løp 5'!$E$10:$E$90,'Løp 5'!$M$10:$M$90,0)</f>
        <v>0</v>
      </c>
      <c r="AF27" s="629">
        <f>_xlfn.XLOOKUP($E27,'Løp 5'!$E$10:$E$90,'Løp 5'!$O$10:$O$90,0)</f>
        <v>0</v>
      </c>
      <c r="AG27" s="629">
        <f>_xlfn.XLOOKUP($E27,'Løp 5'!$E$10:$E$90,'Løp 5'!$L$10:$L$90,0)</f>
        <v>0</v>
      </c>
      <c r="AH27" s="628">
        <f>_xlfn.XLOOKUP($E27,'Løp 6'!$E$10:$E$90,'Løp 6'!$M$10:$M$90,0)</f>
        <v>94</v>
      </c>
      <c r="AI27" s="629">
        <f>_xlfn.XLOOKUP($E27,'Løp 6'!$E$10:$E$90,'Løp 6'!$O$10:$O$90,0)</f>
        <v>94</v>
      </c>
      <c r="AJ27" s="629" t="str">
        <f>_xlfn.XLOOKUP($E27,'Løp 6'!$E$10:$E$90,'Løp 6'!$L$10:$L$90,0)</f>
        <v>Arr</v>
      </c>
      <c r="AK27" s="628">
        <f>_xlfn.XLOOKUP($E27,'Løp 7'!$E$10:$E$90,'Løp 7'!$M$10:$M$90,0)</f>
        <v>94</v>
      </c>
      <c r="AL27" s="629">
        <f>_xlfn.XLOOKUP($E27,'Løp 7'!$E$10:$E$90,'Løp 7'!$O$10:$O$90,0)</f>
        <v>94</v>
      </c>
      <c r="AM27" s="629" t="str">
        <f>_xlfn.XLOOKUP($E27,'Løp 7'!$E$10:$E$90,'Løp 7'!$L$10:$L$90,0)</f>
        <v>Arr</v>
      </c>
      <c r="AN27" s="628">
        <f>_xlfn.XLOOKUP($E27,'Løp 8'!$E$10:$E$91,'Løp 8'!$M$10:$M$91,0)</f>
        <v>0</v>
      </c>
      <c r="AO27" s="629">
        <f>_xlfn.XLOOKUP($E27,'Løp 8'!$E$10:$E$91,'Løp 8'!$O$10:$O$91,0)</f>
        <v>0</v>
      </c>
      <c r="AP27" s="629">
        <f>_xlfn.XLOOKUP($E27,'Løp 8'!$E$10:$E$91,'Løp 8'!$L$10:$L$91,0)</f>
        <v>0</v>
      </c>
      <c r="AQ27" s="628">
        <f>_xlfn.XLOOKUP($E27,'Løp 9'!$E$10:$E$91,'Løp 9'!$M$10:$M$91,0)</f>
        <v>94</v>
      </c>
      <c r="AR27" s="629">
        <f>_xlfn.XLOOKUP($E27,'Løp 9'!$E$10:$E$91,'Løp 9'!$O$10:$O$91,0)</f>
        <v>94</v>
      </c>
      <c r="AS27" s="629" t="str">
        <f>_xlfn.XLOOKUP($E27,'Løp 9'!$E$10:$E$91,'Løp 9'!$L$10:$L$91,0)</f>
        <v>Arr</v>
      </c>
      <c r="AT27" s="628">
        <f>_xlfn.XLOOKUP($E27,'Løp 10'!$E$10:$E$91,'Løp 10'!$M$10:$M$91,0)</f>
        <v>0</v>
      </c>
      <c r="AU27" s="629">
        <f>_xlfn.XLOOKUP($E27,'Løp 10'!$E$10:$E$91,'Løp 10'!$O$10:$O$91,0)</f>
        <v>0</v>
      </c>
      <c r="AV27" s="629">
        <f>_xlfn.XLOOKUP($E27,'Løp 10'!$E$10:$E$91,'Løp 10'!$L$10:$L$91,0)</f>
        <v>0</v>
      </c>
      <c r="AW27" s="628">
        <f>_xlfn.XLOOKUP($E27,'Løp 11'!$E$10:$E$91,'Løp 11'!$M$10:$M$91,0)</f>
        <v>0</v>
      </c>
      <c r="AX27" s="629">
        <f>_xlfn.XLOOKUP($E27,'Løp 11'!$E$10:$E$91,'Løp 11'!$O$10:$O$91,0)</f>
        <v>0</v>
      </c>
      <c r="AY27" s="629">
        <f>_xlfn.XLOOKUP($E27,'Løp 11'!$E$10:$E$91,'Løp 11'!$L$10:$L$91,0)</f>
        <v>0</v>
      </c>
      <c r="AZ27" s="628">
        <f>_xlfn.XLOOKUP($E27,'Løp 12'!$E$10:$E$91,'Løp 12'!$M$10:$M$91,0)</f>
        <v>0</v>
      </c>
      <c r="BA27" s="629">
        <f>_xlfn.XLOOKUP($E27,'Løp 12'!$E$10:$E$91,'Løp 12'!$O$10:$O$91,0)</f>
        <v>0</v>
      </c>
      <c r="BB27" s="629">
        <f>_xlfn.XLOOKUP($E27,'Løp 12'!$E$10:$E$91,'Løp 12'!$L$10:$L$91,0)</f>
        <v>0</v>
      </c>
      <c r="BC27" s="628">
        <f>_xlfn.XLOOKUP($E27,'Løp 13'!$E$10:$E$91,'Løp 13'!$M$10:$M$91,0)</f>
        <v>0</v>
      </c>
      <c r="BD27" s="629">
        <f>_xlfn.XLOOKUP($E27,'Løp 13'!$E$10:$E$91,'Løp 13'!$O$10:$O$91,0)</f>
        <v>0</v>
      </c>
      <c r="BE27" s="629">
        <f>_xlfn.XLOOKUP($E27,'Løp 13'!$E$10:$E$91,'Løp 13'!$L$10:$L$91,0)</f>
        <v>0</v>
      </c>
      <c r="BF27" s="628">
        <f>_xlfn.XLOOKUP($E27,'Løp 14'!$E$10:$E$91,'Løp 14'!$M$10:$M$91,0)</f>
        <v>0</v>
      </c>
      <c r="BG27" s="629">
        <f>_xlfn.XLOOKUP($E27,'Løp 14'!$E$10:$E$91,'Løp 14'!$O$10:$O$91,0)</f>
        <v>0</v>
      </c>
      <c r="BH27" s="629">
        <f>_xlfn.XLOOKUP($E27,'Løp 14'!$E$10:$E$91,'Løp 14'!$L$10:$L$91,0)</f>
        <v>0</v>
      </c>
      <c r="BI27" s="628">
        <f>_xlfn.XLOOKUP($E27,'Løp 15'!$E$10:$E$91,'Løp 15'!$M$10:$M$91,0)</f>
        <v>0</v>
      </c>
      <c r="BJ27" s="629">
        <f>_xlfn.XLOOKUP($E27,'Løp 15'!$E$10:$E$91,'Løp 15'!$O$10:$O$91,0)</f>
        <v>0</v>
      </c>
      <c r="BK27" s="629">
        <f>_xlfn.XLOOKUP($E27,'Løp 15'!$E$10:$E$91,'Løp 15'!$L$10:$L$91,0)</f>
        <v>0</v>
      </c>
      <c r="BL27" s="628">
        <f>_xlfn.XLOOKUP($E27,'Løp 16'!$E$10:$E$91,'Løp 16'!$M$10:$M$91,0)</f>
        <v>0</v>
      </c>
      <c r="BM27" s="629">
        <f>_xlfn.XLOOKUP($E27,'Løp 16'!$E$10:$E$91,'Løp 16'!$O$10:$O$91,0)</f>
        <v>0</v>
      </c>
      <c r="BN27" s="629">
        <f>_xlfn.XLOOKUP($E27,'Løp 16'!$E$10:$E$91,'Løp 16'!$L$10:$L$91,0)</f>
        <v>0</v>
      </c>
      <c r="BO27" s="628">
        <f>_xlfn.XLOOKUP($E27,'Løp 17'!$E$10:$E$91,'Løp 17'!$M$10:$M$91,0)</f>
        <v>0</v>
      </c>
      <c r="BP27" s="629">
        <f>_xlfn.XLOOKUP($E27,'Løp 17'!$E$10:$E$91,'Løp 17'!$O$10:$O$91,0)</f>
        <v>0</v>
      </c>
      <c r="BQ27" s="629">
        <f>_xlfn.XLOOKUP($E27,'Løp 17'!$E$10:$E$91,'Løp 17'!$L$10:$L$91,0)</f>
        <v>0</v>
      </c>
      <c r="BR27" s="628">
        <f>_xlfn.XLOOKUP($E27,'Løp 18'!$E$10:$E$91,'Løp 18'!$M$10:$M$91,0)</f>
        <v>0</v>
      </c>
      <c r="BS27" s="629">
        <f>_xlfn.XLOOKUP($E27,'Løp 18'!$E$10:$E$91,'Løp 18'!$O$10:$O$91,0)</f>
        <v>0</v>
      </c>
      <c r="BT27" s="629">
        <f>_xlfn.XLOOKUP($E27,'Løp 18'!$E$10:$E$91,'Løp 18'!$L$10:$L$91,0)</f>
        <v>0</v>
      </c>
      <c r="BU27" s="628">
        <f>_xlfn.XLOOKUP($E27,'Løp 19'!$E$10:$E$91,'Løp 19'!$M$10:$M$91,0)</f>
        <v>56</v>
      </c>
      <c r="BV27" s="629">
        <f>_xlfn.XLOOKUP($E27,'Løp 19'!$E$10:$E$91,'Løp 19'!$O$10:$O$91,0)</f>
        <v>64</v>
      </c>
      <c r="BW27" s="629">
        <f>_xlfn.XLOOKUP($E27,'Løp 19'!$E$10:$E$91,'Løp 19'!$L$10:$L$91,0)</f>
        <v>1.4570473251028806E-2</v>
      </c>
      <c r="BX27" s="628">
        <f>_xlfn.XLOOKUP($E27,'Løp 20'!$E$10:$E$92,'Løp 20'!$M$10:$M$92,0)</f>
        <v>50</v>
      </c>
      <c r="BY27" s="629">
        <f>_xlfn.XLOOKUP($E27,'Løp 20'!$E$10:$E$92,'Løp 20'!$O$10:$O$92,0)</f>
        <v>50</v>
      </c>
      <c r="BZ27" s="629">
        <f>_xlfn.XLOOKUP($E27,'Løp 20'!$E$10:$E$92,'Løp 20'!$L$10:$L$92,0)</f>
        <v>1.878306878306878E-2</v>
      </c>
      <c r="CA27" s="628">
        <f>_xlfn.XLOOKUP($E27,'Løp 21'!$E$10:$E$93,'Løp 21'!$M$10:$M$93,0)</f>
        <v>50</v>
      </c>
      <c r="CB27" s="629">
        <f>_xlfn.XLOOKUP($E27,'Løp 21'!$E$10:$E$93,'Løp 21'!$O$10:$O$93,0)</f>
        <v>54</v>
      </c>
      <c r="CC27" s="629">
        <f>_xlfn.XLOOKUP($E27,'Løp 21'!$E$10:$E$93,'Løp 21'!$L$10:$L$93,0)</f>
        <v>1.3571859903381644E-2</v>
      </c>
      <c r="CD27" s="628">
        <f>_xlfn.XLOOKUP($E27,'Løp 22'!$E$10:$E$93,'Løp 22'!$M$10:$M$93,0)</f>
        <v>0</v>
      </c>
      <c r="CE27" s="629">
        <f>_xlfn.XLOOKUP($E27,'Løp 22'!$E$10:$E$93,'Løp 22'!$O$10:$O$93,0)</f>
        <v>0</v>
      </c>
      <c r="CF27" s="629">
        <f>_xlfn.XLOOKUP($E27,'Løp 22'!$E$10:$E$93,'Løp 22'!$L$10:$L$93,0)</f>
        <v>0</v>
      </c>
      <c r="CG27" s="628">
        <f>_xlfn.XLOOKUP($E27,'Løp 23'!$E$10:$E$93,'Løp 23'!$M$10:$M$93,0)</f>
        <v>94</v>
      </c>
      <c r="CH27" s="629">
        <f>_xlfn.XLOOKUP($E27,'Løp 23'!$E$10:$E$93,'Løp 23'!$O$10:$O$93,0)</f>
        <v>94</v>
      </c>
      <c r="CI27" s="629" t="str">
        <f>_xlfn.XLOOKUP($E27,'Løp 23'!$E$10:$E$93,'Løp 23'!$L$10:$L$93,0)</f>
        <v>Arr</v>
      </c>
      <c r="CJ27" s="628">
        <f>_xlfn.XLOOKUP($E27,'Løp 24'!$E$10:$E$93,'Løp 24'!$M$10:$M$93,0)</f>
        <v>0</v>
      </c>
      <c r="CK27" s="629">
        <f>_xlfn.XLOOKUP($E27,'Løp 24'!$E$10:$E$93,'Løp 24'!$O$10:$O$93,0)</f>
        <v>0</v>
      </c>
      <c r="CL27" s="629">
        <f>_xlfn.XLOOKUP($E27,'Løp 24'!$E$10:$E$93,'Løp 24'!$L$10:$L$93,0)</f>
        <v>0</v>
      </c>
      <c r="CM27" s="628">
        <f>_xlfn.XLOOKUP($E27,'Løp 25'!$E$10:$E$94,'Løp 25'!$M$10:$M$94,0)</f>
        <v>0</v>
      </c>
      <c r="CN27" s="629">
        <f>_xlfn.XLOOKUP($E27,'Løp 25'!$E$10:$E$94,'Løp 25'!$O$10:$O$94,0)</f>
        <v>0</v>
      </c>
      <c r="CO27" s="629">
        <f>_xlfn.XLOOKUP($E27,'Løp 25'!$E$10:$E$94,'Løp 25'!$L$10:$L$94,0)</f>
        <v>0</v>
      </c>
      <c r="CP27" s="628">
        <f>_xlfn.XLOOKUP($E27,'Løp 26'!$E$10:$E$94,'Løp 26'!$M$10:$M$94,0)</f>
        <v>0</v>
      </c>
      <c r="CQ27" s="629">
        <f>_xlfn.XLOOKUP($E27,'Løp 26'!$E$10:$E$94,'Løp 26'!$O$10:$O$94,0)</f>
        <v>0</v>
      </c>
      <c r="CR27" s="629">
        <f>_xlfn.XLOOKUP($E27,'Løp 26'!$E$10:$E$94,'Løp 26'!$L$10:$L$94,0)</f>
        <v>0</v>
      </c>
      <c r="CS27" s="628">
        <f>_xlfn.XLOOKUP($E27,'Løp 27'!$E$10:$E$94,'Løp 27'!$M$10:$M$94,0)</f>
        <v>0</v>
      </c>
      <c r="CT27" s="629">
        <f>_xlfn.XLOOKUP($E27,'Løp 27'!$E$10:$E$94,'Løp 27'!$O$10:$O$94,0)</f>
        <v>0</v>
      </c>
      <c r="CU27" s="629">
        <f>_xlfn.XLOOKUP($E27,'Løp 27'!$E$10:$E$94,'Løp 27'!$L$10:$L$94,0)</f>
        <v>0</v>
      </c>
      <c r="CV27" s="628">
        <f>_xlfn.XLOOKUP($E27,'Løp 28'!$E$10:$E$95,'Løp 28'!$M$10:$M$95,0)</f>
        <v>50</v>
      </c>
      <c r="CW27" s="629">
        <f>_xlfn.XLOOKUP($E27,'Løp 28'!$E$10:$E$95,'Løp 28'!$O$10:$O$95,0)</f>
        <v>50</v>
      </c>
      <c r="CX27" s="629">
        <f>_xlfn.XLOOKUP($E27,'Løp 28'!$E$10:$E$95,'Løp 28'!$L$10:$L$95,0)</f>
        <v>1.8541666666666668E-2</v>
      </c>
      <c r="CY27" s="628">
        <f>_xlfn.XLOOKUP($E27,'Løp 29'!$E$10:$E$95,'Løp 29'!$M$10:$M$95,0)</f>
        <v>0</v>
      </c>
      <c r="CZ27" s="629">
        <f>_xlfn.XLOOKUP($E27,'Løp 29'!$E$10:$E$95,'Løp 29'!$O$10:$O$95,0)</f>
        <v>0</v>
      </c>
      <c r="DA27" s="629">
        <f>_xlfn.XLOOKUP($E27,'Løp 29'!$E$10:$E$95,'Løp 29'!$L$10:$L$95,0)</f>
        <v>0</v>
      </c>
    </row>
    <row r="28" spans="2:105" ht="26" customHeight="1" thickBot="1" x14ac:dyDescent="0.3">
      <c r="B28" s="627">
        <f t="shared" si="0"/>
        <v>19</v>
      </c>
      <c r="C28" s="119" t="s">
        <v>307</v>
      </c>
      <c r="D28" s="620" t="s">
        <v>308</v>
      </c>
      <c r="E28" s="616" t="str">
        <f>_xlfn.CONCAT(C28:D28)</f>
        <v>RolfWærnes</v>
      </c>
      <c r="F28" s="610"/>
      <c r="G28" s="653">
        <f>COUNTIF(S28:DA28,"&gt;2")/2</f>
        <v>16</v>
      </c>
      <c r="H28" s="852">
        <f>COUNTIF(S28:DA28,"=Løype")+COUNTIF(S28:DA28,"Arr")</f>
        <v>0</v>
      </c>
      <c r="I28" s="610"/>
      <c r="J28" s="632">
        <f>S28+V28+Y28+AB28+AE28+AH28+AK28+AN28+AQ28+AT28+AW28+AZ28+BC28+BF28+BI28+BL28+BO28+BR28+BU28+BX28+CA28+CD28+CG28+CJ28+CM28+CP28+CS28+CV28+CY28</f>
        <v>1258</v>
      </c>
      <c r="K28" s="633">
        <f>T28+W28+Z28+AC28+AF28+AI28+AL28+AO28+AR28+AU28+AX28+BA28+BD28+BG28+BJ28+BM28+BP28+BS28+BV28+BY28+CB28+CE28+CH28+CK28+CN28+CQ28+CT28+CW28+CZ28</f>
        <v>1209</v>
      </c>
      <c r="L28" s="613"/>
      <c r="M28" s="658">
        <f>IF($G28&gt;0,J28/G28,0)</f>
        <v>78.625</v>
      </c>
      <c r="N28" s="659">
        <f>IF($G28&gt;0,K28/$G28,0)</f>
        <v>75.5625</v>
      </c>
      <c r="O28" s="862"/>
      <c r="P28" s="874">
        <f>IF(AND($G28&gt;$Q$3-1,$G28-$H28&gt;0),M28,0)</f>
        <v>78.625</v>
      </c>
      <c r="Q28" s="875">
        <f>IF(AND($G28&gt;$Q$3-1,$G28-$H28&gt;0),N28,0)</f>
        <v>75.5625</v>
      </c>
      <c r="R28" s="613"/>
      <c r="S28" s="628">
        <f>_xlfn.XLOOKUP($E28,'Løp 1'!$E$10:$E$90,'Løp 1'!$M$10:$M$90,0)</f>
        <v>75</v>
      </c>
      <c r="T28" s="629">
        <f>_xlfn.XLOOKUP($E28,'Løp 1'!$E$10:$E$90,'Løp 1'!$O$10:$O$90,0)</f>
        <v>77</v>
      </c>
      <c r="U28" s="629">
        <f>_xlfn.XLOOKUP($E28,'Løp 1'!$E$10:$E$90,'Løp 1'!$L$10:$L$90,0)</f>
        <v>1.0704022988505747E-2</v>
      </c>
      <c r="V28" s="628">
        <f>_xlfn.XLOOKUP($E28,'Løp 2'!$E$10:$E$90,'Løp 2'!$M$10:$M$90,0)</f>
        <v>92</v>
      </c>
      <c r="W28" s="629">
        <f>_xlfn.XLOOKUP($E28,'Løp 2'!$E$10:$E$90,'Løp 2'!$O$10:$O$90,0)</f>
        <v>78</v>
      </c>
      <c r="X28" s="629">
        <f>_xlfn.XLOOKUP($E28,'Løp 2'!$E$10:$E$90,'Løp 2'!$L$10:$L$90,0)</f>
        <v>9.6684854497354512E-3</v>
      </c>
      <c r="Y28" s="628">
        <f>_xlfn.XLOOKUP($E28,'Løp 3'!$E$10:$E$90,'Løp 3'!$M$10:$M$90,0)</f>
        <v>85</v>
      </c>
      <c r="Z28" s="629">
        <f>_xlfn.XLOOKUP($E28,'Løp 3'!$E$10:$E$90,'Løp 3'!$O$10:$O$90,0)</f>
        <v>81</v>
      </c>
      <c r="AA28" s="629">
        <f>_xlfn.XLOOKUP($E28,'Løp 3'!$E$10:$E$90,'Løp 3'!$L$10:$L$90,0)</f>
        <v>1.0572089947089946E-2</v>
      </c>
      <c r="AB28" s="628">
        <f>_xlfn.XLOOKUP($E28,'Løp 4'!$E$10:$E$90,'Løp 4'!$M$10:$M$90,0)</f>
        <v>90</v>
      </c>
      <c r="AC28" s="629">
        <f>_xlfn.XLOOKUP($E28,'Løp 4'!$E$10:$E$90,'Løp 4'!$O$10:$O$90,0)</f>
        <v>95</v>
      </c>
      <c r="AD28" s="629">
        <f>_xlfn.XLOOKUP($E28,'Løp 4'!$E$10:$E$90,'Løp 4'!$L$10:$L$90,0)</f>
        <v>7.7507716049382723E-3</v>
      </c>
      <c r="AE28" s="628">
        <f>_xlfn.XLOOKUP($E28,'Løp 5'!$E$10:$E$90,'Løp 5'!$M$10:$M$90,0)</f>
        <v>92</v>
      </c>
      <c r="AF28" s="629">
        <f>_xlfn.XLOOKUP($E28,'Løp 5'!$E$10:$E$90,'Løp 5'!$O$10:$O$90,0)</f>
        <v>89</v>
      </c>
      <c r="AG28" s="629">
        <f>_xlfn.XLOOKUP($E28,'Løp 5'!$E$10:$E$90,'Løp 5'!$L$10:$L$90,0)</f>
        <v>7.8789437585733875E-3</v>
      </c>
      <c r="AH28" s="628">
        <f>_xlfn.XLOOKUP($E28,'Løp 6'!$E$10:$E$90,'Løp 6'!$M$10:$M$90,0)</f>
        <v>86</v>
      </c>
      <c r="AI28" s="629">
        <f>_xlfn.XLOOKUP($E28,'Løp 6'!$E$10:$E$90,'Løp 6'!$O$10:$O$90,0)</f>
        <v>86</v>
      </c>
      <c r="AJ28" s="629">
        <f>_xlfn.XLOOKUP($E28,'Løp 6'!$E$10:$E$90,'Løp 6'!$L$10:$L$90,0)</f>
        <v>9.081790123456791E-3</v>
      </c>
      <c r="AK28" s="628">
        <f>_xlfn.XLOOKUP($E28,'Løp 7'!$E$10:$E$90,'Løp 7'!$M$10:$M$90,0)</f>
        <v>0</v>
      </c>
      <c r="AL28" s="629">
        <f>_xlfn.XLOOKUP($E28,'Løp 7'!$E$10:$E$90,'Løp 7'!$O$10:$O$90,0)</f>
        <v>0</v>
      </c>
      <c r="AM28" s="629">
        <f>_xlfn.XLOOKUP($E28,'Løp 7'!$E$10:$E$90,'Løp 7'!$L$10:$L$90,0)</f>
        <v>0</v>
      </c>
      <c r="AN28" s="628">
        <f>_xlfn.XLOOKUP($E28,'Løp 8'!$E$10:$E$91,'Løp 8'!$M$10:$M$91,0)</f>
        <v>80</v>
      </c>
      <c r="AO28" s="629">
        <f>_xlfn.XLOOKUP($E28,'Løp 8'!$E$10:$E$91,'Løp 8'!$O$10:$O$91,0)</f>
        <v>66</v>
      </c>
      <c r="AP28" s="629">
        <f>_xlfn.XLOOKUP($E28,'Løp 8'!$E$10:$E$91,'Løp 8'!$L$10:$L$91,0)</f>
        <v>1.0706018518518517E-2</v>
      </c>
      <c r="AQ28" s="628">
        <f>_xlfn.XLOOKUP($E28,'Løp 9'!$E$10:$E$91,'Løp 9'!$M$10:$M$91,0)</f>
        <v>0</v>
      </c>
      <c r="AR28" s="629">
        <f>_xlfn.XLOOKUP($E28,'Løp 9'!$E$10:$E$91,'Løp 9'!$O$10:$O$91,0)</f>
        <v>0</v>
      </c>
      <c r="AS28" s="629">
        <f>_xlfn.XLOOKUP($E28,'Løp 9'!$E$10:$E$91,'Løp 9'!$L$10:$L$91,0)</f>
        <v>0</v>
      </c>
      <c r="AT28" s="628">
        <f>_xlfn.XLOOKUP($E28,'Løp 10'!$E$10:$E$91,'Løp 10'!$M$10:$M$91,0)</f>
        <v>0</v>
      </c>
      <c r="AU28" s="629">
        <f>_xlfn.XLOOKUP($E28,'Løp 10'!$E$10:$E$91,'Løp 10'!$O$10:$O$91,0)</f>
        <v>0</v>
      </c>
      <c r="AV28" s="629">
        <f>_xlfn.XLOOKUP($E28,'Løp 10'!$E$10:$E$91,'Løp 10'!$L$10:$L$91,0)</f>
        <v>0</v>
      </c>
      <c r="AW28" s="628">
        <f>_xlfn.XLOOKUP($E28,'Løp 11'!$E$10:$E$91,'Løp 11'!$M$10:$M$91,0)</f>
        <v>0</v>
      </c>
      <c r="AX28" s="629">
        <f>_xlfn.XLOOKUP($E28,'Løp 11'!$E$10:$E$91,'Løp 11'!$O$10:$O$91,0)</f>
        <v>0</v>
      </c>
      <c r="AY28" s="629">
        <f>_xlfn.XLOOKUP($E28,'Løp 11'!$E$10:$E$91,'Løp 11'!$L$10:$L$91,0)</f>
        <v>0</v>
      </c>
      <c r="AZ28" s="628">
        <f>_xlfn.XLOOKUP($E28,'Løp 12'!$E$10:$E$91,'Løp 12'!$M$10:$M$91,0)</f>
        <v>0</v>
      </c>
      <c r="BA28" s="629">
        <f>_xlfn.XLOOKUP($E28,'Løp 12'!$E$10:$E$91,'Løp 12'!$O$10:$O$91,0)</f>
        <v>0</v>
      </c>
      <c r="BB28" s="629">
        <f>_xlfn.XLOOKUP($E28,'Løp 12'!$E$10:$E$91,'Løp 12'!$L$10:$L$91,0)</f>
        <v>0</v>
      </c>
      <c r="BC28" s="628">
        <f>_xlfn.XLOOKUP($E28,'Løp 13'!$E$10:$E$91,'Løp 13'!$M$10:$M$91,0)</f>
        <v>0</v>
      </c>
      <c r="BD28" s="629">
        <f>_xlfn.XLOOKUP($E28,'Løp 13'!$E$10:$E$91,'Løp 13'!$O$10:$O$91,0)</f>
        <v>0</v>
      </c>
      <c r="BE28" s="629">
        <f>_xlfn.XLOOKUP($E28,'Løp 13'!$E$10:$E$91,'Løp 13'!$L$10:$L$91,0)</f>
        <v>0</v>
      </c>
      <c r="BF28" s="628">
        <f>_xlfn.XLOOKUP($E28,'Løp 14'!$E$10:$E$91,'Løp 14'!$M$10:$M$91,0)</f>
        <v>0</v>
      </c>
      <c r="BG28" s="629">
        <f>_xlfn.XLOOKUP($E28,'Løp 14'!$E$10:$E$91,'Løp 14'!$O$10:$O$91,0)</f>
        <v>0</v>
      </c>
      <c r="BH28" s="629">
        <f>_xlfn.XLOOKUP($E28,'Løp 14'!$E$10:$E$91,'Løp 14'!$L$10:$L$91,0)</f>
        <v>0</v>
      </c>
      <c r="BI28" s="628">
        <f>_xlfn.XLOOKUP($E28,'Løp 15'!$E$10:$E$91,'Løp 15'!$M$10:$M$91,0)</f>
        <v>76</v>
      </c>
      <c r="BJ28" s="629">
        <f>_xlfn.XLOOKUP($E28,'Løp 15'!$E$10:$E$91,'Løp 15'!$O$10:$O$91,0)</f>
        <v>67</v>
      </c>
      <c r="BK28" s="629">
        <f>_xlfn.XLOOKUP($E28,'Løp 15'!$E$10:$E$91,'Løp 15'!$L$10:$L$91,0)</f>
        <v>1.1381172839506175E-2</v>
      </c>
      <c r="BL28" s="628">
        <f>_xlfn.XLOOKUP($E28,'Løp 16'!$E$10:$E$91,'Løp 16'!$M$10:$M$91,0)</f>
        <v>50</v>
      </c>
      <c r="BM28" s="629">
        <f>_xlfn.XLOOKUP($E28,'Løp 16'!$E$10:$E$91,'Løp 16'!$O$10:$O$91,0)</f>
        <v>50</v>
      </c>
      <c r="BN28" s="629" t="str">
        <f>_xlfn.XLOOKUP($E28,'Løp 16'!$E$10:$E$91,'Løp 16'!$L$10:$L$91,0)</f>
        <v>Disk</v>
      </c>
      <c r="BO28" s="628">
        <f>_xlfn.XLOOKUP($E28,'Løp 17'!$E$10:$E$91,'Løp 17'!$M$10:$M$91,0)</f>
        <v>0</v>
      </c>
      <c r="BP28" s="629">
        <f>_xlfn.XLOOKUP($E28,'Løp 17'!$E$10:$E$91,'Løp 17'!$O$10:$O$91,0)</f>
        <v>0</v>
      </c>
      <c r="BQ28" s="629">
        <f>_xlfn.XLOOKUP($E28,'Løp 17'!$E$10:$E$91,'Løp 17'!$L$10:$L$91,0)</f>
        <v>0</v>
      </c>
      <c r="BR28" s="628">
        <f>_xlfn.XLOOKUP($E28,'Løp 18'!$E$10:$E$91,'Løp 18'!$M$10:$M$91,0)</f>
        <v>0</v>
      </c>
      <c r="BS28" s="629">
        <f>_xlfn.XLOOKUP($E28,'Løp 18'!$E$10:$E$91,'Løp 18'!$O$10:$O$91,0)</f>
        <v>0</v>
      </c>
      <c r="BT28" s="629">
        <f>_xlfn.XLOOKUP($E28,'Løp 18'!$E$10:$E$91,'Løp 18'!$L$10:$L$91,0)</f>
        <v>0</v>
      </c>
      <c r="BU28" s="628">
        <f>_xlfn.XLOOKUP($E28,'Løp 19'!$E$10:$E$91,'Løp 19'!$M$10:$M$91,0)</f>
        <v>95</v>
      </c>
      <c r="BV28" s="629">
        <f>_xlfn.XLOOKUP($E28,'Løp 19'!$E$10:$E$91,'Løp 19'!$O$10:$O$91,0)</f>
        <v>90</v>
      </c>
      <c r="BW28" s="629">
        <f>_xlfn.XLOOKUP($E28,'Løp 19'!$E$10:$E$91,'Løp 19'!$L$10:$L$91,0)</f>
        <v>8.6248285322359387E-3</v>
      </c>
      <c r="BX28" s="628">
        <f>_xlfn.XLOOKUP($E28,'Løp 20'!$E$10:$E$92,'Løp 20'!$M$10:$M$92,0)</f>
        <v>0</v>
      </c>
      <c r="BY28" s="629">
        <f>_xlfn.XLOOKUP($E28,'Løp 20'!$E$10:$E$92,'Løp 20'!$O$10:$O$92,0)</f>
        <v>0</v>
      </c>
      <c r="BZ28" s="629">
        <f>_xlfn.XLOOKUP($E28,'Løp 20'!$E$10:$E$92,'Løp 20'!$L$10:$L$92,0)</f>
        <v>0</v>
      </c>
      <c r="CA28" s="628">
        <f>_xlfn.XLOOKUP($E28,'Løp 21'!$E$10:$E$93,'Løp 21'!$M$10:$M$93,0)</f>
        <v>84</v>
      </c>
      <c r="CB28" s="629">
        <f>_xlfn.XLOOKUP($E28,'Løp 21'!$E$10:$E$93,'Løp 21'!$O$10:$O$93,0)</f>
        <v>85</v>
      </c>
      <c r="CC28" s="629">
        <f>_xlfn.XLOOKUP($E28,'Løp 21'!$E$10:$E$93,'Løp 21'!$L$10:$L$93,0)</f>
        <v>7.2431302270011952E-3</v>
      </c>
      <c r="CD28" s="628">
        <f>_xlfn.XLOOKUP($E28,'Løp 22'!$E$10:$E$93,'Løp 22'!$M$10:$M$93,0)</f>
        <v>74</v>
      </c>
      <c r="CE28" s="629">
        <f>_xlfn.XLOOKUP($E28,'Løp 22'!$E$10:$E$93,'Løp 22'!$O$10:$O$93,0)</f>
        <v>73</v>
      </c>
      <c r="CF28" s="629">
        <f>_xlfn.XLOOKUP($E28,'Løp 22'!$E$10:$E$93,'Løp 22'!$L$10:$L$93,0)</f>
        <v>9.4239672364672365E-3</v>
      </c>
      <c r="CG28" s="628">
        <f>_xlfn.XLOOKUP($E28,'Løp 23'!$E$10:$E$93,'Løp 23'!$M$10:$M$93,0)</f>
        <v>0</v>
      </c>
      <c r="CH28" s="629">
        <f>_xlfn.XLOOKUP($E28,'Løp 23'!$E$10:$E$93,'Løp 23'!$O$10:$O$93,0)</f>
        <v>0</v>
      </c>
      <c r="CI28" s="629">
        <f>_xlfn.XLOOKUP($E28,'Løp 23'!$E$10:$E$93,'Løp 23'!$L$10:$L$93,0)</f>
        <v>0</v>
      </c>
      <c r="CJ28" s="628">
        <f>_xlfn.XLOOKUP($E28,'Løp 24'!$E$10:$E$93,'Løp 24'!$M$10:$M$93,0)</f>
        <v>81</v>
      </c>
      <c r="CK28" s="629">
        <f>_xlfn.XLOOKUP($E28,'Løp 24'!$E$10:$E$93,'Løp 24'!$O$10:$O$93,0)</f>
        <v>68</v>
      </c>
      <c r="CL28" s="629">
        <f>_xlfn.XLOOKUP($E28,'Løp 24'!$E$10:$E$93,'Løp 24'!$L$10:$L$93,0)</f>
        <v>6.5561529271206693E-3</v>
      </c>
      <c r="CM28" s="628">
        <f>_xlfn.XLOOKUP($E28,'Løp 25'!$E$10:$E$94,'Løp 25'!$M$10:$M$94,0)</f>
        <v>74</v>
      </c>
      <c r="CN28" s="629">
        <f>_xlfn.XLOOKUP($E28,'Løp 25'!$E$10:$E$94,'Løp 25'!$O$10:$O$94,0)</f>
        <v>73</v>
      </c>
      <c r="CO28" s="629">
        <f>_xlfn.XLOOKUP($E28,'Løp 25'!$E$10:$E$94,'Løp 25'!$L$10:$L$94,0)</f>
        <v>9.8162615740740727E-3</v>
      </c>
      <c r="CP28" s="628">
        <f>_xlfn.XLOOKUP($E28,'Løp 26'!$E$10:$E$94,'Løp 26'!$M$10:$M$94,0)</f>
        <v>0</v>
      </c>
      <c r="CQ28" s="629">
        <f>_xlfn.XLOOKUP($E28,'Løp 26'!$E$10:$E$94,'Løp 26'!$O$10:$O$94,0)</f>
        <v>0</v>
      </c>
      <c r="CR28" s="629">
        <f>_xlfn.XLOOKUP($E28,'Løp 26'!$E$10:$E$94,'Løp 26'!$L$10:$L$94,0)</f>
        <v>0</v>
      </c>
      <c r="CS28" s="628">
        <f>_xlfn.XLOOKUP($E28,'Løp 27'!$E$10:$E$94,'Løp 27'!$M$10:$M$94,0)</f>
        <v>59</v>
      </c>
      <c r="CT28" s="629">
        <f>_xlfn.XLOOKUP($E28,'Løp 27'!$E$10:$E$94,'Løp 27'!$O$10:$O$94,0)</f>
        <v>61</v>
      </c>
      <c r="CU28" s="629">
        <f>_xlfn.XLOOKUP($E28,'Løp 27'!$E$10:$E$94,'Løp 27'!$L$10:$L$94,0)</f>
        <v>1.1608367626886145E-2</v>
      </c>
      <c r="CV28" s="628">
        <f>_xlfn.XLOOKUP($E28,'Løp 28'!$E$10:$E$95,'Løp 28'!$M$10:$M$95,0)</f>
        <v>65</v>
      </c>
      <c r="CW28" s="629">
        <f>_xlfn.XLOOKUP($E28,'Løp 28'!$E$10:$E$95,'Løp 28'!$O$10:$O$95,0)</f>
        <v>70</v>
      </c>
      <c r="CX28" s="629">
        <f>_xlfn.XLOOKUP($E28,'Løp 28'!$E$10:$E$95,'Løp 28'!$L$10:$L$95,0)</f>
        <v>1.0139895330112723E-2</v>
      </c>
      <c r="CY28" s="628">
        <f>_xlfn.XLOOKUP($E28,'Løp 29'!$E$10:$E$95,'Løp 29'!$M$10:$M$95,0)</f>
        <v>0</v>
      </c>
      <c r="CZ28" s="629">
        <f>_xlfn.XLOOKUP($E28,'Løp 29'!$E$10:$E$95,'Løp 29'!$O$10:$O$95,0)</f>
        <v>0</v>
      </c>
      <c r="DA28" s="629">
        <f>_xlfn.XLOOKUP($E28,'Løp 29'!$E$10:$E$95,'Løp 29'!$L$10:$L$95,0)</f>
        <v>0</v>
      </c>
    </row>
    <row r="29" spans="2:105" ht="26" thickBot="1" x14ac:dyDescent="0.3">
      <c r="B29" s="627">
        <f t="shared" si="0"/>
        <v>20</v>
      </c>
      <c r="C29" s="119" t="s">
        <v>116</v>
      </c>
      <c r="D29" s="620" t="s">
        <v>165</v>
      </c>
      <c r="E29" s="616" t="str">
        <f>_xlfn.CONCAT(C29:D29)</f>
        <v>AndersWaage</v>
      </c>
      <c r="F29" s="610"/>
      <c r="G29" s="653">
        <f>COUNTIF(S29:DA29,"&gt;2")/2</f>
        <v>26</v>
      </c>
      <c r="H29" s="852">
        <f>COUNTIF(S29:DA29,"=Løype")+COUNTIF(S29:DA29,"Arr")</f>
        <v>1</v>
      </c>
      <c r="I29" s="610"/>
      <c r="J29" s="632">
        <f>S29+V29+Y29+AB29+AE29+AH29+AK29+AN29+AQ29+AT29+AW29+AZ29+BC29+BF29+BI29+BL29+BO29+BR29+BU29+BX29+CA29+CD29+CG29+CJ29+CM29+CP29+CS29+CV29+CY29</f>
        <v>1873</v>
      </c>
      <c r="K29" s="633">
        <f>T29+W29+Z29+AC29+AF29+AI29+AL29+AO29+AR29+AU29+AX29+BA29+BD29+BG29+BJ29+BM29+BP29+BS29+BV29+BY29+CB29+CE29+CH29+CK29+CN29+CQ29+CT29+CW29+CZ29</f>
        <v>1958</v>
      </c>
      <c r="L29" s="613"/>
      <c r="M29" s="658">
        <f>IF($G29&gt;0,J29/G29,0)</f>
        <v>72.038461538461533</v>
      </c>
      <c r="N29" s="659">
        <f>IF($G29&gt;0,K29/$G29,0)</f>
        <v>75.307692307692307</v>
      </c>
      <c r="O29" s="862"/>
      <c r="P29" s="874">
        <f>IF(AND($G29&gt;$Q$3-1,$G29-$H29&gt;0),M29,0)</f>
        <v>72.038461538461533</v>
      </c>
      <c r="Q29" s="875">
        <f>IF(AND($G29&gt;$Q$3-1,$G29-$H29&gt;0),N29,0)</f>
        <v>75.307692307692307</v>
      </c>
      <c r="R29" s="613"/>
      <c r="S29" s="628">
        <f>_xlfn.XLOOKUP($E29,'Løp 1'!$E$10:$E$90,'Løp 1'!$M$10:$M$90,0)</f>
        <v>50</v>
      </c>
      <c r="T29" s="629">
        <f>_xlfn.XLOOKUP($E29,'Løp 1'!$E$10:$E$90,'Løp 1'!$O$10:$O$90,0)</f>
        <v>50</v>
      </c>
      <c r="U29" s="629" t="str">
        <f>_xlfn.XLOOKUP($E29,'Løp 1'!$E$10:$E$90,'Løp 1'!$L$10:$L$90,0)</f>
        <v>Disk</v>
      </c>
      <c r="V29" s="628">
        <f>_xlfn.XLOOKUP($E29,'Løp 2'!$E$10:$E$90,'Løp 2'!$M$10:$M$90,0)</f>
        <v>0</v>
      </c>
      <c r="W29" s="629">
        <f>_xlfn.XLOOKUP($E29,'Løp 2'!$E$10:$E$90,'Løp 2'!$O$10:$O$90,0)</f>
        <v>0</v>
      </c>
      <c r="X29" s="629">
        <f>_xlfn.XLOOKUP($E29,'Løp 2'!$E$10:$E$90,'Løp 2'!$L$10:$L$90,0)</f>
        <v>0</v>
      </c>
      <c r="Y29" s="628">
        <f>_xlfn.XLOOKUP($E29,'Løp 3'!$E$10:$E$90,'Løp 3'!$M$10:$M$90,0)</f>
        <v>0</v>
      </c>
      <c r="Z29" s="629">
        <f>_xlfn.XLOOKUP($E29,'Løp 3'!$E$10:$E$90,'Løp 3'!$O$10:$O$90,0)</f>
        <v>0</v>
      </c>
      <c r="AA29" s="629">
        <f>_xlfn.XLOOKUP($E29,'Løp 3'!$E$10:$E$90,'Løp 3'!$L$10:$L$90,0)</f>
        <v>0</v>
      </c>
      <c r="AB29" s="628">
        <f>_xlfn.XLOOKUP($E29,'Løp 4'!$E$10:$E$90,'Løp 4'!$M$10:$M$90,0)</f>
        <v>50</v>
      </c>
      <c r="AC29" s="629">
        <f>_xlfn.XLOOKUP($E29,'Løp 4'!$E$10:$E$90,'Løp 4'!$O$10:$O$90,0)</f>
        <v>50</v>
      </c>
      <c r="AD29" s="629" t="str">
        <f>_xlfn.XLOOKUP($E29,'Løp 4'!$E$10:$E$90,'Løp 4'!$L$10:$L$90,0)</f>
        <v>Brutt</v>
      </c>
      <c r="AE29" s="628">
        <f>_xlfn.XLOOKUP($E29,'Løp 5'!$E$10:$E$90,'Løp 5'!$M$10:$M$90,0)</f>
        <v>82</v>
      </c>
      <c r="AF29" s="629">
        <f>_xlfn.XLOOKUP($E29,'Løp 5'!$E$10:$E$90,'Løp 5'!$O$10:$O$90,0)</f>
        <v>86</v>
      </c>
      <c r="AG29" s="629">
        <f>_xlfn.XLOOKUP($E29,'Løp 5'!$E$10:$E$90,'Løp 5'!$L$10:$L$90,0)</f>
        <v>8.804869684499313E-3</v>
      </c>
      <c r="AH29" s="628">
        <f>_xlfn.XLOOKUP($E29,'Løp 6'!$E$10:$E$90,'Løp 6'!$M$10:$M$90,0)</f>
        <v>100</v>
      </c>
      <c r="AI29" s="629">
        <f>_xlfn.XLOOKUP($E29,'Løp 6'!$E$10:$E$90,'Løp 6'!$O$10:$O$90,0)</f>
        <v>100</v>
      </c>
      <c r="AJ29" s="629" t="str">
        <f>_xlfn.XLOOKUP($E29,'Løp 6'!$E$10:$E$90,'Løp 6'!$L$10:$L$90,0)</f>
        <v>Løype</v>
      </c>
      <c r="AK29" s="628">
        <f>_xlfn.XLOOKUP($E29,'Løp 7'!$E$10:$E$90,'Løp 7'!$M$10:$M$90,0)</f>
        <v>92</v>
      </c>
      <c r="AL29" s="629">
        <f>_xlfn.XLOOKUP($E29,'Løp 7'!$E$10:$E$90,'Løp 7'!$O$10:$O$90,0)</f>
        <v>82</v>
      </c>
      <c r="AM29" s="629">
        <f>_xlfn.XLOOKUP($E29,'Løp 7'!$E$10:$E$90,'Løp 7'!$L$10:$L$90,0)</f>
        <v>1.8287037037037039E-2</v>
      </c>
      <c r="AN29" s="628">
        <f>_xlfn.XLOOKUP($E29,'Løp 8'!$E$10:$E$91,'Løp 8'!$M$10:$M$91,0)</f>
        <v>63</v>
      </c>
      <c r="AO29" s="629">
        <f>_xlfn.XLOOKUP($E29,'Løp 8'!$E$10:$E$91,'Løp 8'!$O$10:$O$91,0)</f>
        <v>57</v>
      </c>
      <c r="AP29" s="629">
        <f>_xlfn.XLOOKUP($E29,'Løp 8'!$E$10:$E$91,'Løp 8'!$L$10:$L$91,0)</f>
        <v>1.3431186868686868E-2</v>
      </c>
      <c r="AQ29" s="628">
        <f>_xlfn.XLOOKUP($E29,'Løp 9'!$E$10:$E$91,'Løp 9'!$M$10:$M$91,0)</f>
        <v>94</v>
      </c>
      <c r="AR29" s="629">
        <f>_xlfn.XLOOKUP($E29,'Løp 9'!$E$10:$E$91,'Løp 9'!$O$10:$O$91,0)</f>
        <v>90</v>
      </c>
      <c r="AS29" s="629">
        <f>_xlfn.XLOOKUP($E29,'Løp 9'!$E$10:$E$91,'Løp 9'!$L$10:$L$91,0)</f>
        <v>7.2468637992831545E-3</v>
      </c>
      <c r="AT29" s="628">
        <f>_xlfn.XLOOKUP($E29,'Løp 10'!$E$10:$E$91,'Løp 10'!$M$10:$M$91,0)</f>
        <v>66</v>
      </c>
      <c r="AU29" s="629">
        <f>_xlfn.XLOOKUP($E29,'Løp 10'!$E$10:$E$91,'Løp 10'!$O$10:$O$91,0)</f>
        <v>71</v>
      </c>
      <c r="AV29" s="629">
        <f>_xlfn.XLOOKUP($E29,'Løp 10'!$E$10:$E$91,'Løp 10'!$L$10:$L$91,0)</f>
        <v>1.130829903978052E-2</v>
      </c>
      <c r="AW29" s="628">
        <f>_xlfn.XLOOKUP($E29,'Løp 11'!$E$10:$E$91,'Løp 11'!$M$10:$M$91,0)</f>
        <v>87</v>
      </c>
      <c r="AX29" s="629">
        <f>_xlfn.XLOOKUP($E29,'Løp 11'!$E$10:$E$91,'Løp 11'!$O$10:$O$91,0)</f>
        <v>94</v>
      </c>
      <c r="AY29" s="629">
        <f>_xlfn.XLOOKUP($E29,'Løp 11'!$E$10:$E$91,'Løp 11'!$L$10:$L$91,0)</f>
        <v>8.4563078703703692E-3</v>
      </c>
      <c r="AZ29" s="628">
        <f>_xlfn.XLOOKUP($E29,'Løp 12'!$E$10:$E$91,'Løp 12'!$M$10:$M$91,0)</f>
        <v>69</v>
      </c>
      <c r="BA29" s="629">
        <f>_xlfn.XLOOKUP($E29,'Løp 12'!$E$10:$E$91,'Løp 12'!$O$10:$O$91,0)</f>
        <v>79</v>
      </c>
      <c r="BB29" s="629">
        <f>_xlfn.XLOOKUP($E29,'Løp 12'!$E$10:$E$91,'Løp 12'!$L$10:$L$91,0)</f>
        <v>8.0398478835978834E-3</v>
      </c>
      <c r="BC29" s="628">
        <f>_xlfn.XLOOKUP($E29,'Løp 13'!$E$10:$E$91,'Løp 13'!$M$10:$M$91,0)</f>
        <v>67</v>
      </c>
      <c r="BD29" s="629">
        <f>_xlfn.XLOOKUP($E29,'Løp 13'!$E$10:$E$91,'Løp 13'!$O$10:$O$91,0)</f>
        <v>84</v>
      </c>
      <c r="BE29" s="629">
        <f>_xlfn.XLOOKUP($E29,'Løp 13'!$E$10:$E$91,'Løp 13'!$L$10:$L$91,0)</f>
        <v>8.1098339719029369E-3</v>
      </c>
      <c r="BF29" s="628">
        <f>_xlfn.XLOOKUP($E29,'Løp 14'!$E$10:$E$91,'Løp 14'!$M$10:$M$91,0)</f>
        <v>60</v>
      </c>
      <c r="BG29" s="629">
        <f>_xlfn.XLOOKUP($E29,'Løp 14'!$E$10:$E$91,'Løp 14'!$O$10:$O$91,0)</f>
        <v>65</v>
      </c>
      <c r="BH29" s="629">
        <f>_xlfn.XLOOKUP($E29,'Løp 14'!$E$10:$E$91,'Løp 14'!$L$10:$L$91,0)</f>
        <v>1.0474537037037036E-2</v>
      </c>
      <c r="BI29" s="628">
        <f>_xlfn.XLOOKUP($E29,'Løp 15'!$E$10:$E$91,'Løp 15'!$M$10:$M$91,0)</f>
        <v>50</v>
      </c>
      <c r="BJ29" s="629">
        <f>_xlfn.XLOOKUP($E29,'Løp 15'!$E$10:$E$91,'Løp 15'!$O$10:$O$91,0)</f>
        <v>50</v>
      </c>
      <c r="BK29" s="629" t="str">
        <f>_xlfn.XLOOKUP($E29,'Løp 15'!$E$10:$E$91,'Løp 15'!$L$10:$L$91,0)</f>
        <v>Brutt</v>
      </c>
      <c r="BL29" s="628">
        <f>_xlfn.XLOOKUP($E29,'Løp 16'!$E$10:$E$91,'Løp 16'!$M$10:$M$91,0)</f>
        <v>73</v>
      </c>
      <c r="BM29" s="629">
        <f>_xlfn.XLOOKUP($E29,'Løp 16'!$E$10:$E$91,'Løp 16'!$O$10:$O$91,0)</f>
        <v>82</v>
      </c>
      <c r="BN29" s="629">
        <f>_xlfn.XLOOKUP($E29,'Løp 16'!$E$10:$E$91,'Løp 16'!$L$10:$L$91,0)</f>
        <v>9.4062812812812802E-3</v>
      </c>
      <c r="BO29" s="628">
        <f>_xlfn.XLOOKUP($E29,'Løp 17'!$E$10:$E$91,'Løp 17'!$M$10:$M$91,0)</f>
        <v>0</v>
      </c>
      <c r="BP29" s="629">
        <f>_xlfn.XLOOKUP($E29,'Løp 17'!$E$10:$E$91,'Løp 17'!$O$10:$O$91,0)</f>
        <v>0</v>
      </c>
      <c r="BQ29" s="629">
        <f>_xlfn.XLOOKUP($E29,'Løp 17'!$E$10:$E$91,'Løp 17'!$L$10:$L$91,0)</f>
        <v>0</v>
      </c>
      <c r="BR29" s="628">
        <f>_xlfn.XLOOKUP($E29,'Løp 18'!$E$10:$E$91,'Løp 18'!$M$10:$M$91,0)</f>
        <v>77</v>
      </c>
      <c r="BS29" s="629">
        <f>_xlfn.XLOOKUP($E29,'Løp 18'!$E$10:$E$91,'Løp 18'!$O$10:$O$91,0)</f>
        <v>80</v>
      </c>
      <c r="BT29" s="629">
        <f>_xlfn.XLOOKUP($E29,'Løp 18'!$E$10:$E$91,'Løp 18'!$L$10:$L$91,0)</f>
        <v>9.2990451388888888E-3</v>
      </c>
      <c r="BU29" s="628">
        <f>_xlfn.XLOOKUP($E29,'Løp 19'!$E$10:$E$91,'Løp 19'!$M$10:$M$91,0)</f>
        <v>96</v>
      </c>
      <c r="BV29" s="629">
        <f>_xlfn.XLOOKUP($E29,'Løp 19'!$E$10:$E$91,'Løp 19'!$O$10:$O$91,0)</f>
        <v>100</v>
      </c>
      <c r="BW29" s="629">
        <f>_xlfn.XLOOKUP($E29,'Løp 19'!$E$10:$E$91,'Løp 19'!$L$10:$L$91,0)</f>
        <v>8.5133744855967076E-3</v>
      </c>
      <c r="BX29" s="628">
        <f>_xlfn.XLOOKUP($E29,'Løp 20'!$E$10:$E$92,'Løp 20'!$M$10:$M$92,0)</f>
        <v>50</v>
      </c>
      <c r="BY29" s="629">
        <f>_xlfn.XLOOKUP($E29,'Løp 20'!$E$10:$E$92,'Løp 20'!$O$10:$O$92,0)</f>
        <v>50</v>
      </c>
      <c r="BZ29" s="629" t="str">
        <f>_xlfn.XLOOKUP($E29,'Løp 20'!$E$10:$E$92,'Løp 20'!$L$10:$L$92,0)</f>
        <v>Disk</v>
      </c>
      <c r="CA29" s="628">
        <f>_xlfn.XLOOKUP($E29,'Løp 21'!$E$10:$E$93,'Løp 21'!$M$10:$M$93,0)</f>
        <v>90</v>
      </c>
      <c r="CB29" s="629">
        <f>_xlfn.XLOOKUP($E29,'Løp 21'!$E$10:$E$93,'Løp 21'!$O$10:$O$93,0)</f>
        <v>99</v>
      </c>
      <c r="CC29" s="629">
        <f>_xlfn.XLOOKUP($E29,'Løp 21'!$E$10:$E$93,'Løp 21'!$L$10:$L$93,0)</f>
        <v>6.7689665471923535E-3</v>
      </c>
      <c r="CD29" s="628">
        <f>_xlfn.XLOOKUP($E29,'Løp 22'!$E$10:$E$93,'Løp 22'!$M$10:$M$93,0)</f>
        <v>82</v>
      </c>
      <c r="CE29" s="629">
        <f>_xlfn.XLOOKUP($E29,'Løp 22'!$E$10:$E$93,'Løp 22'!$O$10:$O$93,0)</f>
        <v>88</v>
      </c>
      <c r="CF29" s="629">
        <f>_xlfn.XLOOKUP($E29,'Løp 22'!$E$10:$E$93,'Løp 22'!$L$10:$L$93,0)</f>
        <v>8.5692663817663814E-3</v>
      </c>
      <c r="CG29" s="628">
        <f>_xlfn.XLOOKUP($E29,'Løp 23'!$E$10:$E$93,'Løp 23'!$M$10:$M$93,0)</f>
        <v>81</v>
      </c>
      <c r="CH29" s="629">
        <f>_xlfn.XLOOKUP($E29,'Løp 23'!$E$10:$E$93,'Løp 23'!$O$10:$O$93,0)</f>
        <v>88</v>
      </c>
      <c r="CI29" s="629">
        <f>_xlfn.XLOOKUP($E29,'Løp 23'!$E$10:$E$93,'Løp 23'!$L$10:$L$93,0)</f>
        <v>6.4136334610472544E-3</v>
      </c>
      <c r="CJ29" s="628">
        <f>_xlfn.XLOOKUP($E29,'Løp 24'!$E$10:$E$93,'Løp 24'!$M$10:$M$93,0)</f>
        <v>87</v>
      </c>
      <c r="CK29" s="629">
        <f>_xlfn.XLOOKUP($E29,'Løp 24'!$E$10:$E$93,'Løp 24'!$O$10:$O$93,0)</f>
        <v>80</v>
      </c>
      <c r="CL29" s="629">
        <f>_xlfn.XLOOKUP($E29,'Løp 24'!$E$10:$E$93,'Løp 24'!$L$10:$L$93,0)</f>
        <v>6.1305256869772992E-3</v>
      </c>
      <c r="CM29" s="628">
        <f>_xlfn.XLOOKUP($E29,'Løp 25'!$E$10:$E$94,'Løp 25'!$M$10:$M$94,0)</f>
        <v>50</v>
      </c>
      <c r="CN29" s="629">
        <f>_xlfn.XLOOKUP($E29,'Løp 25'!$E$10:$E$94,'Løp 25'!$O$10:$O$94,0)</f>
        <v>52</v>
      </c>
      <c r="CO29" s="629">
        <f>_xlfn.XLOOKUP($E29,'Løp 25'!$E$10:$E$94,'Løp 25'!$L$10:$L$94,0)</f>
        <v>1.4945023148148148E-2</v>
      </c>
      <c r="CP29" s="628">
        <f>_xlfn.XLOOKUP($E29,'Løp 26'!$E$10:$E$94,'Løp 26'!$M$10:$M$94,0)</f>
        <v>74</v>
      </c>
      <c r="CQ29" s="629">
        <f>_xlfn.XLOOKUP($E29,'Løp 26'!$E$10:$E$94,'Løp 26'!$O$10:$O$94,0)</f>
        <v>84</v>
      </c>
      <c r="CR29" s="629">
        <f>_xlfn.XLOOKUP($E29,'Løp 26'!$E$10:$E$94,'Løp 26'!$L$10:$L$94,0)</f>
        <v>9.524782135076253E-3</v>
      </c>
      <c r="CS29" s="628">
        <f>_xlfn.XLOOKUP($E29,'Løp 27'!$E$10:$E$94,'Løp 27'!$M$10:$M$94,0)</f>
        <v>83</v>
      </c>
      <c r="CT29" s="629">
        <f>_xlfn.XLOOKUP($E29,'Løp 27'!$E$10:$E$94,'Løp 27'!$O$10:$O$94,0)</f>
        <v>94</v>
      </c>
      <c r="CU29" s="629">
        <f>_xlfn.XLOOKUP($E29,'Løp 27'!$E$10:$E$94,'Løp 27'!$L$10:$L$94,0)</f>
        <v>8.2776063100137159E-3</v>
      </c>
      <c r="CV29" s="628">
        <f>_xlfn.XLOOKUP($E29,'Løp 28'!$E$10:$E$95,'Løp 28'!$M$10:$M$95,0)</f>
        <v>50</v>
      </c>
      <c r="CW29" s="629">
        <f>_xlfn.XLOOKUP($E29,'Løp 28'!$E$10:$E$95,'Løp 28'!$O$10:$O$95,0)</f>
        <v>53</v>
      </c>
      <c r="CX29" s="629">
        <f>_xlfn.XLOOKUP($E29,'Løp 28'!$E$10:$E$95,'Løp 28'!$L$10:$L$95,0)</f>
        <v>1.4578301127214172E-2</v>
      </c>
      <c r="CY29" s="628">
        <f>_xlfn.XLOOKUP($E29,'Løp 29'!$E$10:$E$95,'Løp 29'!$M$10:$M$95,0)</f>
        <v>50</v>
      </c>
      <c r="CZ29" s="629">
        <f>_xlfn.XLOOKUP($E29,'Løp 29'!$E$10:$E$95,'Løp 29'!$O$10:$O$95,0)</f>
        <v>50</v>
      </c>
      <c r="DA29" s="629" t="str">
        <f>_xlfn.XLOOKUP($E29,'Løp 29'!$E$10:$E$95,'Løp 29'!$L$10:$L$95,0)</f>
        <v>Disk</v>
      </c>
    </row>
    <row r="30" spans="2:105" ht="26" thickBot="1" x14ac:dyDescent="0.3">
      <c r="B30" s="627">
        <f t="shared" si="0"/>
        <v>21</v>
      </c>
      <c r="C30" s="119" t="s">
        <v>96</v>
      </c>
      <c r="D30" s="620" t="s">
        <v>97</v>
      </c>
      <c r="E30" s="616" t="str">
        <f>_xlfn.CONCAT(C30:D30)</f>
        <v>StigHaugskott</v>
      </c>
      <c r="F30" s="610"/>
      <c r="G30" s="653">
        <f>COUNTIF(S30:DA30,"&gt;2")/2</f>
        <v>23</v>
      </c>
      <c r="H30" s="852">
        <f>COUNTIF(S30:DA30,"=Løype")+COUNTIF(S30:DA30,"Arr")</f>
        <v>0</v>
      </c>
      <c r="I30" s="610"/>
      <c r="J30" s="632">
        <f>S30+V30+Y30+AB30+AE30+AH30+AK30+AN30+AQ30+AT30+AW30+AZ30+BC30+BF30+BI30+BL30+BO30+BR30+BU30+BX30+CA30+CD30+CG30+CJ30+CM30+CP30+CS30+CV30+CY30</f>
        <v>1267</v>
      </c>
      <c r="K30" s="633">
        <f>T30+W30+Z30+AC30+AF30+AI30+AL30+AO30+AR30+AU30+AX30+BA30+BD30+BG30+BJ30+BM30+BP30+BS30+BV30+BY30+CB30+CE30+CH30+CK30+CN30+CQ30+CT30+CW30+CZ30</f>
        <v>1712</v>
      </c>
      <c r="L30" s="613"/>
      <c r="M30" s="658">
        <f>IF($G30&gt;0,J30/G30,0)</f>
        <v>55.086956521739133</v>
      </c>
      <c r="N30" s="659">
        <f>IF($G30&gt;0,K30/$G30,0)</f>
        <v>74.434782608695656</v>
      </c>
      <c r="O30" s="862"/>
      <c r="P30" s="874">
        <f>IF(AND($G30&gt;$Q$3-1,$G30-$H30&gt;0),M30,0)</f>
        <v>55.086956521739133</v>
      </c>
      <c r="Q30" s="875">
        <f>IF(AND($G30&gt;$Q$3-1,$G30-$H30&gt;0),N30,0)</f>
        <v>74.434782608695656</v>
      </c>
      <c r="R30" s="613"/>
      <c r="S30" s="628">
        <f>_xlfn.XLOOKUP($E30,'Løp 1'!$E$10:$E$90,'Løp 1'!$M$10:$M$90,0)</f>
        <v>52</v>
      </c>
      <c r="T30" s="629">
        <f>_xlfn.XLOOKUP($E30,'Løp 1'!$E$10:$E$90,'Løp 1'!$O$10:$O$90,0)</f>
        <v>79</v>
      </c>
      <c r="U30" s="629">
        <f>_xlfn.XLOOKUP($E30,'Løp 1'!$E$10:$E$90,'Løp 1'!$L$10:$L$90,0)</f>
        <v>1.545443469785575E-2</v>
      </c>
      <c r="V30" s="628">
        <f>_xlfn.XLOOKUP($E30,'Løp 2'!$E$10:$E$90,'Løp 2'!$M$10:$M$90,0)</f>
        <v>50</v>
      </c>
      <c r="W30" s="629">
        <f>_xlfn.XLOOKUP($E30,'Løp 2'!$E$10:$E$90,'Løp 2'!$O$10:$O$90,0)</f>
        <v>50</v>
      </c>
      <c r="X30" s="629" t="str">
        <f>_xlfn.XLOOKUP($E30,'Løp 2'!$E$10:$E$90,'Løp 2'!$L$10:$L$90,0)</f>
        <v>Brutt</v>
      </c>
      <c r="Y30" s="628">
        <f>_xlfn.XLOOKUP($E30,'Løp 3'!$E$10:$E$90,'Løp 3'!$M$10:$M$90,0)</f>
        <v>59</v>
      </c>
      <c r="Z30" s="629">
        <f>_xlfn.XLOOKUP($E30,'Løp 3'!$E$10:$E$90,'Løp 3'!$O$10:$O$90,0)</f>
        <v>82</v>
      </c>
      <c r="AA30" s="629">
        <f>_xlfn.XLOOKUP($E30,'Løp 3'!$E$10:$E$90,'Løp 3'!$L$10:$L$90,0)</f>
        <v>1.5349426807760139E-2</v>
      </c>
      <c r="AB30" s="628">
        <f>_xlfn.XLOOKUP($E30,'Løp 4'!$E$10:$E$90,'Løp 4'!$M$10:$M$90,0)</f>
        <v>50</v>
      </c>
      <c r="AC30" s="629">
        <f>_xlfn.XLOOKUP($E30,'Løp 4'!$E$10:$E$90,'Løp 4'!$O$10:$O$90,0)</f>
        <v>72</v>
      </c>
      <c r="AD30" s="629">
        <f>_xlfn.XLOOKUP($E30,'Løp 4'!$E$10:$E$90,'Løp 4'!$L$10:$L$90,0)</f>
        <v>1.5096618357487924E-2</v>
      </c>
      <c r="AE30" s="628">
        <f>_xlfn.XLOOKUP($E30,'Løp 5'!$E$10:$E$90,'Løp 5'!$M$10:$M$90,0)</f>
        <v>50</v>
      </c>
      <c r="AF30" s="629">
        <f>_xlfn.XLOOKUP($E30,'Løp 5'!$E$10:$E$90,'Løp 5'!$O$10:$O$90,0)</f>
        <v>71</v>
      </c>
      <c r="AG30" s="629">
        <f>_xlfn.XLOOKUP($E30,'Løp 5'!$E$10:$E$90,'Løp 5'!$L$10:$L$90,0)</f>
        <v>1.4518229166666665E-2</v>
      </c>
      <c r="AH30" s="628">
        <f>_xlfn.XLOOKUP($E30,'Løp 6'!$E$10:$E$90,'Løp 6'!$M$10:$M$90,0)</f>
        <v>56</v>
      </c>
      <c r="AI30" s="629">
        <f>_xlfn.XLOOKUP($E30,'Løp 6'!$E$10:$E$90,'Løp 6'!$O$10:$O$90,0)</f>
        <v>83</v>
      </c>
      <c r="AJ30" s="629">
        <f>_xlfn.XLOOKUP($E30,'Løp 6'!$E$10:$E$90,'Løp 6'!$L$10:$L$90,0)</f>
        <v>1.3875272331154685E-2</v>
      </c>
      <c r="AK30" s="628">
        <f>_xlfn.XLOOKUP($E30,'Løp 7'!$E$10:$E$90,'Løp 7'!$M$10:$M$90,0)</f>
        <v>83</v>
      </c>
      <c r="AL30" s="629">
        <f>_xlfn.XLOOKUP($E30,'Løp 7'!$E$10:$E$90,'Løp 7'!$O$10:$O$90,0)</f>
        <v>100</v>
      </c>
      <c r="AM30" s="629">
        <f>_xlfn.XLOOKUP($E30,'Løp 7'!$E$10:$E$90,'Løp 7'!$L$10:$L$90,0)</f>
        <v>2.0186237373737374E-2</v>
      </c>
      <c r="AN30" s="628">
        <f>_xlfn.XLOOKUP($E30,'Løp 8'!$E$10:$E$91,'Løp 8'!$M$10:$M$91,0)</f>
        <v>58</v>
      </c>
      <c r="AO30" s="629">
        <f>_xlfn.XLOOKUP($E30,'Løp 8'!$E$10:$E$91,'Løp 8'!$O$10:$O$91,0)</f>
        <v>71</v>
      </c>
      <c r="AP30" s="629">
        <f>_xlfn.XLOOKUP($E30,'Løp 8'!$E$10:$E$91,'Løp 8'!$L$10:$L$91,0)</f>
        <v>1.4645061728395062E-2</v>
      </c>
      <c r="AQ30" s="628">
        <f>_xlfn.XLOOKUP($E30,'Løp 9'!$E$10:$E$91,'Løp 9'!$M$10:$M$91,0)</f>
        <v>65</v>
      </c>
      <c r="AR30" s="629">
        <f>_xlfn.XLOOKUP($E30,'Løp 9'!$E$10:$E$91,'Løp 9'!$O$10:$O$91,0)</f>
        <v>85</v>
      </c>
      <c r="AS30" s="629">
        <f>_xlfn.XLOOKUP($E30,'Løp 9'!$E$10:$E$91,'Løp 9'!$L$10:$L$91,0)</f>
        <v>1.0411405723905722E-2</v>
      </c>
      <c r="AT30" s="628">
        <f>_xlfn.XLOOKUP($E30,'Løp 10'!$E$10:$E$91,'Løp 10'!$M$10:$M$91,0)</f>
        <v>58</v>
      </c>
      <c r="AU30" s="629">
        <f>_xlfn.XLOOKUP($E30,'Løp 10'!$E$10:$E$91,'Løp 10'!$O$10:$O$91,0)</f>
        <v>84</v>
      </c>
      <c r="AV30" s="629">
        <f>_xlfn.XLOOKUP($E30,'Løp 10'!$E$10:$E$91,'Løp 10'!$L$10:$L$91,0)</f>
        <v>1.2876157407407406E-2</v>
      </c>
      <c r="AW30" s="628">
        <f>_xlfn.XLOOKUP($E30,'Løp 11'!$E$10:$E$91,'Løp 11'!$M$10:$M$91,0)</f>
        <v>64</v>
      </c>
      <c r="AX30" s="629">
        <f>_xlfn.XLOOKUP($E30,'Løp 11'!$E$10:$E$91,'Løp 11'!$O$10:$O$91,0)</f>
        <v>94</v>
      </c>
      <c r="AY30" s="629">
        <f>_xlfn.XLOOKUP($E30,'Løp 11'!$E$10:$E$91,'Løp 11'!$L$10:$L$91,0)</f>
        <v>1.1489898989898989E-2</v>
      </c>
      <c r="AZ30" s="628">
        <f>_xlfn.XLOOKUP($E30,'Løp 12'!$E$10:$E$91,'Løp 12'!$M$10:$M$91,0)</f>
        <v>0</v>
      </c>
      <c r="BA30" s="629">
        <f>_xlfn.XLOOKUP($E30,'Løp 12'!$E$10:$E$91,'Løp 12'!$O$10:$O$91,0)</f>
        <v>0</v>
      </c>
      <c r="BB30" s="629">
        <f>_xlfn.XLOOKUP($E30,'Løp 12'!$E$10:$E$91,'Løp 12'!$L$10:$L$91,0)</f>
        <v>0</v>
      </c>
      <c r="BC30" s="628">
        <f>_xlfn.XLOOKUP($E30,'Løp 13'!$E$10:$E$91,'Løp 13'!$M$10:$M$91,0)</f>
        <v>0</v>
      </c>
      <c r="BD30" s="629">
        <f>_xlfn.XLOOKUP($E30,'Løp 13'!$E$10:$E$91,'Løp 13'!$O$10:$O$91,0)</f>
        <v>0</v>
      </c>
      <c r="BE30" s="629">
        <f>_xlfn.XLOOKUP($E30,'Løp 13'!$E$10:$E$91,'Løp 13'!$L$10:$L$91,0)</f>
        <v>0</v>
      </c>
      <c r="BF30" s="628">
        <f>_xlfn.XLOOKUP($E30,'Løp 14'!$E$10:$E$91,'Løp 14'!$M$10:$M$91,0)</f>
        <v>0</v>
      </c>
      <c r="BG30" s="629">
        <f>_xlfn.XLOOKUP($E30,'Løp 14'!$E$10:$E$91,'Løp 14'!$O$10:$O$91,0)</f>
        <v>0</v>
      </c>
      <c r="BH30" s="629">
        <f>_xlfn.XLOOKUP($E30,'Løp 14'!$E$10:$E$91,'Løp 14'!$L$10:$L$91,0)</f>
        <v>0</v>
      </c>
      <c r="BI30" s="628">
        <f>_xlfn.XLOOKUP($E30,'Løp 15'!$E$10:$E$91,'Løp 15'!$M$10:$M$91,0)</f>
        <v>50</v>
      </c>
      <c r="BJ30" s="629">
        <f>_xlfn.XLOOKUP($E30,'Løp 15'!$E$10:$E$91,'Løp 15'!$O$10:$O$91,0)</f>
        <v>59</v>
      </c>
      <c r="BK30" s="629">
        <f>_xlfn.XLOOKUP($E30,'Løp 15'!$E$10:$E$91,'Løp 15'!$L$10:$L$91,0)</f>
        <v>1.954365079365079E-2</v>
      </c>
      <c r="BL30" s="628">
        <f>_xlfn.XLOOKUP($E30,'Løp 16'!$E$10:$E$91,'Løp 16'!$M$10:$M$91,0)</f>
        <v>0</v>
      </c>
      <c r="BM30" s="629">
        <f>_xlfn.XLOOKUP($E30,'Løp 16'!$E$10:$E$91,'Løp 16'!$O$10:$O$91,0)</f>
        <v>0</v>
      </c>
      <c r="BN30" s="629">
        <f>_xlfn.XLOOKUP($E30,'Løp 16'!$E$10:$E$91,'Løp 16'!$L$10:$L$91,0)</f>
        <v>0</v>
      </c>
      <c r="BO30" s="628">
        <f>_xlfn.XLOOKUP($E30,'Løp 17'!$E$10:$E$91,'Løp 17'!$M$10:$M$91,0)</f>
        <v>50</v>
      </c>
      <c r="BP30" s="629">
        <f>_xlfn.XLOOKUP($E30,'Løp 17'!$E$10:$E$91,'Løp 17'!$O$10:$O$91,0)</f>
        <v>76</v>
      </c>
      <c r="BQ30" s="629">
        <f>_xlfn.XLOOKUP($E30,'Løp 17'!$E$10:$E$91,'Løp 17'!$L$10:$L$91,0)</f>
        <v>1.2694931773879144E-2</v>
      </c>
      <c r="BR30" s="628">
        <f>_xlfn.XLOOKUP($E30,'Løp 18'!$E$10:$E$91,'Løp 18'!$M$10:$M$91,0)</f>
        <v>61</v>
      </c>
      <c r="BS30" s="629">
        <f>_xlfn.XLOOKUP($E30,'Løp 18'!$E$10:$E$91,'Løp 18'!$O$10:$O$91,0)</f>
        <v>86</v>
      </c>
      <c r="BT30" s="629">
        <f>_xlfn.XLOOKUP($E30,'Løp 18'!$E$10:$E$91,'Løp 18'!$L$10:$L$91,0)</f>
        <v>1.1782407407407408E-2</v>
      </c>
      <c r="BU30" s="628">
        <f>_xlfn.XLOOKUP($E30,'Løp 19'!$E$10:$E$91,'Løp 19'!$M$10:$M$91,0)</f>
        <v>50</v>
      </c>
      <c r="BV30" s="629">
        <f>_xlfn.XLOOKUP($E30,'Løp 19'!$E$10:$E$91,'Løp 19'!$O$10:$O$91,0)</f>
        <v>50</v>
      </c>
      <c r="BW30" s="629" t="str">
        <f>_xlfn.XLOOKUP($E30,'Løp 19'!$E$10:$E$91,'Løp 19'!$L$10:$L$91,0)</f>
        <v>Brutt</v>
      </c>
      <c r="BX30" s="628">
        <f>_xlfn.XLOOKUP($E30,'Løp 20'!$E$10:$E$92,'Løp 20'!$M$10:$M$92,0)</f>
        <v>51</v>
      </c>
      <c r="BY30" s="629">
        <f>_xlfn.XLOOKUP($E30,'Løp 20'!$E$10:$E$92,'Løp 20'!$O$10:$O$92,0)</f>
        <v>74</v>
      </c>
      <c r="BZ30" s="629">
        <f>_xlfn.XLOOKUP($E30,'Løp 20'!$E$10:$E$92,'Løp 20'!$L$10:$L$92,0)</f>
        <v>1.5068342151675483E-2</v>
      </c>
      <c r="CA30" s="628">
        <f>_xlfn.XLOOKUP($E30,'Løp 21'!$E$10:$E$93,'Løp 21'!$M$10:$M$93,0)</f>
        <v>59</v>
      </c>
      <c r="CB30" s="629">
        <f>_xlfn.XLOOKUP($E30,'Løp 21'!$E$10:$E$93,'Løp 21'!$O$10:$O$93,0)</f>
        <v>88</v>
      </c>
      <c r="CC30" s="629">
        <f>_xlfn.XLOOKUP($E30,'Løp 21'!$E$10:$E$93,'Løp 21'!$L$10:$L$93,0)</f>
        <v>1.0361312399355879E-2</v>
      </c>
      <c r="CD30" s="628">
        <f>_xlfn.XLOOKUP($E30,'Løp 22'!$E$10:$E$93,'Løp 22'!$M$10:$M$93,0)</f>
        <v>0</v>
      </c>
      <c r="CE30" s="629">
        <f>_xlfn.XLOOKUP($E30,'Løp 22'!$E$10:$E$93,'Løp 22'!$O$10:$O$93,0)</f>
        <v>0</v>
      </c>
      <c r="CF30" s="629">
        <f>_xlfn.XLOOKUP($E30,'Løp 22'!$E$10:$E$93,'Løp 22'!$L$10:$L$93,0)</f>
        <v>0</v>
      </c>
      <c r="CG30" s="628">
        <f>_xlfn.XLOOKUP($E30,'Løp 23'!$E$10:$E$93,'Løp 23'!$M$10:$M$93,0)</f>
        <v>0</v>
      </c>
      <c r="CH30" s="629">
        <f>_xlfn.XLOOKUP($E30,'Løp 23'!$E$10:$E$93,'Løp 23'!$O$10:$O$93,0)</f>
        <v>0</v>
      </c>
      <c r="CI30" s="629">
        <f>_xlfn.XLOOKUP($E30,'Løp 23'!$E$10:$E$93,'Løp 23'!$L$10:$L$93,0)</f>
        <v>0</v>
      </c>
      <c r="CJ30" s="628">
        <f>_xlfn.XLOOKUP($E30,'Løp 24'!$E$10:$E$93,'Løp 24'!$M$10:$M$93,0)</f>
        <v>50</v>
      </c>
      <c r="CK30" s="629">
        <f>_xlfn.XLOOKUP($E30,'Løp 24'!$E$10:$E$93,'Løp 24'!$O$10:$O$93,0)</f>
        <v>50</v>
      </c>
      <c r="CL30" s="629">
        <f>_xlfn.XLOOKUP($E30,'Løp 24'!$E$10:$E$93,'Løp 24'!$L$10:$L$93,0)</f>
        <v>1.4851641414141413E-2</v>
      </c>
      <c r="CM30" s="628">
        <f>_xlfn.XLOOKUP($E30,'Løp 25'!$E$10:$E$94,'Løp 25'!$M$10:$M$94,0)</f>
        <v>50</v>
      </c>
      <c r="CN30" s="629">
        <f>_xlfn.XLOOKUP($E30,'Løp 25'!$E$10:$E$94,'Løp 25'!$O$10:$O$94,0)</f>
        <v>65</v>
      </c>
      <c r="CO30" s="629">
        <f>_xlfn.XLOOKUP($E30,'Løp 25'!$E$10:$E$94,'Løp 25'!$L$10:$L$94,0)</f>
        <v>1.6480195473251028E-2</v>
      </c>
      <c r="CP30" s="628">
        <f>_xlfn.XLOOKUP($E30,'Løp 26'!$E$10:$E$94,'Løp 26'!$M$10:$M$94,0)</f>
        <v>51</v>
      </c>
      <c r="CQ30" s="629">
        <f>_xlfn.XLOOKUP($E30,'Løp 26'!$E$10:$E$94,'Løp 26'!$O$10:$O$94,0)</f>
        <v>79</v>
      </c>
      <c r="CR30" s="629">
        <f>_xlfn.XLOOKUP($E30,'Løp 26'!$E$10:$E$94,'Løp 26'!$L$10:$L$94,0)</f>
        <v>1.3848824786324786E-2</v>
      </c>
      <c r="CS30" s="628">
        <f>_xlfn.XLOOKUP($E30,'Løp 27'!$E$10:$E$94,'Løp 27'!$M$10:$M$94,0)</f>
        <v>50</v>
      </c>
      <c r="CT30" s="629">
        <f>_xlfn.XLOOKUP($E30,'Løp 27'!$E$10:$E$94,'Løp 27'!$O$10:$O$94,0)</f>
        <v>68</v>
      </c>
      <c r="CU30" s="629">
        <f>_xlfn.XLOOKUP($E30,'Løp 27'!$E$10:$E$94,'Løp 27'!$L$10:$L$94,0)</f>
        <v>1.5522119341563785E-2</v>
      </c>
      <c r="CV30" s="628">
        <f>_xlfn.XLOOKUP($E30,'Løp 28'!$E$10:$E$95,'Løp 28'!$M$10:$M$95,0)</f>
        <v>50</v>
      </c>
      <c r="CW30" s="629">
        <f>_xlfn.XLOOKUP($E30,'Løp 28'!$E$10:$E$95,'Løp 28'!$O$10:$O$95,0)</f>
        <v>79</v>
      </c>
      <c r="CX30" s="629">
        <f>_xlfn.XLOOKUP($E30,'Løp 28'!$E$10:$E$95,'Løp 28'!$L$10:$L$95,0)</f>
        <v>1.337962962962963E-2</v>
      </c>
      <c r="CY30" s="628">
        <f>_xlfn.XLOOKUP($E30,'Løp 29'!$E$10:$E$95,'Løp 29'!$M$10:$M$95,0)</f>
        <v>50</v>
      </c>
      <c r="CZ30" s="629">
        <f>_xlfn.XLOOKUP($E30,'Løp 29'!$E$10:$E$95,'Løp 29'!$O$10:$O$95,0)</f>
        <v>67</v>
      </c>
      <c r="DA30" s="629">
        <f>_xlfn.XLOOKUP($E30,'Løp 29'!$E$10:$E$95,'Løp 29'!$L$10:$L$95,0)</f>
        <v>1.6124131944444443E-2</v>
      </c>
    </row>
    <row r="31" spans="2:105" ht="26" thickBot="1" x14ac:dyDescent="0.3">
      <c r="B31" s="627">
        <f t="shared" si="0"/>
        <v>22</v>
      </c>
      <c r="C31" s="119" t="s">
        <v>207</v>
      </c>
      <c r="D31" s="620" t="s">
        <v>89</v>
      </c>
      <c r="E31" s="616" t="str">
        <f>_xlfn.CONCAT(C31:D31)</f>
        <v>AnneFuruholt</v>
      </c>
      <c r="F31" s="610"/>
      <c r="G31" s="653">
        <f>COUNTIF(S31:DA31,"&gt;2")/2</f>
        <v>8</v>
      </c>
      <c r="H31" s="852">
        <f>COUNTIF(S31:DA31,"=Løype")+COUNTIF(S31:DA31,"Arr")</f>
        <v>3</v>
      </c>
      <c r="I31" s="610"/>
      <c r="J31" s="632">
        <f>S31+V31+Y31+AB31+AE31+AH31+AK31+AN31+AQ31+AT31+AW31+AZ31+BC31+BF31+BI31+BL31+BO31+BR31+BU31+BX31+CA31+CD31+CG31+CJ31+CM31+CP31+CS31+CV31+CY31</f>
        <v>534</v>
      </c>
      <c r="K31" s="633">
        <f>T31+W31+Z31+AC31+AF31+AI31+AL31+AO31+AR31+AU31+AX31+BA31+BD31+BG31+BJ31+BM31+BP31+BS31+BV31+BY31+CB31+CE31+CH31+CK31+CN31+CQ31+CT31+CW31+CZ31</f>
        <v>595</v>
      </c>
      <c r="L31" s="613"/>
      <c r="M31" s="658">
        <f>IF($G31&gt;0,J31/G31,0)</f>
        <v>66.75</v>
      </c>
      <c r="N31" s="659">
        <f>IF($G31&gt;0,K31/$G31,0)</f>
        <v>74.375</v>
      </c>
      <c r="O31" s="862"/>
      <c r="P31" s="874">
        <f>IF(AND($G31&gt;$Q$3-1,$G31-$H31&gt;0),M31,0)</f>
        <v>66.75</v>
      </c>
      <c r="Q31" s="875">
        <f>IF(AND($G31&gt;$Q$3-1,$G31-$H31&gt;0),N31,0)</f>
        <v>74.375</v>
      </c>
      <c r="R31" s="613"/>
      <c r="S31" s="628">
        <f>_xlfn.XLOOKUP($E31,'Løp 1'!$E$10:$E$90,'Løp 1'!$M$10:$M$90,0)</f>
        <v>0</v>
      </c>
      <c r="T31" s="629">
        <f>_xlfn.XLOOKUP($E31,'Løp 1'!$E$10:$E$90,'Løp 1'!$O$10:$O$90,0)</f>
        <v>0</v>
      </c>
      <c r="U31" s="629">
        <f>_xlfn.XLOOKUP($E31,'Løp 1'!$E$10:$E$90,'Løp 1'!$L$10:$L$90,0)</f>
        <v>0</v>
      </c>
      <c r="V31" s="628">
        <f>_xlfn.XLOOKUP($E31,'Løp 2'!$E$10:$E$90,'Løp 2'!$M$10:$M$90,0)</f>
        <v>0</v>
      </c>
      <c r="W31" s="629">
        <f>_xlfn.XLOOKUP($E31,'Løp 2'!$E$10:$E$90,'Løp 2'!$O$10:$O$90,0)</f>
        <v>0</v>
      </c>
      <c r="X31" s="629">
        <f>_xlfn.XLOOKUP($E31,'Løp 2'!$E$10:$E$90,'Løp 2'!$L$10:$L$90,0)</f>
        <v>0</v>
      </c>
      <c r="Y31" s="628">
        <f>_xlfn.XLOOKUP($E31,'Løp 3'!$E$10:$E$90,'Løp 3'!$M$10:$M$90,0)</f>
        <v>0</v>
      </c>
      <c r="Z31" s="629">
        <f>_xlfn.XLOOKUP($E31,'Løp 3'!$E$10:$E$90,'Løp 3'!$O$10:$O$90,0)</f>
        <v>0</v>
      </c>
      <c r="AA31" s="629">
        <f>_xlfn.XLOOKUP($E31,'Løp 3'!$E$10:$E$90,'Løp 3'!$L$10:$L$90,0)</f>
        <v>0</v>
      </c>
      <c r="AB31" s="628">
        <f>_xlfn.XLOOKUP($E31,'Løp 4'!$E$10:$E$90,'Løp 4'!$M$10:$M$90,0)</f>
        <v>0</v>
      </c>
      <c r="AC31" s="629">
        <f>_xlfn.XLOOKUP($E31,'Løp 4'!$E$10:$E$90,'Løp 4'!$O$10:$O$90,0)</f>
        <v>0</v>
      </c>
      <c r="AD31" s="629">
        <f>_xlfn.XLOOKUP($E31,'Løp 4'!$E$10:$E$90,'Løp 4'!$L$10:$L$90,0)</f>
        <v>0</v>
      </c>
      <c r="AE31" s="628">
        <f>_xlfn.XLOOKUP($E31,'Løp 5'!$E$10:$E$90,'Løp 5'!$M$10:$M$90,0)</f>
        <v>0</v>
      </c>
      <c r="AF31" s="629">
        <f>_xlfn.XLOOKUP($E31,'Løp 5'!$E$10:$E$90,'Løp 5'!$O$10:$O$90,0)</f>
        <v>0</v>
      </c>
      <c r="AG31" s="629">
        <f>_xlfn.XLOOKUP($E31,'Løp 5'!$E$10:$E$90,'Løp 5'!$L$10:$L$90,0)</f>
        <v>0</v>
      </c>
      <c r="AH31" s="628">
        <f>_xlfn.XLOOKUP($E31,'Løp 6'!$E$10:$E$90,'Løp 6'!$M$10:$M$90,0)</f>
        <v>0</v>
      </c>
      <c r="AI31" s="629">
        <f>_xlfn.XLOOKUP($E31,'Løp 6'!$E$10:$E$90,'Løp 6'!$O$10:$O$90,0)</f>
        <v>0</v>
      </c>
      <c r="AJ31" s="629">
        <f>_xlfn.XLOOKUP($E31,'Løp 6'!$E$10:$E$90,'Løp 6'!$L$10:$L$90,0)</f>
        <v>0</v>
      </c>
      <c r="AK31" s="628">
        <f>_xlfn.XLOOKUP($E31,'Løp 7'!$E$10:$E$90,'Løp 7'!$M$10:$M$90,0)</f>
        <v>0</v>
      </c>
      <c r="AL31" s="629">
        <f>_xlfn.XLOOKUP($E31,'Løp 7'!$E$10:$E$90,'Løp 7'!$O$10:$O$90,0)</f>
        <v>0</v>
      </c>
      <c r="AM31" s="629">
        <f>_xlfn.XLOOKUP($E31,'Løp 7'!$E$10:$E$90,'Løp 7'!$L$10:$L$90,0)</f>
        <v>0</v>
      </c>
      <c r="AN31" s="628">
        <f>_xlfn.XLOOKUP($E31,'Løp 8'!$E$10:$E$91,'Løp 8'!$M$10:$M$91,0)</f>
        <v>0</v>
      </c>
      <c r="AO31" s="629">
        <f>_xlfn.XLOOKUP($E31,'Løp 8'!$E$10:$E$91,'Løp 8'!$O$10:$O$91,0)</f>
        <v>0</v>
      </c>
      <c r="AP31" s="629">
        <f>_xlfn.XLOOKUP($E31,'Løp 8'!$E$10:$E$91,'Løp 8'!$L$10:$L$91,0)</f>
        <v>0</v>
      </c>
      <c r="AQ31" s="628">
        <f>_xlfn.XLOOKUP($E31,'Løp 9'!$E$10:$E$91,'Løp 9'!$M$10:$M$91,0)</f>
        <v>0</v>
      </c>
      <c r="AR31" s="629">
        <f>_xlfn.XLOOKUP($E31,'Løp 9'!$E$10:$E$91,'Løp 9'!$O$10:$O$91,0)</f>
        <v>0</v>
      </c>
      <c r="AS31" s="629">
        <f>_xlfn.XLOOKUP($E31,'Løp 9'!$E$10:$E$91,'Løp 9'!$L$10:$L$91,0)</f>
        <v>0</v>
      </c>
      <c r="AT31" s="628">
        <f>_xlfn.XLOOKUP($E31,'Løp 10'!$E$10:$E$91,'Løp 10'!$M$10:$M$91,0)</f>
        <v>0</v>
      </c>
      <c r="AU31" s="629">
        <f>_xlfn.XLOOKUP($E31,'Løp 10'!$E$10:$E$91,'Løp 10'!$O$10:$O$91,0)</f>
        <v>0</v>
      </c>
      <c r="AV31" s="629">
        <f>_xlfn.XLOOKUP($E31,'Løp 10'!$E$10:$E$91,'Løp 10'!$L$10:$L$91,0)</f>
        <v>0</v>
      </c>
      <c r="AW31" s="628">
        <f>_xlfn.XLOOKUP($E31,'Løp 11'!$E$10:$E$91,'Løp 11'!$M$10:$M$91,0)</f>
        <v>0</v>
      </c>
      <c r="AX31" s="629">
        <f>_xlfn.XLOOKUP($E31,'Løp 11'!$E$10:$E$91,'Løp 11'!$O$10:$O$91,0)</f>
        <v>0</v>
      </c>
      <c r="AY31" s="629">
        <f>_xlfn.XLOOKUP($E31,'Løp 11'!$E$10:$E$91,'Løp 11'!$L$10:$L$91,0)</f>
        <v>0</v>
      </c>
      <c r="AZ31" s="628">
        <f>_xlfn.XLOOKUP($E31,'Løp 12'!$E$10:$E$91,'Løp 12'!$M$10:$M$91,0)</f>
        <v>50</v>
      </c>
      <c r="BA31" s="629">
        <f>_xlfn.XLOOKUP($E31,'Løp 12'!$E$10:$E$91,'Løp 12'!$O$10:$O$91,0)</f>
        <v>72</v>
      </c>
      <c r="BB31" s="629">
        <f>_xlfn.XLOOKUP($E31,'Løp 12'!$E$10:$E$91,'Løp 12'!$L$10:$L$91,0)</f>
        <v>1.2172067901234568E-2</v>
      </c>
      <c r="BC31" s="628">
        <f>_xlfn.XLOOKUP($E31,'Løp 13'!$E$10:$E$91,'Løp 13'!$M$10:$M$91,0)</f>
        <v>0</v>
      </c>
      <c r="BD31" s="629">
        <f>_xlfn.XLOOKUP($E31,'Løp 13'!$E$10:$E$91,'Løp 13'!$O$10:$O$91,0)</f>
        <v>0</v>
      </c>
      <c r="BE31" s="629">
        <f>_xlfn.XLOOKUP($E31,'Løp 13'!$E$10:$E$91,'Løp 13'!$L$10:$L$91,0)</f>
        <v>0</v>
      </c>
      <c r="BF31" s="628">
        <f>_xlfn.XLOOKUP($E31,'Løp 14'!$E$10:$E$91,'Løp 14'!$M$10:$M$91,0)</f>
        <v>0</v>
      </c>
      <c r="BG31" s="629">
        <f>_xlfn.XLOOKUP($E31,'Løp 14'!$E$10:$E$91,'Løp 14'!$O$10:$O$91,0)</f>
        <v>0</v>
      </c>
      <c r="BH31" s="629">
        <f>_xlfn.XLOOKUP($E31,'Løp 14'!$E$10:$E$91,'Løp 14'!$L$10:$L$91,0)</f>
        <v>0</v>
      </c>
      <c r="BI31" s="628">
        <f>_xlfn.XLOOKUP($E31,'Løp 15'!$E$10:$E$91,'Løp 15'!$M$10:$M$91,0)</f>
        <v>0</v>
      </c>
      <c r="BJ31" s="629">
        <f>_xlfn.XLOOKUP($E31,'Løp 15'!$E$10:$E$91,'Løp 15'!$O$10:$O$91,0)</f>
        <v>0</v>
      </c>
      <c r="BK31" s="629">
        <f>_xlfn.XLOOKUP($E31,'Løp 15'!$E$10:$E$91,'Løp 15'!$L$10:$L$91,0)</f>
        <v>0</v>
      </c>
      <c r="BL31" s="628">
        <f>_xlfn.XLOOKUP($E31,'Løp 16'!$E$10:$E$91,'Løp 16'!$M$10:$M$91,0)</f>
        <v>52</v>
      </c>
      <c r="BM31" s="629">
        <f>_xlfn.XLOOKUP($E31,'Løp 16'!$E$10:$E$91,'Løp 16'!$O$10:$O$91,0)</f>
        <v>80</v>
      </c>
      <c r="BN31" s="629">
        <f>_xlfn.XLOOKUP($E31,'Løp 16'!$E$10:$E$91,'Løp 16'!$L$10:$L$91,0)</f>
        <v>1.3108896940418681E-2</v>
      </c>
      <c r="BO31" s="628">
        <f>_xlfn.XLOOKUP($E31,'Løp 17'!$E$10:$E$91,'Løp 17'!$M$10:$M$91,0)</f>
        <v>0</v>
      </c>
      <c r="BP31" s="629">
        <f>_xlfn.XLOOKUP($E31,'Løp 17'!$E$10:$E$91,'Løp 17'!$O$10:$O$91,0)</f>
        <v>0</v>
      </c>
      <c r="BQ31" s="629">
        <f>_xlfn.XLOOKUP($E31,'Løp 17'!$E$10:$E$91,'Løp 17'!$L$10:$L$91,0)</f>
        <v>0</v>
      </c>
      <c r="BR31" s="628">
        <f>_xlfn.XLOOKUP($E31,'Løp 18'!$E$10:$E$91,'Løp 18'!$M$10:$M$91,0)</f>
        <v>94</v>
      </c>
      <c r="BS31" s="629">
        <f>_xlfn.XLOOKUP($E31,'Løp 18'!$E$10:$E$91,'Løp 18'!$O$10:$O$91,0)</f>
        <v>94</v>
      </c>
      <c r="BT31" s="629" t="str">
        <f>_xlfn.XLOOKUP($E31,'Løp 18'!$E$10:$E$91,'Løp 18'!$L$10:$L$91,0)</f>
        <v>Arr</v>
      </c>
      <c r="BU31" s="628">
        <f>_xlfn.XLOOKUP($E31,'Løp 19'!$E$10:$E$91,'Løp 19'!$M$10:$M$91,0)</f>
        <v>0</v>
      </c>
      <c r="BV31" s="629">
        <f>_xlfn.XLOOKUP($E31,'Løp 19'!$E$10:$E$91,'Løp 19'!$O$10:$O$91,0)</f>
        <v>0</v>
      </c>
      <c r="BW31" s="629">
        <f>_xlfn.XLOOKUP($E31,'Løp 19'!$E$10:$E$91,'Løp 19'!$L$10:$L$91,0)</f>
        <v>0</v>
      </c>
      <c r="BX31" s="628">
        <f>_xlfn.XLOOKUP($E31,'Løp 20'!$E$10:$E$92,'Løp 20'!$M$10:$M$92,0)</f>
        <v>0</v>
      </c>
      <c r="BY31" s="629">
        <f>_xlfn.XLOOKUP($E31,'Løp 20'!$E$10:$E$92,'Løp 20'!$O$10:$O$92,0)</f>
        <v>0</v>
      </c>
      <c r="BZ31" s="629">
        <f>_xlfn.XLOOKUP($E31,'Løp 20'!$E$10:$E$92,'Løp 20'!$L$10:$L$92,0)</f>
        <v>0</v>
      </c>
      <c r="CA31" s="628">
        <f>_xlfn.XLOOKUP($E31,'Løp 21'!$E$10:$E$93,'Løp 21'!$M$10:$M$93,0)</f>
        <v>0</v>
      </c>
      <c r="CB31" s="629">
        <f>_xlfn.XLOOKUP($E31,'Løp 21'!$E$10:$E$93,'Løp 21'!$O$10:$O$93,0)</f>
        <v>0</v>
      </c>
      <c r="CC31" s="629">
        <f>_xlfn.XLOOKUP($E31,'Løp 21'!$E$10:$E$93,'Løp 21'!$L$10:$L$93,0)</f>
        <v>0</v>
      </c>
      <c r="CD31" s="628">
        <f>_xlfn.XLOOKUP($E31,'Løp 22'!$E$10:$E$93,'Løp 22'!$M$10:$M$93,0)</f>
        <v>0</v>
      </c>
      <c r="CE31" s="629">
        <f>_xlfn.XLOOKUP($E31,'Løp 22'!$E$10:$E$93,'Løp 22'!$O$10:$O$93,0)</f>
        <v>0</v>
      </c>
      <c r="CF31" s="629">
        <f>_xlfn.XLOOKUP($E31,'Løp 22'!$E$10:$E$93,'Løp 22'!$L$10:$L$93,0)</f>
        <v>0</v>
      </c>
      <c r="CG31" s="628">
        <f>_xlfn.XLOOKUP($E31,'Løp 23'!$E$10:$E$93,'Løp 23'!$M$10:$M$93,0)</f>
        <v>50</v>
      </c>
      <c r="CH31" s="629">
        <f>_xlfn.XLOOKUP($E31,'Løp 23'!$E$10:$E$93,'Løp 23'!$O$10:$O$93,0)</f>
        <v>50</v>
      </c>
      <c r="CI31" s="629" t="str">
        <f>_xlfn.XLOOKUP($E31,'Løp 23'!$E$10:$E$93,'Løp 23'!$L$10:$L$93,0)</f>
        <v>Disk</v>
      </c>
      <c r="CJ31" s="628">
        <f>_xlfn.XLOOKUP($E31,'Løp 24'!$E$10:$E$93,'Løp 24'!$M$10:$M$93,0)</f>
        <v>50</v>
      </c>
      <c r="CK31" s="629">
        <f>_xlfn.XLOOKUP($E31,'Løp 24'!$E$10:$E$93,'Løp 24'!$O$10:$O$93,0)</f>
        <v>61</v>
      </c>
      <c r="CL31" s="629">
        <f>_xlfn.XLOOKUP($E31,'Løp 24'!$E$10:$E$93,'Løp 24'!$L$10:$L$93,0)</f>
        <v>1.088489057239057E-2</v>
      </c>
      <c r="CM31" s="628">
        <f>_xlfn.XLOOKUP($E31,'Løp 25'!$E$10:$E$94,'Løp 25'!$M$10:$M$94,0)</f>
        <v>0</v>
      </c>
      <c r="CN31" s="629">
        <f>_xlfn.XLOOKUP($E31,'Løp 25'!$E$10:$E$94,'Løp 25'!$O$10:$O$94,0)</f>
        <v>0</v>
      </c>
      <c r="CO31" s="629">
        <f>_xlfn.XLOOKUP($E31,'Løp 25'!$E$10:$E$94,'Løp 25'!$L$10:$L$94,0)</f>
        <v>0</v>
      </c>
      <c r="CP31" s="628">
        <f>_xlfn.XLOOKUP($E31,'Løp 26'!$E$10:$E$94,'Løp 26'!$M$10:$M$94,0)</f>
        <v>94</v>
      </c>
      <c r="CQ31" s="629">
        <f>_xlfn.XLOOKUP($E31,'Løp 26'!$E$10:$E$94,'Løp 26'!$O$10:$O$94,0)</f>
        <v>94</v>
      </c>
      <c r="CR31" s="629" t="str">
        <f>_xlfn.XLOOKUP($E31,'Løp 26'!$E$10:$E$94,'Løp 26'!$L$10:$L$94,0)</f>
        <v>Arr</v>
      </c>
      <c r="CS31" s="628">
        <f>_xlfn.XLOOKUP($E31,'Løp 27'!$E$10:$E$94,'Løp 27'!$M$10:$M$94,0)</f>
        <v>0</v>
      </c>
      <c r="CT31" s="629">
        <f>_xlfn.XLOOKUP($E31,'Løp 27'!$E$10:$E$94,'Løp 27'!$O$10:$O$94,0)</f>
        <v>0</v>
      </c>
      <c r="CU31" s="629">
        <f>_xlfn.XLOOKUP($E31,'Løp 27'!$E$10:$E$94,'Løp 27'!$L$10:$L$94,0)</f>
        <v>0</v>
      </c>
      <c r="CV31" s="628">
        <f>_xlfn.XLOOKUP($E31,'Løp 28'!$E$10:$E$95,'Løp 28'!$M$10:$M$95,0)</f>
        <v>94</v>
      </c>
      <c r="CW31" s="629">
        <f>_xlfn.XLOOKUP($E31,'Løp 28'!$E$10:$E$95,'Løp 28'!$O$10:$O$95,0)</f>
        <v>94</v>
      </c>
      <c r="CX31" s="629" t="str">
        <f>_xlfn.XLOOKUP($E31,'Løp 28'!$E$10:$E$95,'Løp 28'!$L$10:$L$95,0)</f>
        <v>Arr</v>
      </c>
      <c r="CY31" s="628">
        <f>_xlfn.XLOOKUP($E31,'Løp 29'!$E$10:$E$95,'Løp 29'!$M$10:$M$95,0)</f>
        <v>50</v>
      </c>
      <c r="CZ31" s="629">
        <f>_xlfn.XLOOKUP($E31,'Løp 29'!$E$10:$E$95,'Løp 29'!$O$10:$O$95,0)</f>
        <v>50</v>
      </c>
      <c r="DA31" s="629">
        <f>_xlfn.XLOOKUP($E31,'Løp 29'!$E$10:$E$95,'Løp 29'!$L$10:$L$95,0)</f>
        <v>2.5506365740740739E-2</v>
      </c>
    </row>
    <row r="32" spans="2:105" ht="26" thickBot="1" x14ac:dyDescent="0.3">
      <c r="B32" s="627">
        <f t="shared" si="0"/>
        <v>23</v>
      </c>
      <c r="C32" s="119" t="s">
        <v>122</v>
      </c>
      <c r="D32" s="620" t="s">
        <v>123</v>
      </c>
      <c r="E32" s="616" t="str">
        <f>_xlfn.CONCAT(C32:D32)</f>
        <v>MartinMelhuus</v>
      </c>
      <c r="F32" s="610"/>
      <c r="G32" s="653">
        <f>COUNTIF(S32:DA32,"&gt;2")/2</f>
        <v>24</v>
      </c>
      <c r="H32" s="852">
        <f>COUNTIF(S32:DA32,"=Løype")+COUNTIF(S32:DA32,"Arr")</f>
        <v>1</v>
      </c>
      <c r="I32" s="610"/>
      <c r="J32" s="632">
        <f>S32+V32+Y32+AB32+AE32+AH32+AK32+AN32+AQ32+AT32+AW32+AZ32+BC32+BF32+BI32+BL32+BO32+BR32+BU32+BX32+CA32+CD32+CG32+CJ32+CM32+CP32+CS32+CV32+CY32</f>
        <v>1485</v>
      </c>
      <c r="K32" s="633">
        <f>T32+W32+Z32+AC32+AF32+AI32+AL32+AO32+AR32+AU32+AX32+BA32+BD32+BG32+BJ32+BM32+BP32+BS32+BV32+BY32+CB32+CE32+CH32+CK32+CN32+CQ32+CT32+CW32+CZ32</f>
        <v>1751</v>
      </c>
      <c r="L32" s="613"/>
      <c r="M32" s="658">
        <f>IF($G32&gt;0,J32/G32,0)</f>
        <v>61.875</v>
      </c>
      <c r="N32" s="659">
        <f>IF($G32&gt;0,K32/$G32,0)</f>
        <v>72.958333333333329</v>
      </c>
      <c r="O32" s="862"/>
      <c r="P32" s="874">
        <f>IF(AND($G32&gt;$Q$3-1,$G32-$H32&gt;0),M32,0)</f>
        <v>61.875</v>
      </c>
      <c r="Q32" s="875">
        <f>IF(AND($G32&gt;$Q$3-1,$G32-$H32&gt;0),N32,0)</f>
        <v>72.958333333333329</v>
      </c>
      <c r="R32" s="613"/>
      <c r="S32" s="628">
        <f>_xlfn.XLOOKUP($E32,'Løp 1'!$E$10:$E$90,'Løp 1'!$M$10:$M$90,0)</f>
        <v>100</v>
      </c>
      <c r="T32" s="629">
        <f>_xlfn.XLOOKUP($E32,'Løp 1'!$E$10:$E$90,'Løp 1'!$O$10:$O$90,0)</f>
        <v>100</v>
      </c>
      <c r="U32" s="629" t="str">
        <f>_xlfn.XLOOKUP($E32,'Løp 1'!$E$10:$E$90,'Løp 1'!$L$10:$L$90,0)</f>
        <v>Løype</v>
      </c>
      <c r="V32" s="628">
        <f>_xlfn.XLOOKUP($E32,'Løp 2'!$E$10:$E$90,'Løp 2'!$M$10:$M$90,0)</f>
        <v>55</v>
      </c>
      <c r="W32" s="629">
        <f>_xlfn.XLOOKUP($E32,'Løp 2'!$E$10:$E$90,'Løp 2'!$O$10:$O$90,0)</f>
        <v>58</v>
      </c>
      <c r="X32" s="629">
        <f>_xlfn.XLOOKUP($E32,'Løp 2'!$E$10:$E$90,'Løp 2'!$L$10:$L$90,0)</f>
        <v>1.6087962962962964E-2</v>
      </c>
      <c r="Y32" s="628">
        <f>_xlfn.XLOOKUP($E32,'Løp 3'!$E$10:$E$90,'Løp 3'!$M$10:$M$90,0)</f>
        <v>71</v>
      </c>
      <c r="Z32" s="629">
        <f>_xlfn.XLOOKUP($E32,'Løp 3'!$E$10:$E$90,'Løp 3'!$O$10:$O$90,0)</f>
        <v>83</v>
      </c>
      <c r="AA32" s="629">
        <f>_xlfn.XLOOKUP($E32,'Løp 3'!$E$10:$E$90,'Løp 3'!$L$10:$L$90,0)</f>
        <v>1.2725970017636683E-2</v>
      </c>
      <c r="AB32" s="628">
        <f>_xlfn.XLOOKUP($E32,'Løp 4'!$E$10:$E$90,'Løp 4'!$M$10:$M$90,0)</f>
        <v>56</v>
      </c>
      <c r="AC32" s="629">
        <f>_xlfn.XLOOKUP($E32,'Løp 4'!$E$10:$E$90,'Løp 4'!$O$10:$O$90,0)</f>
        <v>73</v>
      </c>
      <c r="AD32" s="629">
        <f>_xlfn.XLOOKUP($E32,'Løp 4'!$E$10:$E$90,'Løp 4'!$L$10:$L$90,0)</f>
        <v>1.2399355877616749E-2</v>
      </c>
      <c r="AE32" s="628">
        <f>_xlfn.XLOOKUP($E32,'Løp 5'!$E$10:$E$90,'Løp 5'!$M$10:$M$90,0)</f>
        <v>50</v>
      </c>
      <c r="AF32" s="629">
        <f>_xlfn.XLOOKUP($E32,'Løp 5'!$E$10:$E$90,'Løp 5'!$O$10:$O$90,0)</f>
        <v>50</v>
      </c>
      <c r="AG32" s="629">
        <f>_xlfn.XLOOKUP($E32,'Løp 5'!$E$10:$E$90,'Løp 5'!$L$10:$L$90,0)</f>
        <v>1.7758969907407406E-2</v>
      </c>
      <c r="AH32" s="628">
        <f>_xlfn.XLOOKUP($E32,'Løp 6'!$E$10:$E$90,'Løp 6'!$M$10:$M$90,0)</f>
        <v>65</v>
      </c>
      <c r="AI32" s="629">
        <f>_xlfn.XLOOKUP($E32,'Løp 6'!$E$10:$E$90,'Løp 6'!$O$10:$O$90,0)</f>
        <v>81</v>
      </c>
      <c r="AJ32" s="629">
        <f>_xlfn.XLOOKUP($E32,'Løp 6'!$E$10:$E$90,'Løp 6'!$L$10:$L$90,0)</f>
        <v>1.1982570806100219E-2</v>
      </c>
      <c r="AK32" s="628">
        <f>_xlfn.XLOOKUP($E32,'Løp 7'!$E$10:$E$90,'Løp 7'!$M$10:$M$90,0)</f>
        <v>0</v>
      </c>
      <c r="AL32" s="629">
        <f>_xlfn.XLOOKUP($E32,'Løp 7'!$E$10:$E$90,'Løp 7'!$O$10:$O$90,0)</f>
        <v>0</v>
      </c>
      <c r="AM32" s="629">
        <f>_xlfn.XLOOKUP($E32,'Løp 7'!$E$10:$E$90,'Løp 7'!$L$10:$L$90,0)</f>
        <v>0</v>
      </c>
      <c r="AN32" s="628">
        <f>_xlfn.XLOOKUP($E32,'Løp 8'!$E$10:$E$91,'Løp 8'!$M$10:$M$91,0)</f>
        <v>0</v>
      </c>
      <c r="AO32" s="629">
        <f>_xlfn.XLOOKUP($E32,'Løp 8'!$E$10:$E$91,'Løp 8'!$O$10:$O$91,0)</f>
        <v>0</v>
      </c>
      <c r="AP32" s="629">
        <f>_xlfn.XLOOKUP($E32,'Løp 8'!$E$10:$E$91,'Løp 8'!$L$10:$L$91,0)</f>
        <v>0</v>
      </c>
      <c r="AQ32" s="628">
        <f>_xlfn.XLOOKUP($E32,'Løp 9'!$E$10:$E$91,'Løp 9'!$M$10:$M$91,0)</f>
        <v>73</v>
      </c>
      <c r="AR32" s="629">
        <f>_xlfn.XLOOKUP($E32,'Løp 9'!$E$10:$E$91,'Løp 9'!$O$10:$O$91,0)</f>
        <v>79</v>
      </c>
      <c r="AS32" s="629">
        <f>_xlfn.XLOOKUP($E32,'Løp 9'!$E$10:$E$91,'Løp 9'!$L$10:$L$91,0)</f>
        <v>9.3118686868686861E-3</v>
      </c>
      <c r="AT32" s="628">
        <f>_xlfn.XLOOKUP($E32,'Løp 10'!$E$10:$E$91,'Løp 10'!$M$10:$M$91,0)</f>
        <v>60</v>
      </c>
      <c r="AU32" s="629">
        <f>_xlfn.XLOOKUP($E32,'Løp 10'!$E$10:$E$91,'Løp 10'!$O$10:$O$91,0)</f>
        <v>73</v>
      </c>
      <c r="AV32" s="629">
        <f>_xlfn.XLOOKUP($E32,'Løp 10'!$E$10:$E$91,'Løp 10'!$L$10:$L$91,0)</f>
        <v>1.2369791666666666E-2</v>
      </c>
      <c r="AW32" s="628">
        <f>_xlfn.XLOOKUP($E32,'Løp 11'!$E$10:$E$91,'Løp 11'!$M$10:$M$91,0)</f>
        <v>67</v>
      </c>
      <c r="AX32" s="629">
        <f>_xlfn.XLOOKUP($E32,'Løp 11'!$E$10:$E$91,'Løp 11'!$O$10:$O$91,0)</f>
        <v>83</v>
      </c>
      <c r="AY32" s="629">
        <f>_xlfn.XLOOKUP($E32,'Løp 11'!$E$10:$E$91,'Løp 11'!$L$10:$L$91,0)</f>
        <v>1.0879629629629628E-2</v>
      </c>
      <c r="AZ32" s="628">
        <f>_xlfn.XLOOKUP($E32,'Løp 12'!$E$10:$E$91,'Løp 12'!$M$10:$M$91,0)</f>
        <v>53</v>
      </c>
      <c r="BA32" s="629">
        <f>_xlfn.XLOOKUP($E32,'Løp 12'!$E$10:$E$91,'Løp 12'!$O$10:$O$91,0)</f>
        <v>69</v>
      </c>
      <c r="BB32" s="629">
        <f>_xlfn.XLOOKUP($E32,'Løp 12'!$E$10:$E$91,'Løp 12'!$L$10:$L$91,0)</f>
        <v>1.0493827160493827E-2</v>
      </c>
      <c r="BC32" s="628">
        <f>_xlfn.XLOOKUP($E32,'Løp 13'!$E$10:$E$91,'Løp 13'!$M$10:$M$91,0)</f>
        <v>55</v>
      </c>
      <c r="BD32" s="629">
        <f>_xlfn.XLOOKUP($E32,'Løp 13'!$E$10:$E$91,'Løp 13'!$O$10:$O$91,0)</f>
        <v>79</v>
      </c>
      <c r="BE32" s="629">
        <f>_xlfn.XLOOKUP($E32,'Løp 13'!$E$10:$E$91,'Løp 13'!$L$10:$L$91,0)</f>
        <v>9.8090277777777776E-3</v>
      </c>
      <c r="BF32" s="628">
        <f>_xlfn.XLOOKUP($E32,'Løp 14'!$E$10:$E$91,'Løp 14'!$M$10:$M$91,0)</f>
        <v>66</v>
      </c>
      <c r="BG32" s="629">
        <f>_xlfn.XLOOKUP($E32,'Løp 14'!$E$10:$E$91,'Løp 14'!$O$10:$O$91,0)</f>
        <v>82</v>
      </c>
      <c r="BH32" s="629">
        <f>_xlfn.XLOOKUP($E32,'Løp 14'!$E$10:$E$91,'Løp 14'!$L$10:$L$91,0)</f>
        <v>9.4560185185185181E-3</v>
      </c>
      <c r="BI32" s="628">
        <f>_xlfn.XLOOKUP($E32,'Løp 15'!$E$10:$E$91,'Løp 15'!$M$10:$M$91,0)</f>
        <v>59</v>
      </c>
      <c r="BJ32" s="629">
        <f>_xlfn.XLOOKUP($E32,'Løp 15'!$E$10:$E$91,'Løp 15'!$O$10:$O$91,0)</f>
        <v>66</v>
      </c>
      <c r="BK32" s="629">
        <f>_xlfn.XLOOKUP($E32,'Løp 15'!$E$10:$E$91,'Løp 15'!$L$10:$L$91,0)</f>
        <v>1.4550264550264549E-2</v>
      </c>
      <c r="BL32" s="628">
        <f>_xlfn.XLOOKUP($E32,'Løp 16'!$E$10:$E$91,'Løp 16'!$M$10:$M$91,0)</f>
        <v>0</v>
      </c>
      <c r="BM32" s="629">
        <f>_xlfn.XLOOKUP($E32,'Løp 16'!$E$10:$E$91,'Løp 16'!$O$10:$O$91,0)</f>
        <v>0</v>
      </c>
      <c r="BN32" s="629">
        <f>_xlfn.XLOOKUP($E32,'Løp 16'!$E$10:$E$91,'Løp 16'!$L$10:$L$91,0)</f>
        <v>0</v>
      </c>
      <c r="BO32" s="628">
        <f>_xlfn.XLOOKUP($E32,'Løp 17'!$E$10:$E$91,'Løp 17'!$M$10:$M$91,0)</f>
        <v>50</v>
      </c>
      <c r="BP32" s="629">
        <f>_xlfn.XLOOKUP($E32,'Løp 17'!$E$10:$E$91,'Løp 17'!$O$10:$O$91,0)</f>
        <v>63</v>
      </c>
      <c r="BQ32" s="629">
        <f>_xlfn.XLOOKUP($E32,'Løp 17'!$E$10:$E$91,'Løp 17'!$L$10:$L$91,0)</f>
        <v>1.2859405458089668E-2</v>
      </c>
      <c r="BR32" s="628">
        <f>_xlfn.XLOOKUP($E32,'Løp 18'!$E$10:$E$91,'Løp 18'!$M$10:$M$91,0)</f>
        <v>69</v>
      </c>
      <c r="BS32" s="629">
        <f>_xlfn.XLOOKUP($E32,'Løp 18'!$E$10:$E$91,'Løp 18'!$O$10:$O$91,0)</f>
        <v>81</v>
      </c>
      <c r="BT32" s="629">
        <f>_xlfn.XLOOKUP($E32,'Løp 18'!$E$10:$E$91,'Løp 18'!$L$10:$L$91,0)</f>
        <v>1.0451388888888889E-2</v>
      </c>
      <c r="BU32" s="628">
        <f>_xlfn.XLOOKUP($E32,'Løp 19'!$E$10:$E$91,'Løp 19'!$M$10:$M$91,0)</f>
        <v>65</v>
      </c>
      <c r="BV32" s="629">
        <f>_xlfn.XLOOKUP($E32,'Løp 19'!$E$10:$E$91,'Løp 19'!$O$10:$O$91,0)</f>
        <v>77</v>
      </c>
      <c r="BW32" s="629">
        <f>_xlfn.XLOOKUP($E32,'Løp 19'!$E$10:$E$91,'Løp 19'!$L$10:$L$91,0)</f>
        <v>1.2602880658436214E-2</v>
      </c>
      <c r="BX32" s="628">
        <f>_xlfn.XLOOKUP($E32,'Løp 20'!$E$10:$E$92,'Løp 20'!$M$10:$M$92,0)</f>
        <v>50</v>
      </c>
      <c r="BY32" s="629">
        <f>_xlfn.XLOOKUP($E32,'Løp 20'!$E$10:$E$92,'Løp 20'!$O$10:$O$92,0)</f>
        <v>50</v>
      </c>
      <c r="BZ32" s="629" t="str">
        <f>_xlfn.XLOOKUP($E32,'Løp 20'!$E$10:$E$92,'Løp 20'!$L$10:$L$92,0)</f>
        <v>Disk</v>
      </c>
      <c r="CA32" s="628">
        <f>_xlfn.XLOOKUP($E32,'Løp 21'!$E$10:$E$93,'Løp 21'!$M$10:$M$93,0)</f>
        <v>59</v>
      </c>
      <c r="CB32" s="629">
        <f>_xlfn.XLOOKUP($E32,'Løp 21'!$E$10:$E$93,'Løp 21'!$O$10:$O$93,0)</f>
        <v>74</v>
      </c>
      <c r="CC32" s="629">
        <f>_xlfn.XLOOKUP($E32,'Løp 21'!$E$10:$E$93,'Løp 21'!$L$10:$L$93,0)</f>
        <v>1.0361312399355879E-2</v>
      </c>
      <c r="CD32" s="628">
        <f>_xlfn.XLOOKUP($E32,'Løp 22'!$E$10:$E$93,'Løp 22'!$M$10:$M$93,0)</f>
        <v>75</v>
      </c>
      <c r="CE32" s="629">
        <f>_xlfn.XLOOKUP($E32,'Løp 22'!$E$10:$E$93,'Løp 22'!$O$10:$O$93,0)</f>
        <v>93</v>
      </c>
      <c r="CF32" s="629">
        <f>_xlfn.XLOOKUP($E32,'Løp 22'!$E$10:$E$93,'Løp 22'!$L$10:$L$93,0)</f>
        <v>9.2592592592592587E-3</v>
      </c>
      <c r="CG32" s="628">
        <f>_xlfn.XLOOKUP($E32,'Løp 23'!$E$10:$E$93,'Løp 23'!$M$10:$M$93,0)</f>
        <v>50</v>
      </c>
      <c r="CH32" s="629">
        <f>_xlfn.XLOOKUP($E32,'Løp 23'!$E$10:$E$93,'Løp 23'!$O$10:$O$93,0)</f>
        <v>50</v>
      </c>
      <c r="CI32" s="629" t="str">
        <f>_xlfn.XLOOKUP($E32,'Løp 23'!$E$10:$E$93,'Løp 23'!$L$10:$L$93,0)</f>
        <v>Disk</v>
      </c>
      <c r="CJ32" s="628">
        <f>_xlfn.XLOOKUP($E32,'Løp 24'!$E$10:$E$93,'Løp 24'!$M$10:$M$93,0)</f>
        <v>59</v>
      </c>
      <c r="CK32" s="629">
        <f>_xlfn.XLOOKUP($E32,'Løp 24'!$E$10:$E$93,'Løp 24'!$O$10:$O$93,0)</f>
        <v>62</v>
      </c>
      <c r="CL32" s="629">
        <f>_xlfn.XLOOKUP($E32,'Løp 24'!$E$10:$E$93,'Løp 24'!$L$10:$L$93,0)</f>
        <v>9.0119949494949485E-3</v>
      </c>
      <c r="CM32" s="628">
        <f>_xlfn.XLOOKUP($E32,'Løp 25'!$E$10:$E$94,'Løp 25'!$M$10:$M$94,0)</f>
        <v>62</v>
      </c>
      <c r="CN32" s="629">
        <f>_xlfn.XLOOKUP($E32,'Løp 25'!$E$10:$E$94,'Løp 25'!$O$10:$O$94,0)</f>
        <v>77</v>
      </c>
      <c r="CO32" s="629">
        <f>_xlfn.XLOOKUP($E32,'Løp 25'!$E$10:$E$94,'Løp 25'!$L$10:$L$94,0)</f>
        <v>1.1625514403292179E-2</v>
      </c>
      <c r="CP32" s="628">
        <f>_xlfn.XLOOKUP($E32,'Løp 26'!$E$10:$E$94,'Løp 26'!$M$10:$M$94,0)</f>
        <v>0</v>
      </c>
      <c r="CQ32" s="629">
        <f>_xlfn.XLOOKUP($E32,'Løp 26'!$E$10:$E$94,'Løp 26'!$O$10:$O$94,0)</f>
        <v>0</v>
      </c>
      <c r="CR32" s="629">
        <f>_xlfn.XLOOKUP($E32,'Løp 26'!$E$10:$E$94,'Løp 26'!$L$10:$L$94,0)</f>
        <v>0</v>
      </c>
      <c r="CS32" s="628">
        <f>_xlfn.XLOOKUP($E32,'Løp 27'!$E$10:$E$94,'Løp 27'!$M$10:$M$94,0)</f>
        <v>0</v>
      </c>
      <c r="CT32" s="629">
        <f>_xlfn.XLOOKUP($E32,'Løp 27'!$E$10:$E$94,'Løp 27'!$O$10:$O$94,0)</f>
        <v>0</v>
      </c>
      <c r="CU32" s="629">
        <f>_xlfn.XLOOKUP($E32,'Løp 27'!$E$10:$E$94,'Løp 27'!$L$10:$L$94,0)</f>
        <v>0</v>
      </c>
      <c r="CV32" s="628">
        <f>_xlfn.XLOOKUP($E32,'Løp 28'!$E$10:$E$95,'Løp 28'!$M$10:$M$95,0)</f>
        <v>51</v>
      </c>
      <c r="CW32" s="629">
        <f>_xlfn.XLOOKUP($E32,'Løp 28'!$E$10:$E$95,'Løp 28'!$O$10:$O$95,0)</f>
        <v>67</v>
      </c>
      <c r="CX32" s="629">
        <f>_xlfn.XLOOKUP($E32,'Løp 28'!$E$10:$E$95,'Løp 28'!$L$10:$L$95,0)</f>
        <v>1.3096064814814816E-2</v>
      </c>
      <c r="CY32" s="628">
        <f>_xlfn.XLOOKUP($E32,'Løp 29'!$E$10:$E$95,'Løp 29'!$M$10:$M$95,0)</f>
        <v>65</v>
      </c>
      <c r="CZ32" s="629">
        <f>_xlfn.XLOOKUP($E32,'Løp 29'!$E$10:$E$95,'Løp 29'!$O$10:$O$95,0)</f>
        <v>81</v>
      </c>
      <c r="DA32" s="629">
        <f>_xlfn.XLOOKUP($E32,'Løp 29'!$E$10:$E$95,'Løp 29'!$L$10:$L$95,0)</f>
        <v>1.1226851851851851E-2</v>
      </c>
    </row>
    <row r="33" spans="2:105" ht="26" thickBot="1" x14ac:dyDescent="0.3">
      <c r="B33" s="627">
        <f t="shared" si="0"/>
        <v>24</v>
      </c>
      <c r="C33" s="119" t="s">
        <v>163</v>
      </c>
      <c r="D33" s="620" t="s">
        <v>164</v>
      </c>
      <c r="E33" s="616" t="str">
        <f>_xlfn.CONCAT(C33:D33)</f>
        <v>ArnulfVilmo</v>
      </c>
      <c r="F33" s="610"/>
      <c r="G33" s="653">
        <f>COUNTIF(S33:DA33,"&gt;2")/2</f>
        <v>24</v>
      </c>
      <c r="H33" s="852">
        <f>COUNTIF(S33:DA33,"=Løype")+COUNTIF(S33:DA33,"Arr")</f>
        <v>2</v>
      </c>
      <c r="I33" s="610"/>
      <c r="J33" s="632">
        <f>S33+V33+Y33+AB33+AE33+AH33+AK33+AN33+AQ33+AT33+AW33+AZ33+BC33+BF33+BI33+BL33+BO33+BR33+BU33+BX33+CA33+CD33+CG33+CJ33+CM33+CP33+CS33+CV33+CY33</f>
        <v>1857</v>
      </c>
      <c r="K33" s="633">
        <f>T33+W33+Z33+AC33+AF33+AI33+AL33+AO33+AR33+AU33+AX33+BA33+BD33+BG33+BJ33+BM33+BP33+BS33+BV33+BY33+CB33+CE33+CH33+CK33+CN33+CQ33+CT33+CW33+CZ33</f>
        <v>1746</v>
      </c>
      <c r="L33" s="613"/>
      <c r="M33" s="658">
        <f>IF($G33&gt;0,J33/G33,0)</f>
        <v>77.375</v>
      </c>
      <c r="N33" s="659">
        <f>IF($G33&gt;0,K33/$G33,0)</f>
        <v>72.75</v>
      </c>
      <c r="O33" s="862"/>
      <c r="P33" s="874">
        <f>IF(AND($G33&gt;$Q$3-1,$G33-$H33&gt;0),M33,0)</f>
        <v>77.375</v>
      </c>
      <c r="Q33" s="875">
        <f>IF(AND($G33&gt;$Q$3-1,$G33-$H33&gt;0),N33,0)</f>
        <v>72.75</v>
      </c>
      <c r="R33" s="613"/>
      <c r="S33" s="628">
        <f>_xlfn.XLOOKUP($E33,'Løp 1'!$E$10:$E$90,'Løp 1'!$M$10:$M$90,0)</f>
        <v>72</v>
      </c>
      <c r="T33" s="629">
        <f>_xlfn.XLOOKUP($E33,'Løp 1'!$E$10:$E$90,'Løp 1'!$O$10:$O$90,0)</f>
        <v>71</v>
      </c>
      <c r="U33" s="629">
        <f>_xlfn.XLOOKUP($E33,'Løp 1'!$E$10:$E$90,'Løp 1'!$L$10:$L$90,0)</f>
        <v>1.1162994891443168E-2</v>
      </c>
      <c r="V33" s="628">
        <f>_xlfn.XLOOKUP($E33,'Løp 2'!$E$10:$E$90,'Løp 2'!$M$10:$M$90,0)</f>
        <v>68</v>
      </c>
      <c r="W33" s="629">
        <f>_xlfn.XLOOKUP($E33,'Løp 2'!$E$10:$E$90,'Løp 2'!$O$10:$O$90,0)</f>
        <v>55</v>
      </c>
      <c r="X33" s="629">
        <f>_xlfn.XLOOKUP($E33,'Løp 2'!$E$10:$E$90,'Løp 2'!$L$10:$L$90,0)</f>
        <v>1.3120039682539683E-2</v>
      </c>
      <c r="Y33" s="628">
        <f>_xlfn.XLOOKUP($E33,'Løp 3'!$E$10:$E$90,'Løp 3'!$M$10:$M$90,0)</f>
        <v>0</v>
      </c>
      <c r="Z33" s="629">
        <f>_xlfn.XLOOKUP($E33,'Løp 3'!$E$10:$E$90,'Løp 3'!$O$10:$O$90,0)</f>
        <v>0</v>
      </c>
      <c r="AA33" s="629">
        <f>_xlfn.XLOOKUP($E33,'Løp 3'!$E$10:$E$90,'Løp 3'!$L$10:$L$90,0)</f>
        <v>0</v>
      </c>
      <c r="AB33" s="628">
        <f>_xlfn.XLOOKUP($E33,'Løp 4'!$E$10:$E$90,'Løp 4'!$M$10:$M$90,0)</f>
        <v>76</v>
      </c>
      <c r="AC33" s="629">
        <f>_xlfn.XLOOKUP($E33,'Løp 4'!$E$10:$E$90,'Løp 4'!$O$10:$O$90,0)</f>
        <v>77</v>
      </c>
      <c r="AD33" s="629">
        <f>_xlfn.XLOOKUP($E33,'Løp 4'!$E$10:$E$90,'Løp 4'!$L$10:$L$90,0)</f>
        <v>9.1898148148148156E-3</v>
      </c>
      <c r="AE33" s="628">
        <f>_xlfn.XLOOKUP($E33,'Løp 5'!$E$10:$E$90,'Løp 5'!$M$10:$M$90,0)</f>
        <v>65</v>
      </c>
      <c r="AF33" s="629">
        <f>_xlfn.XLOOKUP($E33,'Løp 5'!$E$10:$E$90,'Løp 5'!$O$10:$O$90,0)</f>
        <v>60</v>
      </c>
      <c r="AG33" s="629">
        <f>_xlfn.XLOOKUP($E33,'Løp 5'!$E$10:$E$90,'Løp 5'!$L$10:$L$90,0)</f>
        <v>1.1063957475994512E-2</v>
      </c>
      <c r="AH33" s="628">
        <f>_xlfn.XLOOKUP($E33,'Løp 6'!$E$10:$E$90,'Løp 6'!$M$10:$M$90,0)</f>
        <v>79</v>
      </c>
      <c r="AI33" s="629">
        <f>_xlfn.XLOOKUP($E33,'Løp 6'!$E$10:$E$90,'Løp 6'!$O$10:$O$90,0)</f>
        <v>75</v>
      </c>
      <c r="AJ33" s="629">
        <f>_xlfn.XLOOKUP($E33,'Løp 6'!$E$10:$E$90,'Løp 6'!$L$10:$L$90,0)</f>
        <v>9.9459876543209879E-3</v>
      </c>
      <c r="AK33" s="628">
        <f>_xlfn.XLOOKUP($E33,'Løp 7'!$E$10:$E$90,'Løp 7'!$M$10:$M$90,0)</f>
        <v>90</v>
      </c>
      <c r="AL33" s="629">
        <f>_xlfn.XLOOKUP($E33,'Løp 7'!$E$10:$E$90,'Løp 7'!$O$10:$O$90,0)</f>
        <v>70</v>
      </c>
      <c r="AM33" s="629">
        <f>_xlfn.XLOOKUP($E33,'Løp 7'!$E$10:$E$90,'Løp 7'!$L$10:$L$90,0)</f>
        <v>1.8656660692951015E-2</v>
      </c>
      <c r="AN33" s="628">
        <f>_xlfn.XLOOKUP($E33,'Løp 8'!$E$10:$E$91,'Løp 8'!$M$10:$M$91,0)</f>
        <v>94</v>
      </c>
      <c r="AO33" s="629">
        <f>_xlfn.XLOOKUP($E33,'Løp 8'!$E$10:$E$91,'Løp 8'!$O$10:$O$91,0)</f>
        <v>94</v>
      </c>
      <c r="AP33" s="629" t="str">
        <f>_xlfn.XLOOKUP($E33,'Løp 8'!$E$10:$E$91,'Løp 8'!$L$10:$L$91,0)</f>
        <v>Arr</v>
      </c>
      <c r="AQ33" s="628">
        <f>_xlfn.XLOOKUP($E33,'Løp 9'!$E$10:$E$91,'Løp 9'!$M$10:$M$91,0)</f>
        <v>89</v>
      </c>
      <c r="AR33" s="629">
        <f>_xlfn.XLOOKUP($E33,'Løp 9'!$E$10:$E$91,'Løp 9'!$O$10:$O$91,0)</f>
        <v>75</v>
      </c>
      <c r="AS33" s="629">
        <f>_xlfn.XLOOKUP($E33,'Løp 9'!$E$10:$E$91,'Løp 9'!$L$10:$L$91,0)</f>
        <v>7.642622461170848E-3</v>
      </c>
      <c r="AT33" s="628">
        <f>_xlfn.XLOOKUP($E33,'Løp 10'!$E$10:$E$91,'Løp 10'!$M$10:$M$91,0)</f>
        <v>75</v>
      </c>
      <c r="AU33" s="629">
        <f>_xlfn.XLOOKUP($E33,'Løp 10'!$E$10:$E$91,'Løp 10'!$O$10:$O$91,0)</f>
        <v>70</v>
      </c>
      <c r="AV33" s="629">
        <f>_xlfn.XLOOKUP($E33,'Løp 10'!$E$10:$E$91,'Løp 10'!$L$10:$L$91,0)</f>
        <v>9.9579903978052123E-3</v>
      </c>
      <c r="AW33" s="628">
        <f>_xlfn.XLOOKUP($E33,'Løp 11'!$E$10:$E$91,'Løp 11'!$M$10:$M$91,0)</f>
        <v>0</v>
      </c>
      <c r="AX33" s="629">
        <f>_xlfn.XLOOKUP($E33,'Løp 11'!$E$10:$E$91,'Løp 11'!$O$10:$O$91,0)</f>
        <v>0</v>
      </c>
      <c r="AY33" s="629">
        <f>_xlfn.XLOOKUP($E33,'Løp 11'!$E$10:$E$91,'Løp 11'!$L$10:$L$91,0)</f>
        <v>0</v>
      </c>
      <c r="AZ33" s="628">
        <f>_xlfn.XLOOKUP($E33,'Løp 12'!$E$10:$E$91,'Løp 12'!$M$10:$M$91,0)</f>
        <v>67</v>
      </c>
      <c r="BA33" s="629">
        <f>_xlfn.XLOOKUP($E33,'Løp 12'!$E$10:$E$91,'Løp 12'!$O$10:$O$91,0)</f>
        <v>68</v>
      </c>
      <c r="BB33" s="629">
        <f>_xlfn.XLOOKUP($E33,'Løp 12'!$E$10:$E$91,'Løp 12'!$L$10:$L$91,0)</f>
        <v>8.217592592592594E-3</v>
      </c>
      <c r="BC33" s="628">
        <f>_xlfn.XLOOKUP($E33,'Løp 13'!$E$10:$E$91,'Løp 13'!$M$10:$M$91,0)</f>
        <v>0</v>
      </c>
      <c r="BD33" s="629">
        <f>_xlfn.XLOOKUP($E33,'Løp 13'!$E$10:$E$91,'Løp 13'!$O$10:$O$91,0)</f>
        <v>0</v>
      </c>
      <c r="BE33" s="629">
        <f>_xlfn.XLOOKUP($E33,'Løp 13'!$E$10:$E$91,'Løp 13'!$L$10:$L$91,0)</f>
        <v>0</v>
      </c>
      <c r="BF33" s="628">
        <f>_xlfn.XLOOKUP($E33,'Løp 14'!$E$10:$E$91,'Løp 14'!$M$10:$M$91,0)</f>
        <v>68</v>
      </c>
      <c r="BG33" s="629">
        <f>_xlfn.XLOOKUP($E33,'Løp 14'!$E$10:$E$91,'Løp 14'!$O$10:$O$91,0)</f>
        <v>65</v>
      </c>
      <c r="BH33" s="629">
        <f>_xlfn.XLOOKUP($E33,'Løp 14'!$E$10:$E$91,'Løp 14'!$L$10:$L$91,0)</f>
        <v>9.1905381944444448E-3</v>
      </c>
      <c r="BI33" s="628">
        <f>_xlfn.XLOOKUP($E33,'Løp 15'!$E$10:$E$91,'Løp 15'!$M$10:$M$91,0)</f>
        <v>84</v>
      </c>
      <c r="BJ33" s="629">
        <f>_xlfn.XLOOKUP($E33,'Løp 15'!$E$10:$E$91,'Løp 15'!$O$10:$O$91,0)</f>
        <v>72</v>
      </c>
      <c r="BK33" s="629">
        <f>_xlfn.XLOOKUP($E33,'Løp 15'!$E$10:$E$91,'Løp 15'!$L$10:$L$91,0)</f>
        <v>1.0223765432098767E-2</v>
      </c>
      <c r="BL33" s="628">
        <f>_xlfn.XLOOKUP($E33,'Løp 16'!$E$10:$E$91,'Løp 16'!$M$10:$M$91,0)</f>
        <v>80</v>
      </c>
      <c r="BM33" s="629">
        <f>_xlfn.XLOOKUP($E33,'Løp 16'!$E$10:$E$91,'Løp 16'!$O$10:$O$91,0)</f>
        <v>78</v>
      </c>
      <c r="BN33" s="629">
        <f>_xlfn.XLOOKUP($E33,'Løp 16'!$E$10:$E$91,'Løp 16'!$L$10:$L$91,0)</f>
        <v>8.5804554554554553E-3</v>
      </c>
      <c r="BO33" s="628">
        <f>_xlfn.XLOOKUP($E33,'Løp 17'!$E$10:$E$91,'Løp 17'!$M$10:$M$91,0)</f>
        <v>74</v>
      </c>
      <c r="BP33" s="629">
        <f>_xlfn.XLOOKUP($E33,'Løp 17'!$E$10:$E$91,'Løp 17'!$O$10:$O$91,0)</f>
        <v>72</v>
      </c>
      <c r="BQ33" s="629">
        <f>_xlfn.XLOOKUP($E33,'Løp 17'!$E$10:$E$91,'Løp 17'!$L$10:$L$91,0)</f>
        <v>8.5528416347381859E-3</v>
      </c>
      <c r="BR33" s="628">
        <f>_xlfn.XLOOKUP($E33,'Løp 18'!$E$10:$E$91,'Løp 18'!$M$10:$M$91,0)</f>
        <v>78</v>
      </c>
      <c r="BS33" s="629">
        <f>_xlfn.XLOOKUP($E33,'Løp 18'!$E$10:$E$91,'Løp 18'!$O$10:$O$91,0)</f>
        <v>70</v>
      </c>
      <c r="BT33" s="629">
        <f>_xlfn.XLOOKUP($E33,'Løp 18'!$E$10:$E$91,'Løp 18'!$L$10:$L$91,0)</f>
        <v>9.2375578703703699E-3</v>
      </c>
      <c r="BU33" s="628">
        <f>_xlfn.XLOOKUP($E33,'Løp 19'!$E$10:$E$91,'Løp 19'!$M$10:$M$91,0)</f>
        <v>0</v>
      </c>
      <c r="BV33" s="629">
        <f>_xlfn.XLOOKUP($E33,'Løp 19'!$E$10:$E$91,'Løp 19'!$O$10:$O$91,0)</f>
        <v>0</v>
      </c>
      <c r="BW33" s="629">
        <f>_xlfn.XLOOKUP($E33,'Løp 19'!$E$10:$E$91,'Løp 19'!$L$10:$L$91,0)</f>
        <v>0</v>
      </c>
      <c r="BX33" s="628">
        <f>_xlfn.XLOOKUP($E33,'Løp 20'!$E$10:$E$92,'Løp 20'!$M$10:$M$92,0)</f>
        <v>77</v>
      </c>
      <c r="BY33" s="629">
        <f>_xlfn.XLOOKUP($E33,'Løp 20'!$E$10:$E$92,'Løp 20'!$O$10:$O$92,0)</f>
        <v>71</v>
      </c>
      <c r="BZ33" s="629">
        <f>_xlfn.XLOOKUP($E33,'Løp 20'!$E$10:$E$92,'Løp 20'!$L$10:$L$92,0)</f>
        <v>1.0085978835978835E-2</v>
      </c>
      <c r="CA33" s="628">
        <f>_xlfn.XLOOKUP($E33,'Løp 21'!$E$10:$E$93,'Løp 21'!$M$10:$M$93,0)</f>
        <v>80</v>
      </c>
      <c r="CB33" s="629">
        <f>_xlfn.XLOOKUP($E33,'Løp 21'!$E$10:$E$93,'Løp 21'!$O$10:$O$93,0)</f>
        <v>77</v>
      </c>
      <c r="CC33" s="629">
        <f>_xlfn.XLOOKUP($E33,'Løp 21'!$E$10:$E$93,'Løp 21'!$L$10:$L$93,0)</f>
        <v>7.6052867383512544E-3</v>
      </c>
      <c r="CD33" s="628">
        <f>_xlfn.XLOOKUP($E33,'Løp 22'!$E$10:$E$93,'Løp 22'!$M$10:$M$93,0)</f>
        <v>74</v>
      </c>
      <c r="CE33" s="629">
        <f>_xlfn.XLOOKUP($E33,'Løp 22'!$E$10:$E$93,'Løp 22'!$O$10:$O$93,0)</f>
        <v>70</v>
      </c>
      <c r="CF33" s="629">
        <f>_xlfn.XLOOKUP($E33,'Løp 22'!$E$10:$E$93,'Løp 22'!$L$10:$L$93,0)</f>
        <v>9.4061609686609694E-3</v>
      </c>
      <c r="CG33" s="628">
        <f>_xlfn.XLOOKUP($E33,'Løp 23'!$E$10:$E$93,'Løp 23'!$M$10:$M$93,0)</f>
        <v>81</v>
      </c>
      <c r="CH33" s="629">
        <f>_xlfn.XLOOKUP($E33,'Løp 23'!$E$10:$E$93,'Løp 23'!$O$10:$O$93,0)</f>
        <v>77</v>
      </c>
      <c r="CI33" s="629">
        <f>_xlfn.XLOOKUP($E33,'Løp 23'!$E$10:$E$93,'Løp 23'!$L$10:$L$93,0)</f>
        <v>6.3976692209450833E-3</v>
      </c>
      <c r="CJ33" s="628">
        <f>_xlfn.XLOOKUP($E33,'Løp 24'!$E$10:$E$93,'Løp 24'!$M$10:$M$93,0)</f>
        <v>94</v>
      </c>
      <c r="CK33" s="629">
        <f>_xlfn.XLOOKUP($E33,'Løp 24'!$E$10:$E$93,'Løp 24'!$O$10:$O$93,0)</f>
        <v>94</v>
      </c>
      <c r="CL33" s="629" t="str">
        <f>_xlfn.XLOOKUP($E33,'Løp 24'!$E$10:$E$93,'Løp 24'!$L$10:$L$93,0)</f>
        <v>Arr</v>
      </c>
      <c r="CM33" s="628">
        <f>_xlfn.XLOOKUP($E33,'Løp 25'!$E$10:$E$94,'Løp 25'!$M$10:$M$94,0)</f>
        <v>71</v>
      </c>
      <c r="CN33" s="629">
        <f>_xlfn.XLOOKUP($E33,'Løp 25'!$E$10:$E$94,'Løp 25'!$O$10:$O$94,0)</f>
        <v>67</v>
      </c>
      <c r="CO33" s="629">
        <f>_xlfn.XLOOKUP($E33,'Løp 25'!$E$10:$E$94,'Løp 25'!$L$10:$L$94,0)</f>
        <v>1.0185185185185184E-2</v>
      </c>
      <c r="CP33" s="628">
        <f>_xlfn.XLOOKUP($E33,'Løp 26'!$E$10:$E$94,'Løp 26'!$M$10:$M$94,0)</f>
        <v>77</v>
      </c>
      <c r="CQ33" s="629">
        <f>_xlfn.XLOOKUP($E33,'Løp 26'!$E$10:$E$94,'Løp 26'!$O$10:$O$94,0)</f>
        <v>77</v>
      </c>
      <c r="CR33" s="629">
        <f>_xlfn.XLOOKUP($E33,'Løp 26'!$E$10:$E$94,'Løp 26'!$L$10:$L$94,0)</f>
        <v>9.1503267973856214E-3</v>
      </c>
      <c r="CS33" s="628">
        <f>_xlfn.XLOOKUP($E33,'Løp 27'!$E$10:$E$94,'Løp 27'!$M$10:$M$94,0)</f>
        <v>0</v>
      </c>
      <c r="CT33" s="629">
        <f>_xlfn.XLOOKUP($E33,'Løp 27'!$E$10:$E$94,'Løp 27'!$O$10:$O$94,0)</f>
        <v>0</v>
      </c>
      <c r="CU33" s="629">
        <f>_xlfn.XLOOKUP($E33,'Løp 27'!$E$10:$E$94,'Løp 27'!$L$10:$L$94,0)</f>
        <v>0</v>
      </c>
      <c r="CV33" s="628">
        <f>_xlfn.XLOOKUP($E33,'Løp 28'!$E$10:$E$95,'Løp 28'!$M$10:$M$95,0)</f>
        <v>66</v>
      </c>
      <c r="CW33" s="629">
        <f>_xlfn.XLOOKUP($E33,'Løp 28'!$E$10:$E$95,'Løp 28'!$O$10:$O$95,0)</f>
        <v>67</v>
      </c>
      <c r="CX33" s="629">
        <f>_xlfn.XLOOKUP($E33,'Løp 28'!$E$10:$E$95,'Løp 28'!$L$10:$L$95,0)</f>
        <v>1.002415458937198E-2</v>
      </c>
      <c r="CY33" s="628">
        <f>_xlfn.XLOOKUP($E33,'Løp 29'!$E$10:$E$95,'Løp 29'!$M$10:$M$95,0)</f>
        <v>78</v>
      </c>
      <c r="CZ33" s="629">
        <f>_xlfn.XLOOKUP($E33,'Løp 29'!$E$10:$E$95,'Løp 29'!$O$10:$O$95,0)</f>
        <v>74</v>
      </c>
      <c r="DA33" s="629">
        <f>_xlfn.XLOOKUP($E33,'Løp 29'!$E$10:$E$95,'Løp 29'!$L$10:$L$95,0)</f>
        <v>9.3501984126984124E-3</v>
      </c>
    </row>
    <row r="34" spans="2:105" ht="26" thickBot="1" x14ac:dyDescent="0.3">
      <c r="B34" s="627">
        <f t="shared" si="0"/>
        <v>25</v>
      </c>
      <c r="C34" s="119" t="s">
        <v>126</v>
      </c>
      <c r="D34" s="620" t="s">
        <v>383</v>
      </c>
      <c r="E34" s="616" t="str">
        <f>_xlfn.CONCAT(C34:D34)</f>
        <v>ArneHelland</v>
      </c>
      <c r="F34" s="610"/>
      <c r="G34" s="653">
        <f>COUNTIF(S34:DA34,"&gt;2")/2</f>
        <v>10</v>
      </c>
      <c r="H34" s="852">
        <f>COUNTIF(S34:DA34,"=Løype")+COUNTIF(S34:DA34,"Arr")</f>
        <v>0</v>
      </c>
      <c r="I34" s="610"/>
      <c r="J34" s="632">
        <f>S34+V34+Y34+AB34+AE34+AH34+AK34+AN34+AQ34+AT34+AW34+AZ34+BC34+BF34+BI34+BL34+BO34+BR34+BU34+BX34+CA34+CD34+CG34+CJ34+CM34+CP34+CS34+CV34+CY34</f>
        <v>950</v>
      </c>
      <c r="K34" s="633">
        <f>T34+W34+Z34+AC34+AF34+AI34+AL34+AO34+AR34+AU34+AX34+BA34+BD34+BG34+BJ34+BM34+BP34+BS34+BV34+BY34+CB34+CE34+CH34+CK34+CN34+CQ34+CT34+CW34+CZ34</f>
        <v>718</v>
      </c>
      <c r="L34" s="613"/>
      <c r="M34" s="658">
        <f>IF($G34&gt;0,J34/G34,0)</f>
        <v>95</v>
      </c>
      <c r="N34" s="659">
        <f>IF($G34&gt;0,K34/$G34,0)</f>
        <v>71.8</v>
      </c>
      <c r="O34" s="862"/>
      <c r="P34" s="874">
        <f>IF(AND($G34&gt;$Q$3-1,$G34-$H34&gt;0),M34,0)</f>
        <v>95</v>
      </c>
      <c r="Q34" s="875">
        <f>IF(AND($G34&gt;$Q$3-1,$G34-$H34&gt;0),N34,0)</f>
        <v>71.8</v>
      </c>
      <c r="R34" s="613"/>
      <c r="S34" s="628">
        <f>_xlfn.XLOOKUP($E34,'Løp 1'!$E$10:$E$90,'Løp 1'!$M$10:$M$90,0)</f>
        <v>0</v>
      </c>
      <c r="T34" s="629">
        <f>_xlfn.XLOOKUP($E34,'Løp 1'!$E$10:$E$90,'Løp 1'!$O$10:$O$90,0)</f>
        <v>0</v>
      </c>
      <c r="U34" s="629">
        <f>_xlfn.XLOOKUP($E34,'Løp 1'!$E$10:$E$90,'Løp 1'!$L$10:$L$90,0)</f>
        <v>0</v>
      </c>
      <c r="V34" s="628">
        <f>_xlfn.XLOOKUP($E34,'Løp 2'!$E$10:$E$90,'Løp 2'!$M$10:$M$90,0)</f>
        <v>0</v>
      </c>
      <c r="W34" s="629">
        <f>_xlfn.XLOOKUP($E34,'Løp 2'!$E$10:$E$90,'Løp 2'!$O$10:$O$90,0)</f>
        <v>0</v>
      </c>
      <c r="X34" s="629">
        <f>_xlfn.XLOOKUP($E34,'Løp 2'!$E$10:$E$90,'Løp 2'!$L$10:$L$90,0)</f>
        <v>0</v>
      </c>
      <c r="Y34" s="628">
        <f>_xlfn.XLOOKUP($E34,'Løp 3'!$E$10:$E$90,'Løp 3'!$M$10:$M$90,0)</f>
        <v>0</v>
      </c>
      <c r="Z34" s="629">
        <f>_xlfn.XLOOKUP($E34,'Løp 3'!$E$10:$E$90,'Løp 3'!$O$10:$O$90,0)</f>
        <v>0</v>
      </c>
      <c r="AA34" s="629">
        <f>_xlfn.XLOOKUP($E34,'Løp 3'!$E$10:$E$90,'Løp 3'!$L$10:$L$90,0)</f>
        <v>0</v>
      </c>
      <c r="AB34" s="628">
        <f>_xlfn.XLOOKUP($E34,'Løp 4'!$E$10:$E$90,'Løp 4'!$M$10:$M$90,0)</f>
        <v>0</v>
      </c>
      <c r="AC34" s="629">
        <f>_xlfn.XLOOKUP($E34,'Løp 4'!$E$10:$E$90,'Løp 4'!$O$10:$O$90,0)</f>
        <v>0</v>
      </c>
      <c r="AD34" s="629">
        <f>_xlfn.XLOOKUP($E34,'Løp 4'!$E$10:$E$90,'Løp 4'!$L$10:$L$90,0)</f>
        <v>0</v>
      </c>
      <c r="AE34" s="628">
        <f>_xlfn.XLOOKUP($E34,'Løp 5'!$E$10:$E$90,'Løp 5'!$M$10:$M$90,0)</f>
        <v>0</v>
      </c>
      <c r="AF34" s="629">
        <f>_xlfn.XLOOKUP($E34,'Løp 5'!$E$10:$E$90,'Løp 5'!$O$10:$O$90,0)</f>
        <v>0</v>
      </c>
      <c r="AG34" s="629">
        <f>_xlfn.XLOOKUP($E34,'Løp 5'!$E$10:$E$90,'Løp 5'!$L$10:$L$90,0)</f>
        <v>0</v>
      </c>
      <c r="AH34" s="628">
        <f>_xlfn.XLOOKUP($E34,'Løp 6'!$E$10:$E$90,'Løp 6'!$M$10:$M$90,0)</f>
        <v>0</v>
      </c>
      <c r="AI34" s="629">
        <f>_xlfn.XLOOKUP($E34,'Løp 6'!$E$10:$E$90,'Løp 6'!$O$10:$O$90,0)</f>
        <v>0</v>
      </c>
      <c r="AJ34" s="629">
        <f>_xlfn.XLOOKUP($E34,'Løp 6'!$E$10:$E$90,'Løp 6'!$L$10:$L$90,0)</f>
        <v>0</v>
      </c>
      <c r="AK34" s="628">
        <f>_xlfn.XLOOKUP($E34,'Løp 7'!$E$10:$E$90,'Løp 7'!$M$10:$M$90,0)</f>
        <v>0</v>
      </c>
      <c r="AL34" s="629">
        <f>_xlfn.XLOOKUP($E34,'Løp 7'!$E$10:$E$90,'Løp 7'!$O$10:$O$90,0)</f>
        <v>0</v>
      </c>
      <c r="AM34" s="629">
        <f>_xlfn.XLOOKUP($E34,'Løp 7'!$E$10:$E$90,'Løp 7'!$L$10:$L$90,0)</f>
        <v>0</v>
      </c>
      <c r="AN34" s="628">
        <f>_xlfn.XLOOKUP($E34,'Løp 8'!$E$10:$E$91,'Løp 8'!$M$10:$M$91,0)</f>
        <v>0</v>
      </c>
      <c r="AO34" s="629">
        <f>_xlfn.XLOOKUP($E34,'Løp 8'!$E$10:$E$91,'Løp 8'!$O$10:$O$91,0)</f>
        <v>0</v>
      </c>
      <c r="AP34" s="629">
        <f>_xlfn.XLOOKUP($E34,'Løp 8'!$E$10:$E$91,'Løp 8'!$L$10:$L$91,0)</f>
        <v>0</v>
      </c>
      <c r="AQ34" s="628">
        <f>_xlfn.XLOOKUP($E34,'Løp 9'!$E$10:$E$91,'Løp 9'!$M$10:$M$91,0)</f>
        <v>0</v>
      </c>
      <c r="AR34" s="629">
        <f>_xlfn.XLOOKUP($E34,'Løp 9'!$E$10:$E$91,'Løp 9'!$O$10:$O$91,0)</f>
        <v>0</v>
      </c>
      <c r="AS34" s="629">
        <f>_xlfn.XLOOKUP($E34,'Løp 9'!$E$10:$E$91,'Løp 9'!$L$10:$L$91,0)</f>
        <v>0</v>
      </c>
      <c r="AT34" s="628">
        <f>_xlfn.XLOOKUP($E34,'Løp 10'!$E$10:$E$91,'Løp 10'!$M$10:$M$91,0)</f>
        <v>0</v>
      </c>
      <c r="AU34" s="629">
        <f>_xlfn.XLOOKUP($E34,'Løp 10'!$E$10:$E$91,'Løp 10'!$O$10:$O$91,0)</f>
        <v>0</v>
      </c>
      <c r="AV34" s="629">
        <f>_xlfn.XLOOKUP($E34,'Løp 10'!$E$10:$E$91,'Løp 10'!$L$10:$L$91,0)</f>
        <v>0</v>
      </c>
      <c r="AW34" s="628">
        <f>_xlfn.XLOOKUP($E34,'Løp 11'!$E$10:$E$91,'Løp 11'!$M$10:$M$91,0)</f>
        <v>0</v>
      </c>
      <c r="AX34" s="629">
        <f>_xlfn.XLOOKUP($E34,'Løp 11'!$E$10:$E$91,'Løp 11'!$O$10:$O$91,0)</f>
        <v>0</v>
      </c>
      <c r="AY34" s="629">
        <f>_xlfn.XLOOKUP($E34,'Løp 11'!$E$10:$E$91,'Løp 11'!$L$10:$L$91,0)</f>
        <v>0</v>
      </c>
      <c r="AZ34" s="628">
        <f>_xlfn.XLOOKUP($E34,'Løp 12'!$E$10:$E$91,'Løp 12'!$M$10:$M$91,0)</f>
        <v>92</v>
      </c>
      <c r="BA34" s="629">
        <f>_xlfn.XLOOKUP($E34,'Løp 12'!$E$10:$E$91,'Løp 12'!$O$10:$O$91,0)</f>
        <v>74</v>
      </c>
      <c r="BB34" s="629">
        <f>_xlfn.XLOOKUP($E34,'Løp 12'!$E$10:$E$91,'Løp 12'!$L$10:$L$91,0)</f>
        <v>6.0391865079365082E-3</v>
      </c>
      <c r="BC34" s="628">
        <f>_xlfn.XLOOKUP($E34,'Løp 13'!$E$10:$E$91,'Løp 13'!$M$10:$M$91,0)</f>
        <v>0</v>
      </c>
      <c r="BD34" s="629">
        <f>_xlfn.XLOOKUP($E34,'Løp 13'!$E$10:$E$91,'Løp 13'!$O$10:$O$91,0)</f>
        <v>0</v>
      </c>
      <c r="BE34" s="629">
        <f>_xlfn.XLOOKUP($E34,'Løp 13'!$E$10:$E$91,'Løp 13'!$L$10:$L$91,0)</f>
        <v>0</v>
      </c>
      <c r="BF34" s="628">
        <f>_xlfn.XLOOKUP($E34,'Løp 14'!$E$10:$E$91,'Løp 14'!$M$10:$M$91,0)</f>
        <v>0</v>
      </c>
      <c r="BG34" s="629">
        <f>_xlfn.XLOOKUP($E34,'Løp 14'!$E$10:$E$91,'Løp 14'!$O$10:$O$91,0)</f>
        <v>0</v>
      </c>
      <c r="BH34" s="629">
        <f>_xlfn.XLOOKUP($E34,'Løp 14'!$E$10:$E$91,'Løp 14'!$L$10:$L$91,0)</f>
        <v>0</v>
      </c>
      <c r="BI34" s="628">
        <f>_xlfn.XLOOKUP($E34,'Løp 15'!$E$10:$E$91,'Løp 15'!$M$10:$M$91,0)</f>
        <v>98</v>
      </c>
      <c r="BJ34" s="629">
        <f>_xlfn.XLOOKUP($E34,'Løp 15'!$E$10:$E$91,'Løp 15'!$O$10:$O$91,0)</f>
        <v>66</v>
      </c>
      <c r="BK34" s="629">
        <f>_xlfn.XLOOKUP($E34,'Løp 15'!$E$10:$E$91,'Løp 15'!$L$10:$L$91,0)</f>
        <v>8.7857744107744124E-3</v>
      </c>
      <c r="BL34" s="628">
        <f>_xlfn.XLOOKUP($E34,'Løp 16'!$E$10:$E$91,'Løp 16'!$M$10:$M$91,0)</f>
        <v>0</v>
      </c>
      <c r="BM34" s="629">
        <f>_xlfn.XLOOKUP($E34,'Løp 16'!$E$10:$E$91,'Løp 16'!$O$10:$O$91,0)</f>
        <v>0</v>
      </c>
      <c r="BN34" s="629">
        <f>_xlfn.XLOOKUP($E34,'Løp 16'!$E$10:$E$91,'Løp 16'!$L$10:$L$91,0)</f>
        <v>0</v>
      </c>
      <c r="BO34" s="628">
        <f>_xlfn.XLOOKUP($E34,'Løp 17'!$E$10:$E$91,'Løp 17'!$M$10:$M$91,0)</f>
        <v>100</v>
      </c>
      <c r="BP34" s="629">
        <f>_xlfn.XLOOKUP($E34,'Løp 17'!$E$10:$E$91,'Løp 17'!$O$10:$O$91,0)</f>
        <v>77</v>
      </c>
      <c r="BQ34" s="629">
        <f>_xlfn.XLOOKUP($E34,'Løp 17'!$E$10:$E$91,'Løp 17'!$L$10:$L$91,0)</f>
        <v>6.3537675606641121E-3</v>
      </c>
      <c r="BR34" s="628">
        <f>_xlfn.XLOOKUP($E34,'Løp 18'!$E$10:$E$91,'Løp 18'!$M$10:$M$91,0)</f>
        <v>100</v>
      </c>
      <c r="BS34" s="629">
        <f>_xlfn.XLOOKUP($E34,'Løp 18'!$E$10:$E$91,'Løp 18'!$O$10:$O$91,0)</f>
        <v>72</v>
      </c>
      <c r="BT34" s="629">
        <f>_xlfn.XLOOKUP($E34,'Løp 18'!$E$10:$E$91,'Løp 18'!$L$10:$L$91,0)</f>
        <v>7.1867766203703694E-3</v>
      </c>
      <c r="BU34" s="628">
        <f>_xlfn.XLOOKUP($E34,'Løp 19'!$E$10:$E$91,'Løp 19'!$M$10:$M$91,0)</f>
        <v>100</v>
      </c>
      <c r="BV34" s="629">
        <f>_xlfn.XLOOKUP($E34,'Løp 19'!$E$10:$E$91,'Løp 19'!$O$10:$O$91,0)</f>
        <v>72</v>
      </c>
      <c r="BW34" s="629">
        <f>_xlfn.XLOOKUP($E34,'Løp 19'!$E$10:$E$91,'Løp 19'!$L$10:$L$91,0)</f>
        <v>8.2347393689986281E-3</v>
      </c>
      <c r="BX34" s="628">
        <f>_xlfn.XLOOKUP($E34,'Løp 20'!$E$10:$E$92,'Løp 20'!$M$10:$M$92,0)</f>
        <v>0</v>
      </c>
      <c r="BY34" s="629">
        <f>_xlfn.XLOOKUP($E34,'Løp 20'!$E$10:$E$92,'Løp 20'!$O$10:$O$92,0)</f>
        <v>0</v>
      </c>
      <c r="BZ34" s="629">
        <f>_xlfn.XLOOKUP($E34,'Løp 20'!$E$10:$E$92,'Løp 20'!$L$10:$L$92,0)</f>
        <v>0</v>
      </c>
      <c r="CA34" s="628">
        <f>_xlfn.XLOOKUP($E34,'Løp 21'!$E$10:$E$93,'Løp 21'!$M$10:$M$93,0)</f>
        <v>100</v>
      </c>
      <c r="CB34" s="629">
        <f>_xlfn.XLOOKUP($E34,'Løp 21'!$E$10:$E$93,'Løp 21'!$O$10:$O$93,0)</f>
        <v>77</v>
      </c>
      <c r="CC34" s="629">
        <f>_xlfn.XLOOKUP($E34,'Løp 21'!$E$10:$E$93,'Løp 21'!$L$10:$L$93,0)</f>
        <v>6.0745221027479089E-3</v>
      </c>
      <c r="CD34" s="628">
        <f>_xlfn.XLOOKUP($E34,'Løp 22'!$E$10:$E$93,'Løp 22'!$M$10:$M$93,0)</f>
        <v>100</v>
      </c>
      <c r="CE34" s="629">
        <f>_xlfn.XLOOKUP($E34,'Løp 22'!$E$10:$E$93,'Løp 22'!$O$10:$O$93,0)</f>
        <v>75</v>
      </c>
      <c r="CF34" s="629">
        <f>_xlfn.XLOOKUP($E34,'Løp 22'!$E$10:$E$93,'Løp 22'!$L$10:$L$93,0)</f>
        <v>6.9889601139601137E-3</v>
      </c>
      <c r="CG34" s="628">
        <f>_xlfn.XLOOKUP($E34,'Løp 23'!$E$10:$E$93,'Løp 23'!$M$10:$M$93,0)</f>
        <v>100</v>
      </c>
      <c r="CH34" s="629">
        <f>_xlfn.XLOOKUP($E34,'Løp 23'!$E$10:$E$93,'Løp 23'!$O$10:$O$93,0)</f>
        <v>76</v>
      </c>
      <c r="CI34" s="629">
        <f>_xlfn.XLOOKUP($E34,'Løp 23'!$E$10:$E$93,'Løp 23'!$L$10:$L$93,0)</f>
        <v>5.1764048531289918E-3</v>
      </c>
      <c r="CJ34" s="628">
        <f>_xlfn.XLOOKUP($E34,'Løp 24'!$E$10:$E$93,'Løp 24'!$M$10:$M$93,0)</f>
        <v>0</v>
      </c>
      <c r="CK34" s="629">
        <f>_xlfn.XLOOKUP($E34,'Løp 24'!$E$10:$E$93,'Løp 24'!$O$10:$O$93,0)</f>
        <v>0</v>
      </c>
      <c r="CL34" s="629">
        <f>_xlfn.XLOOKUP($E34,'Løp 24'!$E$10:$E$93,'Løp 24'!$L$10:$L$93,0)</f>
        <v>0</v>
      </c>
      <c r="CM34" s="628">
        <f>_xlfn.XLOOKUP($E34,'Løp 25'!$E$10:$E$94,'Løp 25'!$M$10:$M$94,0)</f>
        <v>0</v>
      </c>
      <c r="CN34" s="629">
        <f>_xlfn.XLOOKUP($E34,'Løp 25'!$E$10:$E$94,'Løp 25'!$O$10:$O$94,0)</f>
        <v>0</v>
      </c>
      <c r="CO34" s="629">
        <f>_xlfn.XLOOKUP($E34,'Løp 25'!$E$10:$E$94,'Løp 25'!$L$10:$L$94,0)</f>
        <v>0</v>
      </c>
      <c r="CP34" s="628">
        <f>_xlfn.XLOOKUP($E34,'Løp 26'!$E$10:$E$94,'Løp 26'!$M$10:$M$94,0)</f>
        <v>100</v>
      </c>
      <c r="CQ34" s="629">
        <f>_xlfn.XLOOKUP($E34,'Løp 26'!$E$10:$E$94,'Løp 26'!$O$10:$O$94,0)</f>
        <v>79</v>
      </c>
      <c r="CR34" s="629">
        <f>_xlfn.XLOOKUP($E34,'Løp 26'!$E$10:$E$94,'Løp 26'!$L$10:$L$94,0)</f>
        <v>7.080610021786493E-3</v>
      </c>
      <c r="CS34" s="628">
        <f>_xlfn.XLOOKUP($E34,'Løp 27'!$E$10:$E$94,'Løp 27'!$M$10:$M$94,0)</f>
        <v>0</v>
      </c>
      <c r="CT34" s="629">
        <f>_xlfn.XLOOKUP($E34,'Løp 27'!$E$10:$E$94,'Løp 27'!$O$10:$O$94,0)</f>
        <v>0</v>
      </c>
      <c r="CU34" s="629">
        <f>_xlfn.XLOOKUP($E34,'Løp 27'!$E$10:$E$94,'Løp 27'!$L$10:$L$94,0)</f>
        <v>0</v>
      </c>
      <c r="CV34" s="628">
        <f>_xlfn.XLOOKUP($E34,'Løp 28'!$E$10:$E$95,'Løp 28'!$M$10:$M$95,0)</f>
        <v>60</v>
      </c>
      <c r="CW34" s="629">
        <f>_xlfn.XLOOKUP($E34,'Løp 28'!$E$10:$E$95,'Løp 28'!$O$10:$O$95,0)</f>
        <v>50</v>
      </c>
      <c r="CX34" s="629">
        <f>_xlfn.XLOOKUP($E34,'Løp 28'!$E$10:$E$95,'Løp 28'!$L$10:$L$95,0)</f>
        <v>1.1065821256038649E-2</v>
      </c>
      <c r="CY34" s="628">
        <f>_xlfn.XLOOKUP($E34,'Løp 29'!$E$10:$E$95,'Løp 29'!$M$10:$M$95,0)</f>
        <v>0</v>
      </c>
      <c r="CZ34" s="629">
        <f>_xlfn.XLOOKUP($E34,'Løp 29'!$E$10:$E$95,'Løp 29'!$O$10:$O$95,0)</f>
        <v>0</v>
      </c>
      <c r="DA34" s="629">
        <f>_xlfn.XLOOKUP($E34,'Løp 29'!$E$10:$E$95,'Løp 29'!$L$10:$L$95,0)</f>
        <v>0</v>
      </c>
    </row>
    <row r="35" spans="2:105" ht="26" thickBot="1" x14ac:dyDescent="0.3">
      <c r="B35" s="627">
        <f t="shared" si="0"/>
        <v>26</v>
      </c>
      <c r="C35" s="119" t="s">
        <v>99</v>
      </c>
      <c r="D35" s="620" t="s">
        <v>100</v>
      </c>
      <c r="E35" s="616" t="str">
        <f>_xlfn.CONCAT(C35:D35)</f>
        <v>RobertHirsch</v>
      </c>
      <c r="F35" s="610"/>
      <c r="G35" s="653">
        <f>COUNTIF(S35:DA35,"&gt;2")/2</f>
        <v>13</v>
      </c>
      <c r="H35" s="852">
        <f>COUNTIF(S35:DA35,"=Løype")+COUNTIF(S35:DA35,"Arr")</f>
        <v>3</v>
      </c>
      <c r="I35" s="610"/>
      <c r="J35" s="632">
        <f>S35+V35+Y35+AB35+AE35+AH35+AK35+AN35+AQ35+AT35+AW35+AZ35+BC35+BF35+BI35+BL35+BO35+BR35+BU35+BX35+CA35+CD35+CG35+CJ35+CM35+CP35+CS35+CV35+CY35</f>
        <v>1056</v>
      </c>
      <c r="K35" s="633">
        <f>T35+W35+Z35+AC35+AF35+AI35+AL35+AO35+AR35+AU35+AX35+BA35+BD35+BG35+BJ35+BM35+BP35+BS35+BV35+BY35+CB35+CE35+CH35+CK35+CN35+CQ35+CT35+CW35+CZ35</f>
        <v>926</v>
      </c>
      <c r="L35" s="613"/>
      <c r="M35" s="658">
        <f>IF($G35&gt;0,J35/G35,0)</f>
        <v>81.230769230769226</v>
      </c>
      <c r="N35" s="659">
        <f>IF($G35&gt;0,K35/$G35,0)</f>
        <v>71.230769230769226</v>
      </c>
      <c r="O35" s="862"/>
      <c r="P35" s="874">
        <f>IF(AND($G35&gt;$Q$3-1,$G35-$H35&gt;0),M35,0)</f>
        <v>81.230769230769226</v>
      </c>
      <c r="Q35" s="875">
        <f>IF(AND($G35&gt;$Q$3-1,$G35-$H35&gt;0),N35,0)</f>
        <v>71.230769230769226</v>
      </c>
      <c r="R35" s="613"/>
      <c r="S35" s="628">
        <f>_xlfn.XLOOKUP($E35,'Løp 1'!$E$10:$E$90,'Løp 1'!$M$10:$M$90,0)</f>
        <v>0</v>
      </c>
      <c r="T35" s="629">
        <f>_xlfn.XLOOKUP($E35,'Løp 1'!$E$10:$E$90,'Løp 1'!$O$10:$O$90,0)</f>
        <v>0</v>
      </c>
      <c r="U35" s="629">
        <f>_xlfn.XLOOKUP($E35,'Løp 1'!$E$10:$E$90,'Løp 1'!$L$10:$L$90,0)</f>
        <v>0</v>
      </c>
      <c r="V35" s="628">
        <f>_xlfn.XLOOKUP($E35,'Løp 2'!$E$10:$E$90,'Løp 2'!$M$10:$M$90,0)</f>
        <v>66</v>
      </c>
      <c r="W35" s="629">
        <f>_xlfn.XLOOKUP($E35,'Løp 2'!$E$10:$E$90,'Løp 2'!$O$10:$O$90,0)</f>
        <v>50</v>
      </c>
      <c r="X35" s="629">
        <f>_xlfn.XLOOKUP($E35,'Løp 2'!$E$10:$E$90,'Løp 2'!$L$10:$L$90,0)</f>
        <v>1.359540343915344E-2</v>
      </c>
      <c r="Y35" s="628">
        <f>_xlfn.XLOOKUP($E35,'Løp 3'!$E$10:$E$90,'Løp 3'!$M$10:$M$90,0)</f>
        <v>0</v>
      </c>
      <c r="Z35" s="629">
        <f>_xlfn.XLOOKUP($E35,'Løp 3'!$E$10:$E$90,'Løp 3'!$O$10:$O$90,0)</f>
        <v>0</v>
      </c>
      <c r="AA35" s="629">
        <f>_xlfn.XLOOKUP($E35,'Løp 3'!$E$10:$E$90,'Løp 3'!$L$10:$L$90,0)</f>
        <v>0</v>
      </c>
      <c r="AB35" s="628">
        <f>_xlfn.XLOOKUP($E35,'Løp 4'!$E$10:$E$90,'Løp 4'!$M$10:$M$90,0)</f>
        <v>0</v>
      </c>
      <c r="AC35" s="629">
        <f>_xlfn.XLOOKUP($E35,'Løp 4'!$E$10:$E$90,'Løp 4'!$O$10:$O$90,0)</f>
        <v>0</v>
      </c>
      <c r="AD35" s="629">
        <f>_xlfn.XLOOKUP($E35,'Løp 4'!$E$10:$E$90,'Løp 4'!$L$10:$L$90,0)</f>
        <v>0</v>
      </c>
      <c r="AE35" s="628">
        <f>_xlfn.XLOOKUP($E35,'Løp 5'!$E$10:$E$90,'Løp 5'!$M$10:$M$90,0)</f>
        <v>100</v>
      </c>
      <c r="AF35" s="629">
        <f>_xlfn.XLOOKUP($E35,'Løp 5'!$E$10:$E$90,'Løp 5'!$O$10:$O$90,0)</f>
        <v>100</v>
      </c>
      <c r="AG35" s="629" t="str">
        <f>_xlfn.XLOOKUP($E35,'Løp 5'!$E$10:$E$90,'Løp 5'!$L$10:$L$90,0)</f>
        <v>Løype</v>
      </c>
      <c r="AH35" s="628">
        <f>_xlfn.XLOOKUP($E35,'Løp 6'!$E$10:$E$90,'Løp 6'!$M$10:$M$90,0)</f>
        <v>0</v>
      </c>
      <c r="AI35" s="629">
        <f>_xlfn.XLOOKUP($E35,'Løp 6'!$E$10:$E$90,'Løp 6'!$O$10:$O$90,0)</f>
        <v>0</v>
      </c>
      <c r="AJ35" s="629">
        <f>_xlfn.XLOOKUP($E35,'Løp 6'!$E$10:$E$90,'Løp 6'!$L$10:$L$90,0)</f>
        <v>0</v>
      </c>
      <c r="AK35" s="628">
        <f>_xlfn.XLOOKUP($E35,'Løp 7'!$E$10:$E$90,'Løp 7'!$M$10:$M$90,0)</f>
        <v>0</v>
      </c>
      <c r="AL35" s="629">
        <f>_xlfn.XLOOKUP($E35,'Løp 7'!$E$10:$E$90,'Løp 7'!$O$10:$O$90,0)</f>
        <v>0</v>
      </c>
      <c r="AM35" s="629">
        <f>_xlfn.XLOOKUP($E35,'Løp 7'!$E$10:$E$90,'Løp 7'!$L$10:$L$90,0)</f>
        <v>0</v>
      </c>
      <c r="AN35" s="628">
        <f>_xlfn.XLOOKUP($E35,'Løp 8'!$E$10:$E$91,'Løp 8'!$M$10:$M$91,0)</f>
        <v>0</v>
      </c>
      <c r="AO35" s="629">
        <f>_xlfn.XLOOKUP($E35,'Løp 8'!$E$10:$E$91,'Løp 8'!$O$10:$O$91,0)</f>
        <v>0</v>
      </c>
      <c r="AP35" s="629">
        <f>_xlfn.XLOOKUP($E35,'Løp 8'!$E$10:$E$91,'Løp 8'!$L$10:$L$91,0)</f>
        <v>0</v>
      </c>
      <c r="AQ35" s="628">
        <f>_xlfn.XLOOKUP($E35,'Løp 9'!$E$10:$E$91,'Løp 9'!$M$10:$M$91,0)</f>
        <v>0</v>
      </c>
      <c r="AR35" s="629">
        <f>_xlfn.XLOOKUP($E35,'Løp 9'!$E$10:$E$91,'Løp 9'!$O$10:$O$91,0)</f>
        <v>0</v>
      </c>
      <c r="AS35" s="629">
        <f>_xlfn.XLOOKUP($E35,'Løp 9'!$E$10:$E$91,'Løp 9'!$L$10:$L$91,0)</f>
        <v>0</v>
      </c>
      <c r="AT35" s="628">
        <f>_xlfn.XLOOKUP($E35,'Løp 10'!$E$10:$E$91,'Løp 10'!$M$10:$M$91,0)</f>
        <v>94</v>
      </c>
      <c r="AU35" s="629">
        <f>_xlfn.XLOOKUP($E35,'Løp 10'!$E$10:$E$91,'Løp 10'!$O$10:$O$91,0)</f>
        <v>94</v>
      </c>
      <c r="AV35" s="629" t="str">
        <f>_xlfn.XLOOKUP($E35,'Løp 10'!$E$10:$E$91,'Løp 10'!$L$10:$L$91,0)</f>
        <v>Arr</v>
      </c>
      <c r="AW35" s="628">
        <f>_xlfn.XLOOKUP($E35,'Løp 11'!$E$10:$E$91,'Løp 11'!$M$10:$M$91,0)</f>
        <v>0</v>
      </c>
      <c r="AX35" s="629">
        <f>_xlfn.XLOOKUP($E35,'Løp 11'!$E$10:$E$91,'Løp 11'!$O$10:$O$91,0)</f>
        <v>0</v>
      </c>
      <c r="AY35" s="629">
        <f>_xlfn.XLOOKUP($E35,'Løp 11'!$E$10:$E$91,'Løp 11'!$L$10:$L$91,0)</f>
        <v>0</v>
      </c>
      <c r="AZ35" s="628">
        <f>_xlfn.XLOOKUP($E35,'Løp 12'!$E$10:$E$91,'Løp 12'!$M$10:$M$91,0)</f>
        <v>0</v>
      </c>
      <c r="BA35" s="629">
        <f>_xlfn.XLOOKUP($E35,'Løp 12'!$E$10:$E$91,'Løp 12'!$O$10:$O$91,0)</f>
        <v>0</v>
      </c>
      <c r="BB35" s="629">
        <f>_xlfn.XLOOKUP($E35,'Løp 12'!$E$10:$E$91,'Løp 12'!$L$10:$L$91,0)</f>
        <v>0</v>
      </c>
      <c r="BC35" s="628">
        <f>_xlfn.XLOOKUP($E35,'Løp 13'!$E$10:$E$91,'Løp 13'!$M$10:$M$91,0)</f>
        <v>0</v>
      </c>
      <c r="BD35" s="629">
        <f>_xlfn.XLOOKUP($E35,'Løp 13'!$E$10:$E$91,'Løp 13'!$O$10:$O$91,0)</f>
        <v>0</v>
      </c>
      <c r="BE35" s="629">
        <f>_xlfn.XLOOKUP($E35,'Løp 13'!$E$10:$E$91,'Løp 13'!$L$10:$L$91,0)</f>
        <v>0</v>
      </c>
      <c r="BF35" s="628">
        <f>_xlfn.XLOOKUP($E35,'Løp 14'!$E$10:$E$91,'Løp 14'!$M$10:$M$91,0)</f>
        <v>77</v>
      </c>
      <c r="BG35" s="629">
        <f>_xlfn.XLOOKUP($E35,'Løp 14'!$E$10:$E$91,'Løp 14'!$O$10:$O$91,0)</f>
        <v>66</v>
      </c>
      <c r="BH35" s="629">
        <f>_xlfn.XLOOKUP($E35,'Løp 14'!$E$10:$E$91,'Løp 14'!$L$10:$L$91,0)</f>
        <v>8.2031249999999986E-3</v>
      </c>
      <c r="BI35" s="628">
        <f>_xlfn.XLOOKUP($E35,'Løp 15'!$E$10:$E$91,'Løp 15'!$M$10:$M$91,0)</f>
        <v>86</v>
      </c>
      <c r="BJ35" s="629">
        <f>_xlfn.XLOOKUP($E35,'Løp 15'!$E$10:$E$91,'Løp 15'!$O$10:$O$91,0)</f>
        <v>66</v>
      </c>
      <c r="BK35" s="629">
        <f>_xlfn.XLOOKUP($E35,'Løp 15'!$E$10:$E$91,'Løp 15'!$L$10:$L$91,0)</f>
        <v>1.0069444444444443E-2</v>
      </c>
      <c r="BL35" s="628">
        <f>_xlfn.XLOOKUP($E35,'Løp 16'!$E$10:$E$91,'Løp 16'!$M$10:$M$91,0)</f>
        <v>0</v>
      </c>
      <c r="BM35" s="629">
        <f>_xlfn.XLOOKUP($E35,'Løp 16'!$E$10:$E$91,'Løp 16'!$O$10:$O$91,0)</f>
        <v>0</v>
      </c>
      <c r="BN35" s="629">
        <f>_xlfn.XLOOKUP($E35,'Løp 16'!$E$10:$E$91,'Løp 16'!$L$10:$L$91,0)</f>
        <v>0</v>
      </c>
      <c r="BO35" s="628">
        <f>_xlfn.XLOOKUP($E35,'Løp 17'!$E$10:$E$91,'Løp 17'!$M$10:$M$91,0)</f>
        <v>0</v>
      </c>
      <c r="BP35" s="629">
        <f>_xlfn.XLOOKUP($E35,'Løp 17'!$E$10:$E$91,'Løp 17'!$O$10:$O$91,0)</f>
        <v>0</v>
      </c>
      <c r="BQ35" s="629">
        <f>_xlfn.XLOOKUP($E35,'Løp 17'!$E$10:$E$91,'Løp 17'!$L$10:$L$91,0)</f>
        <v>0</v>
      </c>
      <c r="BR35" s="628">
        <f>_xlfn.XLOOKUP($E35,'Løp 18'!$E$10:$E$91,'Løp 18'!$M$10:$M$91,0)</f>
        <v>0</v>
      </c>
      <c r="BS35" s="629">
        <f>_xlfn.XLOOKUP($E35,'Løp 18'!$E$10:$E$91,'Løp 18'!$O$10:$O$91,0)</f>
        <v>0</v>
      </c>
      <c r="BT35" s="629">
        <f>_xlfn.XLOOKUP($E35,'Løp 18'!$E$10:$E$91,'Løp 18'!$L$10:$L$91,0)</f>
        <v>0</v>
      </c>
      <c r="BU35" s="628">
        <f>_xlfn.XLOOKUP($E35,'Løp 19'!$E$10:$E$91,'Løp 19'!$M$10:$M$91,0)</f>
        <v>81</v>
      </c>
      <c r="BV35" s="629">
        <f>_xlfn.XLOOKUP($E35,'Løp 19'!$E$10:$E$91,'Løp 19'!$O$10:$O$91,0)</f>
        <v>67</v>
      </c>
      <c r="BW35" s="629">
        <f>_xlfn.XLOOKUP($E35,'Løp 19'!$E$10:$E$91,'Løp 19'!$L$10:$L$91,0)</f>
        <v>1.0120884773662551E-2</v>
      </c>
      <c r="BX35" s="628">
        <f>_xlfn.XLOOKUP($E35,'Løp 20'!$E$10:$E$92,'Løp 20'!$M$10:$M$92,0)</f>
        <v>94</v>
      </c>
      <c r="BY35" s="629">
        <f>_xlfn.XLOOKUP($E35,'Løp 20'!$E$10:$E$92,'Løp 20'!$O$10:$O$92,0)</f>
        <v>94</v>
      </c>
      <c r="BZ35" s="629" t="str">
        <f>_xlfn.XLOOKUP($E35,'Løp 20'!$E$10:$E$92,'Løp 20'!$L$10:$L$92,0)</f>
        <v>Arr</v>
      </c>
      <c r="CA35" s="628">
        <f>_xlfn.XLOOKUP($E35,'Løp 21'!$E$10:$E$93,'Løp 21'!$M$10:$M$93,0)</f>
        <v>0</v>
      </c>
      <c r="CB35" s="629">
        <f>_xlfn.XLOOKUP($E35,'Løp 21'!$E$10:$E$93,'Løp 21'!$O$10:$O$93,0)</f>
        <v>0</v>
      </c>
      <c r="CC35" s="629">
        <f>_xlfn.XLOOKUP($E35,'Løp 21'!$E$10:$E$93,'Løp 21'!$L$10:$L$93,0)</f>
        <v>0</v>
      </c>
      <c r="CD35" s="628">
        <f>_xlfn.XLOOKUP($E35,'Løp 22'!$E$10:$E$93,'Løp 22'!$M$10:$M$93,0)</f>
        <v>75</v>
      </c>
      <c r="CE35" s="629">
        <f>_xlfn.XLOOKUP($E35,'Løp 22'!$E$10:$E$93,'Løp 22'!$O$10:$O$93,0)</f>
        <v>64</v>
      </c>
      <c r="CF35" s="629">
        <f>_xlfn.XLOOKUP($E35,'Løp 22'!$E$10:$E$93,'Løp 22'!$L$10:$L$93,0)</f>
        <v>9.3438390313390317E-3</v>
      </c>
      <c r="CG35" s="628">
        <f>_xlfn.XLOOKUP($E35,'Løp 23'!$E$10:$E$93,'Løp 23'!$M$10:$M$93,0)</f>
        <v>66</v>
      </c>
      <c r="CH35" s="629">
        <f>_xlfn.XLOOKUP($E35,'Løp 23'!$E$10:$E$93,'Løp 23'!$O$10:$O$93,0)</f>
        <v>57</v>
      </c>
      <c r="CI35" s="629">
        <f>_xlfn.XLOOKUP($E35,'Løp 23'!$E$10:$E$93,'Løp 23'!$L$10:$L$93,0)</f>
        <v>7.8703703703703696E-3</v>
      </c>
      <c r="CJ35" s="628">
        <f>_xlfn.XLOOKUP($E35,'Løp 24'!$E$10:$E$93,'Løp 24'!$M$10:$M$93,0)</f>
        <v>80</v>
      </c>
      <c r="CK35" s="629">
        <f>_xlfn.XLOOKUP($E35,'Løp 24'!$E$10:$E$93,'Løp 24'!$O$10:$O$93,0)</f>
        <v>59</v>
      </c>
      <c r="CL35" s="629">
        <f>_xlfn.XLOOKUP($E35,'Løp 24'!$E$10:$E$93,'Løp 24'!$L$10:$L$93,0)</f>
        <v>6.6196236559139775E-3</v>
      </c>
      <c r="CM35" s="628">
        <f>_xlfn.XLOOKUP($E35,'Løp 25'!$E$10:$E$94,'Løp 25'!$M$10:$M$94,0)</f>
        <v>78</v>
      </c>
      <c r="CN35" s="629">
        <f>_xlfn.XLOOKUP($E35,'Løp 25'!$E$10:$E$94,'Løp 25'!$O$10:$O$94,0)</f>
        <v>67</v>
      </c>
      <c r="CO35" s="629">
        <f>_xlfn.XLOOKUP($E35,'Løp 25'!$E$10:$E$94,'Løp 25'!$L$10:$L$94,0)</f>
        <v>9.291811342592592E-3</v>
      </c>
      <c r="CP35" s="628">
        <f>_xlfn.XLOOKUP($E35,'Løp 26'!$E$10:$E$94,'Løp 26'!$M$10:$M$94,0)</f>
        <v>86</v>
      </c>
      <c r="CQ35" s="629">
        <f>_xlfn.XLOOKUP($E35,'Løp 26'!$E$10:$E$94,'Løp 26'!$O$10:$O$94,0)</f>
        <v>78</v>
      </c>
      <c r="CR35" s="629">
        <f>_xlfn.XLOOKUP($E35,'Løp 26'!$E$10:$E$94,'Løp 26'!$L$10:$L$94,0)</f>
        <v>8.2516339869281047E-3</v>
      </c>
      <c r="CS35" s="628">
        <f>_xlfn.XLOOKUP($E35,'Løp 27'!$E$10:$E$94,'Løp 27'!$M$10:$M$94,0)</f>
        <v>0</v>
      </c>
      <c r="CT35" s="629">
        <f>_xlfn.XLOOKUP($E35,'Løp 27'!$E$10:$E$94,'Løp 27'!$O$10:$O$94,0)</f>
        <v>0</v>
      </c>
      <c r="CU35" s="629">
        <f>_xlfn.XLOOKUP($E35,'Løp 27'!$E$10:$E$94,'Løp 27'!$L$10:$L$94,0)</f>
        <v>0</v>
      </c>
      <c r="CV35" s="628">
        <f>_xlfn.XLOOKUP($E35,'Løp 28'!$E$10:$E$95,'Løp 28'!$M$10:$M$95,0)</f>
        <v>0</v>
      </c>
      <c r="CW35" s="629">
        <f>_xlfn.XLOOKUP($E35,'Løp 28'!$E$10:$E$95,'Løp 28'!$O$10:$O$95,0)</f>
        <v>0</v>
      </c>
      <c r="CX35" s="629">
        <f>_xlfn.XLOOKUP($E35,'Løp 28'!$E$10:$E$95,'Løp 28'!$L$10:$L$95,0)</f>
        <v>0</v>
      </c>
      <c r="CY35" s="628">
        <f>_xlfn.XLOOKUP($E35,'Løp 29'!$E$10:$E$95,'Løp 29'!$M$10:$M$95,0)</f>
        <v>73</v>
      </c>
      <c r="CZ35" s="629">
        <f>_xlfn.XLOOKUP($E35,'Løp 29'!$E$10:$E$95,'Løp 29'!$O$10:$O$95,0)</f>
        <v>64</v>
      </c>
      <c r="DA35" s="629">
        <f>_xlfn.XLOOKUP($E35,'Løp 29'!$E$10:$E$95,'Løp 29'!$L$10:$L$95,0)</f>
        <v>9.9661044973544978E-3</v>
      </c>
    </row>
    <row r="36" spans="2:105" ht="26" thickBot="1" x14ac:dyDescent="0.3">
      <c r="B36" s="627">
        <f t="shared" si="0"/>
        <v>27</v>
      </c>
      <c r="C36" s="119" t="s">
        <v>101</v>
      </c>
      <c r="D36" s="620" t="s">
        <v>102</v>
      </c>
      <c r="E36" s="616" t="str">
        <f>_xlfn.CONCAT(C36:D36)</f>
        <v>EvenHofstad</v>
      </c>
      <c r="F36" s="610"/>
      <c r="G36" s="653">
        <f>COUNTIF(S36:DA36,"&gt;2")/2</f>
        <v>27</v>
      </c>
      <c r="H36" s="852">
        <f>COUNTIF(S36:DA36,"=Løype")+COUNTIF(S36:DA36,"Arr")</f>
        <v>2</v>
      </c>
      <c r="I36" s="610"/>
      <c r="J36" s="632">
        <f>S36+V36+Y36+AB36+AE36+AH36+AK36+AN36+AQ36+AT36+AW36+AZ36+BC36+BF36+BI36+BL36+BO36+BR36+BU36+BX36+CA36+CD36+CG36+CJ36+CM36+CP36+CS36+CV36+CY36</f>
        <v>2061</v>
      </c>
      <c r="K36" s="633">
        <f>T36+W36+Z36+AC36+AF36+AI36+AL36+AO36+AR36+AU36+AX36+BA36+BD36+BG36+BJ36+BM36+BP36+BS36+BV36+BY36+CB36+CE36+CH36+CK36+CN36+CQ36+CT36+CW36+CZ36</f>
        <v>1891</v>
      </c>
      <c r="L36" s="613"/>
      <c r="M36" s="658">
        <f>IF($G36&gt;0,J36/G36,0)</f>
        <v>76.333333333333329</v>
      </c>
      <c r="N36" s="659">
        <f>IF($G36&gt;0,K36/$G36,0)</f>
        <v>70.037037037037038</v>
      </c>
      <c r="O36" s="862"/>
      <c r="P36" s="874">
        <f>IF(AND($G36&gt;$Q$3-1,$G36-$H36&gt;0),M36,0)</f>
        <v>76.333333333333329</v>
      </c>
      <c r="Q36" s="875">
        <f>IF(AND($G36&gt;$Q$3-1,$G36-$H36&gt;0),N36,0)</f>
        <v>70.037037037037038</v>
      </c>
      <c r="R36" s="613"/>
      <c r="S36" s="628">
        <f>_xlfn.XLOOKUP($E36,'Løp 1'!$E$10:$E$90,'Løp 1'!$M$10:$M$90,0)</f>
        <v>60</v>
      </c>
      <c r="T36" s="629">
        <f>_xlfn.XLOOKUP($E36,'Løp 1'!$E$10:$E$90,'Løp 1'!$O$10:$O$90,0)</f>
        <v>57</v>
      </c>
      <c r="U36" s="629">
        <f>_xlfn.XLOOKUP($E36,'Løp 1'!$E$10:$E$90,'Løp 1'!$L$10:$L$90,0)</f>
        <v>1.3441890166028096E-2</v>
      </c>
      <c r="V36" s="628">
        <f>_xlfn.XLOOKUP($E36,'Løp 2'!$E$10:$E$90,'Løp 2'!$M$10:$M$90,0)</f>
        <v>77</v>
      </c>
      <c r="W36" s="629">
        <f>_xlfn.XLOOKUP($E36,'Løp 2'!$E$10:$E$90,'Løp 2'!$O$10:$O$90,0)</f>
        <v>61</v>
      </c>
      <c r="X36" s="629">
        <f>_xlfn.XLOOKUP($E36,'Løp 2'!$E$10:$E$90,'Løp 2'!$L$10:$L$90,0)</f>
        <v>1.1619543650793651E-2</v>
      </c>
      <c r="Y36" s="628">
        <f>_xlfn.XLOOKUP($E36,'Løp 3'!$E$10:$E$90,'Løp 3'!$M$10:$M$90,0)</f>
        <v>85</v>
      </c>
      <c r="Z36" s="629">
        <f>_xlfn.XLOOKUP($E36,'Løp 3'!$E$10:$E$90,'Løp 3'!$O$10:$O$90,0)</f>
        <v>75</v>
      </c>
      <c r="AA36" s="629">
        <f>_xlfn.XLOOKUP($E36,'Løp 3'!$E$10:$E$90,'Løp 3'!$L$10:$L$90,0)</f>
        <v>1.0582010582010581E-2</v>
      </c>
      <c r="AB36" s="628">
        <f>_xlfn.XLOOKUP($E36,'Løp 4'!$E$10:$E$90,'Løp 4'!$M$10:$M$90,0)</f>
        <v>94</v>
      </c>
      <c r="AC36" s="629">
        <f>_xlfn.XLOOKUP($E36,'Løp 4'!$E$10:$E$90,'Løp 4'!$O$10:$O$90,0)</f>
        <v>94</v>
      </c>
      <c r="AD36" s="629" t="str">
        <f>_xlfn.XLOOKUP($E36,'Løp 4'!$E$10:$E$90,'Løp 4'!$L$10:$L$90,0)</f>
        <v>Arr</v>
      </c>
      <c r="AE36" s="628">
        <f>_xlfn.XLOOKUP($E36,'Løp 5'!$E$10:$E$90,'Løp 5'!$M$10:$M$90,0)</f>
        <v>70</v>
      </c>
      <c r="AF36" s="629">
        <f>_xlfn.XLOOKUP($E36,'Løp 5'!$E$10:$E$90,'Løp 5'!$O$10:$O$90,0)</f>
        <v>63</v>
      </c>
      <c r="AG36" s="629">
        <f>_xlfn.XLOOKUP($E36,'Løp 5'!$E$10:$E$90,'Løp 5'!$L$10:$L$90,0)</f>
        <v>1.0296639231824417E-2</v>
      </c>
      <c r="AH36" s="628">
        <f>_xlfn.XLOOKUP($E36,'Løp 6'!$E$10:$E$90,'Løp 6'!$M$10:$M$90,0)</f>
        <v>86</v>
      </c>
      <c r="AI36" s="629">
        <f>_xlfn.XLOOKUP($E36,'Løp 6'!$E$10:$E$90,'Løp 6'!$O$10:$O$90,0)</f>
        <v>80</v>
      </c>
      <c r="AJ36" s="629">
        <f>_xlfn.XLOOKUP($E36,'Løp 6'!$E$10:$E$90,'Løp 6'!$L$10:$L$90,0)</f>
        <v>9.1628086419753094E-3</v>
      </c>
      <c r="AK36" s="628">
        <f>_xlfn.XLOOKUP($E36,'Løp 7'!$E$10:$E$90,'Løp 7'!$M$10:$M$90,0)</f>
        <v>86</v>
      </c>
      <c r="AL36" s="629">
        <f>_xlfn.XLOOKUP($E36,'Løp 7'!$E$10:$E$90,'Løp 7'!$O$10:$O$90,0)</f>
        <v>65</v>
      </c>
      <c r="AM36" s="629">
        <f>_xlfn.XLOOKUP($E36,'Løp 7'!$E$10:$E$90,'Løp 7'!$L$10:$L$90,0)</f>
        <v>1.9556451612903224E-2</v>
      </c>
      <c r="AN36" s="628">
        <f>_xlfn.XLOOKUP($E36,'Løp 8'!$E$10:$E$91,'Løp 8'!$M$10:$M$91,0)</f>
        <v>0</v>
      </c>
      <c r="AO36" s="629">
        <f>_xlfn.XLOOKUP($E36,'Løp 8'!$E$10:$E$91,'Løp 8'!$O$10:$O$91,0)</f>
        <v>0</v>
      </c>
      <c r="AP36" s="629">
        <f>_xlfn.XLOOKUP($E36,'Løp 8'!$E$10:$E$91,'Løp 8'!$L$10:$L$91,0)</f>
        <v>0</v>
      </c>
      <c r="AQ36" s="628">
        <f>_xlfn.XLOOKUP($E36,'Løp 9'!$E$10:$E$91,'Løp 9'!$M$10:$M$91,0)</f>
        <v>83</v>
      </c>
      <c r="AR36" s="629">
        <f>_xlfn.XLOOKUP($E36,'Løp 9'!$E$10:$E$91,'Løp 9'!$O$10:$O$91,0)</f>
        <v>69</v>
      </c>
      <c r="AS36" s="629">
        <f>_xlfn.XLOOKUP($E36,'Løp 9'!$E$10:$E$91,'Løp 9'!$L$10:$L$91,0)</f>
        <v>8.1702441077441072E-3</v>
      </c>
      <c r="AT36" s="628">
        <f>_xlfn.XLOOKUP($E36,'Løp 10'!$E$10:$E$91,'Løp 10'!$M$10:$M$91,0)</f>
        <v>77</v>
      </c>
      <c r="AU36" s="629">
        <f>_xlfn.XLOOKUP($E36,'Løp 10'!$E$10:$E$91,'Løp 10'!$O$10:$O$91,0)</f>
        <v>71</v>
      </c>
      <c r="AV36" s="629">
        <f>_xlfn.XLOOKUP($E36,'Løp 10'!$E$10:$E$91,'Løp 10'!$L$10:$L$91,0)</f>
        <v>9.6788194444444448E-3</v>
      </c>
      <c r="AW36" s="628">
        <f>_xlfn.XLOOKUP($E36,'Løp 11'!$E$10:$E$91,'Løp 11'!$M$10:$M$91,0)</f>
        <v>80</v>
      </c>
      <c r="AX36" s="629">
        <f>_xlfn.XLOOKUP($E36,'Løp 11'!$E$10:$E$91,'Løp 11'!$O$10:$O$91,0)</f>
        <v>74</v>
      </c>
      <c r="AY36" s="629">
        <f>_xlfn.XLOOKUP($E36,'Løp 11'!$E$10:$E$91,'Løp 11'!$L$10:$L$91,0)</f>
        <v>9.1399016203703703E-3</v>
      </c>
      <c r="AZ36" s="628">
        <f>_xlfn.XLOOKUP($E36,'Løp 12'!$E$10:$E$91,'Løp 12'!$M$10:$M$91,0)</f>
        <v>68</v>
      </c>
      <c r="BA36" s="629">
        <f>_xlfn.XLOOKUP($E36,'Løp 12'!$E$10:$E$91,'Løp 12'!$O$10:$O$91,0)</f>
        <v>67</v>
      </c>
      <c r="BB36" s="629">
        <f>_xlfn.XLOOKUP($E36,'Løp 12'!$E$10:$E$91,'Løp 12'!$L$10:$L$91,0)</f>
        <v>8.1307870370370388E-3</v>
      </c>
      <c r="BC36" s="628">
        <f>_xlfn.XLOOKUP($E36,'Løp 13'!$E$10:$E$91,'Løp 13'!$M$10:$M$91,0)</f>
        <v>63</v>
      </c>
      <c r="BD36" s="629">
        <f>_xlfn.XLOOKUP($E36,'Løp 13'!$E$10:$E$91,'Løp 13'!$O$10:$O$91,0)</f>
        <v>68</v>
      </c>
      <c r="BE36" s="629">
        <f>_xlfn.XLOOKUP($E36,'Løp 13'!$E$10:$E$91,'Løp 13'!$L$10:$L$91,0)</f>
        <v>8.6631944444444439E-3</v>
      </c>
      <c r="BF36" s="628">
        <f>_xlfn.XLOOKUP($E36,'Løp 14'!$E$10:$E$91,'Løp 14'!$M$10:$M$91,0)</f>
        <v>79</v>
      </c>
      <c r="BG36" s="629">
        <f>_xlfn.XLOOKUP($E36,'Løp 14'!$E$10:$E$91,'Løp 14'!$O$10:$O$91,0)</f>
        <v>74</v>
      </c>
      <c r="BH36" s="629">
        <f>_xlfn.XLOOKUP($E36,'Løp 14'!$E$10:$E$91,'Løp 14'!$L$10:$L$91,0)</f>
        <v>7.9137731481481472E-3</v>
      </c>
      <c r="BI36" s="628">
        <f>_xlfn.XLOOKUP($E36,'Løp 15'!$E$10:$E$91,'Løp 15'!$M$10:$M$91,0)</f>
        <v>80</v>
      </c>
      <c r="BJ36" s="629">
        <f>_xlfn.XLOOKUP($E36,'Løp 15'!$E$10:$E$91,'Løp 15'!$O$10:$O$91,0)</f>
        <v>66</v>
      </c>
      <c r="BK36" s="629">
        <f>_xlfn.XLOOKUP($E36,'Løp 15'!$E$10:$E$91,'Løp 15'!$L$10:$L$91,0)</f>
        <v>1.0820005611672279E-2</v>
      </c>
      <c r="BL36" s="628">
        <f>_xlfn.XLOOKUP($E36,'Løp 16'!$E$10:$E$91,'Løp 16'!$M$10:$M$91,0)</f>
        <v>77</v>
      </c>
      <c r="BM36" s="629">
        <f>_xlfn.XLOOKUP($E36,'Løp 16'!$E$10:$E$91,'Løp 16'!$O$10:$O$91,0)</f>
        <v>73</v>
      </c>
      <c r="BN36" s="629">
        <f>_xlfn.XLOOKUP($E36,'Løp 16'!$E$10:$E$91,'Løp 16'!$L$10:$L$91,0)</f>
        <v>8.9339339339339335E-3</v>
      </c>
      <c r="BO36" s="628">
        <f>_xlfn.XLOOKUP($E36,'Løp 17'!$E$10:$E$91,'Løp 17'!$M$10:$M$91,0)</f>
        <v>76</v>
      </c>
      <c r="BP36" s="629">
        <f>_xlfn.XLOOKUP($E36,'Løp 17'!$E$10:$E$91,'Løp 17'!$O$10:$O$91,0)</f>
        <v>72</v>
      </c>
      <c r="BQ36" s="629">
        <f>_xlfn.XLOOKUP($E36,'Løp 17'!$E$10:$E$91,'Løp 17'!$L$10:$L$91,0)</f>
        <v>8.4131545338441884E-3</v>
      </c>
      <c r="BR36" s="628">
        <f>_xlfn.XLOOKUP($E36,'Løp 18'!$E$10:$E$91,'Løp 18'!$M$10:$M$91,0)</f>
        <v>76</v>
      </c>
      <c r="BS36" s="629">
        <f>_xlfn.XLOOKUP($E36,'Løp 18'!$E$10:$E$91,'Løp 18'!$O$10:$O$91,0)</f>
        <v>67</v>
      </c>
      <c r="BT36" s="629">
        <f>_xlfn.XLOOKUP($E36,'Løp 18'!$E$10:$E$91,'Løp 18'!$L$10:$L$91,0)</f>
        <v>9.4039351851851836E-3</v>
      </c>
      <c r="BU36" s="628">
        <f>_xlfn.XLOOKUP($E36,'Løp 19'!$E$10:$E$91,'Løp 19'!$M$10:$M$91,0)</f>
        <v>94</v>
      </c>
      <c r="BV36" s="629">
        <f>_xlfn.XLOOKUP($E36,'Løp 19'!$E$10:$E$91,'Løp 19'!$O$10:$O$91,0)</f>
        <v>94</v>
      </c>
      <c r="BW36" s="629" t="str">
        <f>_xlfn.XLOOKUP($E36,'Løp 19'!$E$10:$E$91,'Løp 19'!$L$10:$L$91,0)</f>
        <v>Arr</v>
      </c>
      <c r="BX36" s="628">
        <f>_xlfn.XLOOKUP($E36,'Løp 20'!$E$10:$E$92,'Løp 20'!$M$10:$M$92,0)</f>
        <v>74</v>
      </c>
      <c r="BY36" s="629">
        <f>_xlfn.XLOOKUP($E36,'Løp 20'!$E$10:$E$92,'Løp 20'!$O$10:$O$92,0)</f>
        <v>66</v>
      </c>
      <c r="BZ36" s="629">
        <f>_xlfn.XLOOKUP($E36,'Løp 20'!$E$10:$E$92,'Løp 20'!$L$10:$L$92,0)</f>
        <v>1.0529100529100529E-2</v>
      </c>
      <c r="CA36" s="628">
        <f>_xlfn.XLOOKUP($E36,'Løp 21'!$E$10:$E$93,'Løp 21'!$M$10:$M$93,0)</f>
        <v>74</v>
      </c>
      <c r="CB36" s="629">
        <f>_xlfn.XLOOKUP($E36,'Løp 21'!$E$10:$E$93,'Løp 21'!$O$10:$O$93,0)</f>
        <v>70</v>
      </c>
      <c r="CC36" s="629">
        <f>_xlfn.XLOOKUP($E36,'Løp 21'!$E$10:$E$93,'Løp 21'!$L$10:$L$93,0)</f>
        <v>8.2138590203106321E-3</v>
      </c>
      <c r="CD36" s="628">
        <f>_xlfn.XLOOKUP($E36,'Løp 22'!$E$10:$E$93,'Løp 22'!$M$10:$M$93,0)</f>
        <v>75</v>
      </c>
      <c r="CE36" s="629">
        <f>_xlfn.XLOOKUP($E36,'Løp 22'!$E$10:$E$93,'Løp 22'!$O$10:$O$93,0)</f>
        <v>69</v>
      </c>
      <c r="CF36" s="629">
        <f>_xlfn.XLOOKUP($E36,'Løp 22'!$E$10:$E$93,'Løp 22'!$L$10:$L$93,0)</f>
        <v>9.3660968660968652E-3</v>
      </c>
      <c r="CG36" s="628">
        <f>_xlfn.XLOOKUP($E36,'Løp 23'!$E$10:$E$93,'Løp 23'!$M$10:$M$93,0)</f>
        <v>74</v>
      </c>
      <c r="CH36" s="629">
        <f>_xlfn.XLOOKUP($E36,'Løp 23'!$E$10:$E$93,'Løp 23'!$O$10:$O$93,0)</f>
        <v>69</v>
      </c>
      <c r="CI36" s="629">
        <f>_xlfn.XLOOKUP($E36,'Løp 23'!$E$10:$E$93,'Løp 23'!$L$10:$L$93,0)</f>
        <v>6.976372924648787E-3</v>
      </c>
      <c r="CJ36" s="628">
        <f>_xlfn.XLOOKUP($E36,'Løp 24'!$E$10:$E$93,'Løp 24'!$M$10:$M$93,0)</f>
        <v>73</v>
      </c>
      <c r="CK36" s="629">
        <f>_xlfn.XLOOKUP($E36,'Løp 24'!$E$10:$E$93,'Løp 24'!$O$10:$O$93,0)</f>
        <v>57</v>
      </c>
      <c r="CL36" s="629">
        <f>_xlfn.XLOOKUP($E36,'Løp 24'!$E$10:$E$93,'Løp 24'!$L$10:$L$93,0)</f>
        <v>7.3103345280764627E-3</v>
      </c>
      <c r="CM36" s="628">
        <f>_xlfn.XLOOKUP($E36,'Løp 25'!$E$10:$E$94,'Løp 25'!$M$10:$M$94,0)</f>
        <v>67</v>
      </c>
      <c r="CN36" s="629">
        <f>_xlfn.XLOOKUP($E36,'Løp 25'!$E$10:$E$94,'Løp 25'!$O$10:$O$94,0)</f>
        <v>62</v>
      </c>
      <c r="CO36" s="629">
        <f>_xlfn.XLOOKUP($E36,'Løp 25'!$E$10:$E$94,'Løp 25'!$L$10:$L$94,0)</f>
        <v>1.0789207175925927E-2</v>
      </c>
      <c r="CP36" s="628">
        <f>_xlfn.XLOOKUP($E36,'Løp 26'!$E$10:$E$94,'Løp 26'!$M$10:$M$94,0)</f>
        <v>73</v>
      </c>
      <c r="CQ36" s="629">
        <f>_xlfn.XLOOKUP($E36,'Løp 26'!$E$10:$E$94,'Løp 26'!$O$10:$O$94,0)</f>
        <v>71</v>
      </c>
      <c r="CR36" s="629">
        <f>_xlfn.XLOOKUP($E36,'Løp 26'!$E$10:$E$94,'Løp 26'!$L$10:$L$94,0)</f>
        <v>9.6439270152505457E-3</v>
      </c>
      <c r="CS36" s="628">
        <f>_xlfn.XLOOKUP($E36,'Løp 27'!$E$10:$E$94,'Løp 27'!$M$10:$M$94,0)</f>
        <v>74</v>
      </c>
      <c r="CT36" s="629">
        <f>_xlfn.XLOOKUP($E36,'Løp 27'!$E$10:$E$94,'Løp 27'!$O$10:$O$94,0)</f>
        <v>71</v>
      </c>
      <c r="CU36" s="629">
        <f>_xlfn.XLOOKUP($E36,'Løp 27'!$E$10:$E$94,'Løp 27'!$L$10:$L$94,0)</f>
        <v>9.3235596707818922E-3</v>
      </c>
      <c r="CV36" s="628">
        <f>_xlfn.XLOOKUP($E36,'Løp 28'!$E$10:$E$95,'Løp 28'!$M$10:$M$95,0)</f>
        <v>66</v>
      </c>
      <c r="CW36" s="629">
        <f>_xlfn.XLOOKUP($E36,'Løp 28'!$E$10:$E$95,'Løp 28'!$O$10:$O$95,0)</f>
        <v>66</v>
      </c>
      <c r="CX36" s="629">
        <f>_xlfn.XLOOKUP($E36,'Løp 28'!$E$10:$E$95,'Løp 28'!$L$10:$L$95,0)</f>
        <v>1.0059380032206119E-2</v>
      </c>
      <c r="CY36" s="628">
        <f>_xlfn.XLOOKUP($E36,'Løp 29'!$E$10:$E$95,'Løp 29'!$M$10:$M$95,0)</f>
        <v>0</v>
      </c>
      <c r="CZ36" s="629">
        <f>_xlfn.XLOOKUP($E36,'Løp 29'!$E$10:$E$95,'Løp 29'!$O$10:$O$95,0)</f>
        <v>0</v>
      </c>
      <c r="DA36" s="629">
        <f>_xlfn.XLOOKUP($E36,'Løp 29'!$E$10:$E$95,'Løp 29'!$L$10:$L$95,0)</f>
        <v>0</v>
      </c>
    </row>
    <row r="37" spans="2:105" ht="26" thickBot="1" x14ac:dyDescent="0.3">
      <c r="B37" s="627">
        <f t="shared" si="0"/>
        <v>28</v>
      </c>
      <c r="C37" s="119" t="s">
        <v>63</v>
      </c>
      <c r="D37" s="620" t="s">
        <v>98</v>
      </c>
      <c r="E37" s="616" t="str">
        <f>_xlfn.CONCAT(C37:D37)</f>
        <v>ToreHeggem</v>
      </c>
      <c r="F37" s="610"/>
      <c r="G37" s="653">
        <f>COUNTIF(S37:DA37,"&gt;2")/2</f>
        <v>20</v>
      </c>
      <c r="H37" s="852">
        <f>COUNTIF(S37:DA37,"=Løype")+COUNTIF(S37:DA37,"Arr")</f>
        <v>2</v>
      </c>
      <c r="I37" s="610"/>
      <c r="J37" s="632">
        <f>S37+V37+Y37+AB37+AE37+AH37+AK37+AN37+AQ37+AT37+AW37+AZ37+BC37+BF37+BI37+BL37+BO37+BR37+BU37+BX37+CA37+CD37+CG37+CJ37+CM37+CP37+CS37+CV37+CY37</f>
        <v>1519</v>
      </c>
      <c r="K37" s="633">
        <f>T37+W37+Z37+AC37+AF37+AI37+AL37+AO37+AR37+AU37+AX37+BA37+BD37+BG37+BJ37+BM37+BP37+BS37+BV37+BY37+CB37+CE37+CH37+CK37+CN37+CQ37+CT37+CW37+CZ37</f>
        <v>1393</v>
      </c>
      <c r="L37" s="613"/>
      <c r="M37" s="658">
        <f>IF($G37&gt;0,J37/G37,0)</f>
        <v>75.95</v>
      </c>
      <c r="N37" s="659">
        <f>IF($G37&gt;0,K37/$G37,0)</f>
        <v>69.650000000000006</v>
      </c>
      <c r="O37" s="862"/>
      <c r="P37" s="874">
        <f>IF(AND($G37&gt;$Q$3-1,$G37-$H37&gt;0),M37,0)</f>
        <v>75.95</v>
      </c>
      <c r="Q37" s="875">
        <f>IF(AND($G37&gt;$Q$3-1,$G37-$H37&gt;0),N37,0)</f>
        <v>69.650000000000006</v>
      </c>
      <c r="R37" s="613"/>
      <c r="S37" s="628">
        <f>_xlfn.XLOOKUP($E37,'Løp 1'!$E$10:$E$90,'Løp 1'!$M$10:$M$90,0)</f>
        <v>0</v>
      </c>
      <c r="T37" s="629">
        <f>_xlfn.XLOOKUP($E37,'Løp 1'!$E$10:$E$90,'Løp 1'!$O$10:$O$90,0)</f>
        <v>0</v>
      </c>
      <c r="U37" s="629">
        <f>_xlfn.XLOOKUP($E37,'Løp 1'!$E$10:$E$90,'Løp 1'!$L$10:$L$90,0)</f>
        <v>0</v>
      </c>
      <c r="V37" s="628">
        <f>_xlfn.XLOOKUP($E37,'Løp 2'!$E$10:$E$90,'Løp 2'!$M$10:$M$90,0)</f>
        <v>62</v>
      </c>
      <c r="W37" s="629">
        <f>_xlfn.XLOOKUP($E37,'Løp 2'!$E$10:$E$90,'Løp 2'!$O$10:$O$90,0)</f>
        <v>50</v>
      </c>
      <c r="X37" s="629">
        <f>_xlfn.XLOOKUP($E37,'Løp 2'!$E$10:$E$90,'Løp 2'!$L$10:$L$90,0)</f>
        <v>1.4451058201058202E-2</v>
      </c>
      <c r="Y37" s="628">
        <f>_xlfn.XLOOKUP($E37,'Løp 3'!$E$10:$E$90,'Løp 3'!$M$10:$M$90,0)</f>
        <v>69</v>
      </c>
      <c r="Z37" s="629">
        <f>_xlfn.XLOOKUP($E37,'Løp 3'!$E$10:$E$90,'Løp 3'!$O$10:$O$90,0)</f>
        <v>62</v>
      </c>
      <c r="AA37" s="629">
        <f>_xlfn.XLOOKUP($E37,'Løp 3'!$E$10:$E$90,'Løp 3'!$L$10:$L$90,0)</f>
        <v>1.3128306878306878E-2</v>
      </c>
      <c r="AB37" s="628">
        <f>_xlfn.XLOOKUP($E37,'Løp 4'!$E$10:$E$90,'Løp 4'!$M$10:$M$90,0)</f>
        <v>94</v>
      </c>
      <c r="AC37" s="629">
        <f>_xlfn.XLOOKUP($E37,'Løp 4'!$E$10:$E$90,'Løp 4'!$O$10:$O$90,0)</f>
        <v>94</v>
      </c>
      <c r="AD37" s="629" t="str">
        <f>_xlfn.XLOOKUP($E37,'Løp 4'!$E$10:$E$90,'Løp 4'!$L$10:$L$90,0)</f>
        <v>Arr</v>
      </c>
      <c r="AE37" s="628">
        <f>_xlfn.XLOOKUP($E37,'Løp 5'!$E$10:$E$90,'Løp 5'!$M$10:$M$90,0)</f>
        <v>79</v>
      </c>
      <c r="AF37" s="629">
        <f>_xlfn.XLOOKUP($E37,'Løp 5'!$E$10:$E$90,'Løp 5'!$O$10:$O$90,0)</f>
        <v>73</v>
      </c>
      <c r="AG37" s="629">
        <f>_xlfn.XLOOKUP($E37,'Løp 5'!$E$10:$E$90,'Løp 5'!$L$10:$L$90,0)</f>
        <v>9.113511659807956E-3</v>
      </c>
      <c r="AH37" s="628">
        <f>_xlfn.XLOOKUP($E37,'Løp 6'!$E$10:$E$90,'Løp 6'!$M$10:$M$90,0)</f>
        <v>78</v>
      </c>
      <c r="AI37" s="629">
        <f>_xlfn.XLOOKUP($E37,'Løp 6'!$E$10:$E$90,'Løp 6'!$O$10:$O$90,0)</f>
        <v>75</v>
      </c>
      <c r="AJ37" s="629">
        <f>_xlfn.XLOOKUP($E37,'Løp 6'!$E$10:$E$90,'Løp 6'!$L$10:$L$90,0)</f>
        <v>1.0007716049382716E-2</v>
      </c>
      <c r="AK37" s="628">
        <f>_xlfn.XLOOKUP($E37,'Løp 7'!$E$10:$E$90,'Løp 7'!$M$10:$M$90,0)</f>
        <v>93</v>
      </c>
      <c r="AL37" s="629">
        <f>_xlfn.XLOOKUP($E37,'Løp 7'!$E$10:$E$90,'Løp 7'!$O$10:$O$90,0)</f>
        <v>73</v>
      </c>
      <c r="AM37" s="629">
        <f>_xlfn.XLOOKUP($E37,'Løp 7'!$E$10:$E$90,'Løp 7'!$L$10:$L$90,0)</f>
        <v>1.8033154121863799E-2</v>
      </c>
      <c r="AN37" s="628">
        <f>_xlfn.XLOOKUP($E37,'Løp 8'!$E$10:$E$91,'Løp 8'!$M$10:$M$91,0)</f>
        <v>90</v>
      </c>
      <c r="AO37" s="629">
        <f>_xlfn.XLOOKUP($E37,'Løp 8'!$E$10:$E$91,'Løp 8'!$O$10:$O$91,0)</f>
        <v>71</v>
      </c>
      <c r="AP37" s="629">
        <f>_xlfn.XLOOKUP($E37,'Løp 8'!$E$10:$E$91,'Løp 8'!$L$10:$L$91,0)</f>
        <v>9.4907407407407406E-3</v>
      </c>
      <c r="AQ37" s="628">
        <f>_xlfn.XLOOKUP($E37,'Løp 9'!$E$10:$E$91,'Løp 9'!$M$10:$M$91,0)</f>
        <v>81</v>
      </c>
      <c r="AR37" s="629">
        <f>_xlfn.XLOOKUP($E37,'Løp 9'!$E$10:$E$91,'Løp 9'!$O$10:$O$91,0)</f>
        <v>68</v>
      </c>
      <c r="AS37" s="629">
        <f>_xlfn.XLOOKUP($E37,'Løp 9'!$E$10:$E$91,'Løp 9'!$L$10:$L$91,0)</f>
        <v>8.3856033452807642E-3</v>
      </c>
      <c r="AT37" s="628">
        <f>_xlfn.XLOOKUP($E37,'Løp 10'!$E$10:$E$91,'Løp 10'!$M$10:$M$91,0)</f>
        <v>0</v>
      </c>
      <c r="AU37" s="629">
        <f>_xlfn.XLOOKUP($E37,'Løp 10'!$E$10:$E$91,'Løp 10'!$O$10:$O$91,0)</f>
        <v>0</v>
      </c>
      <c r="AV37" s="629">
        <f>_xlfn.XLOOKUP($E37,'Løp 10'!$E$10:$E$91,'Løp 10'!$L$10:$L$91,0)</f>
        <v>0</v>
      </c>
      <c r="AW37" s="628">
        <f>_xlfn.XLOOKUP($E37,'Løp 11'!$E$10:$E$91,'Løp 11'!$M$10:$M$91,0)</f>
        <v>81</v>
      </c>
      <c r="AX37" s="629">
        <f>_xlfn.XLOOKUP($E37,'Løp 11'!$E$10:$E$91,'Løp 11'!$O$10:$O$91,0)</f>
        <v>77</v>
      </c>
      <c r="AY37" s="629">
        <f>_xlfn.XLOOKUP($E37,'Løp 11'!$E$10:$E$91,'Løp 11'!$L$10:$L$91,0)</f>
        <v>9.0784143518518514E-3</v>
      </c>
      <c r="AZ37" s="628">
        <f>_xlfn.XLOOKUP($E37,'Løp 12'!$E$10:$E$91,'Løp 12'!$M$10:$M$91,0)</f>
        <v>0</v>
      </c>
      <c r="BA37" s="629">
        <f>_xlfn.XLOOKUP($E37,'Løp 12'!$E$10:$E$91,'Løp 12'!$O$10:$O$91,0)</f>
        <v>0</v>
      </c>
      <c r="BB37" s="629">
        <f>_xlfn.XLOOKUP($E37,'Løp 12'!$E$10:$E$91,'Løp 12'!$L$10:$L$91,0)</f>
        <v>0</v>
      </c>
      <c r="BC37" s="628">
        <f>_xlfn.XLOOKUP($E37,'Løp 13'!$E$10:$E$91,'Løp 13'!$M$10:$M$91,0)</f>
        <v>0</v>
      </c>
      <c r="BD37" s="629">
        <f>_xlfn.XLOOKUP($E37,'Løp 13'!$E$10:$E$91,'Løp 13'!$O$10:$O$91,0)</f>
        <v>0</v>
      </c>
      <c r="BE37" s="629">
        <f>_xlfn.XLOOKUP($E37,'Løp 13'!$E$10:$E$91,'Løp 13'!$L$10:$L$91,0)</f>
        <v>0</v>
      </c>
      <c r="BF37" s="628">
        <f>_xlfn.XLOOKUP($E37,'Løp 14'!$E$10:$E$91,'Løp 14'!$M$10:$M$91,0)</f>
        <v>0</v>
      </c>
      <c r="BG37" s="629">
        <f>_xlfn.XLOOKUP($E37,'Løp 14'!$E$10:$E$91,'Løp 14'!$O$10:$O$91,0)</f>
        <v>0</v>
      </c>
      <c r="BH37" s="629">
        <f>_xlfn.XLOOKUP($E37,'Løp 14'!$E$10:$E$91,'Løp 14'!$L$10:$L$91,0)</f>
        <v>0</v>
      </c>
      <c r="BI37" s="628">
        <f>_xlfn.XLOOKUP($E37,'Løp 15'!$E$10:$E$91,'Løp 15'!$M$10:$M$91,0)</f>
        <v>0</v>
      </c>
      <c r="BJ37" s="629">
        <f>_xlfn.XLOOKUP($E37,'Løp 15'!$E$10:$E$91,'Løp 15'!$O$10:$O$91,0)</f>
        <v>0</v>
      </c>
      <c r="BK37" s="629">
        <f>_xlfn.XLOOKUP($E37,'Løp 15'!$E$10:$E$91,'Løp 15'!$L$10:$L$91,0)</f>
        <v>0</v>
      </c>
      <c r="BL37" s="628">
        <f>_xlfn.XLOOKUP($E37,'Løp 16'!$E$10:$E$91,'Løp 16'!$M$10:$M$91,0)</f>
        <v>72</v>
      </c>
      <c r="BM37" s="629">
        <f>_xlfn.XLOOKUP($E37,'Løp 16'!$E$10:$E$91,'Løp 16'!$O$10:$O$91,0)</f>
        <v>71</v>
      </c>
      <c r="BN37" s="629">
        <f>_xlfn.XLOOKUP($E37,'Løp 16'!$E$10:$E$91,'Løp 16'!$L$10:$L$91,0)</f>
        <v>9.4907407407407406E-3</v>
      </c>
      <c r="BO37" s="628">
        <f>_xlfn.XLOOKUP($E37,'Løp 17'!$E$10:$E$91,'Løp 17'!$M$10:$M$91,0)</f>
        <v>0</v>
      </c>
      <c r="BP37" s="629">
        <f>_xlfn.XLOOKUP($E37,'Løp 17'!$E$10:$E$91,'Løp 17'!$O$10:$O$91,0)</f>
        <v>0</v>
      </c>
      <c r="BQ37" s="629">
        <f>_xlfn.XLOOKUP($E37,'Løp 17'!$E$10:$E$91,'Løp 17'!$L$10:$L$91,0)</f>
        <v>0</v>
      </c>
      <c r="BR37" s="628">
        <f>_xlfn.XLOOKUP($E37,'Løp 18'!$E$10:$E$91,'Løp 18'!$M$10:$M$91,0)</f>
        <v>68</v>
      </c>
      <c r="BS37" s="629">
        <f>_xlfn.XLOOKUP($E37,'Løp 18'!$E$10:$E$91,'Løp 18'!$O$10:$O$91,0)</f>
        <v>61</v>
      </c>
      <c r="BT37" s="629">
        <f>_xlfn.XLOOKUP($E37,'Løp 18'!$E$10:$E$91,'Løp 18'!$L$10:$L$91,0)</f>
        <v>1.0633680555555554E-2</v>
      </c>
      <c r="BU37" s="628">
        <f>_xlfn.XLOOKUP($E37,'Løp 19'!$E$10:$E$91,'Løp 19'!$M$10:$M$91,0)</f>
        <v>100</v>
      </c>
      <c r="BV37" s="629">
        <f>_xlfn.XLOOKUP($E37,'Løp 19'!$E$10:$E$91,'Løp 19'!$O$10:$O$91,0)</f>
        <v>100</v>
      </c>
      <c r="BW37" s="629" t="str">
        <f>_xlfn.XLOOKUP($E37,'Løp 19'!$E$10:$E$91,'Løp 19'!$L$10:$L$91,0)</f>
        <v>Løype</v>
      </c>
      <c r="BX37" s="628">
        <f>_xlfn.XLOOKUP($E37,'Løp 20'!$E$10:$E$92,'Løp 20'!$M$10:$M$92,0)</f>
        <v>80</v>
      </c>
      <c r="BY37" s="629">
        <f>_xlfn.XLOOKUP($E37,'Løp 20'!$E$10:$E$92,'Løp 20'!$O$10:$O$92,0)</f>
        <v>74</v>
      </c>
      <c r="BZ37" s="629">
        <f>_xlfn.XLOOKUP($E37,'Løp 20'!$E$10:$E$92,'Løp 20'!$L$10:$L$92,0)</f>
        <v>9.6924603174603184E-3</v>
      </c>
      <c r="CA37" s="628">
        <f>_xlfn.XLOOKUP($E37,'Løp 21'!$E$10:$E$93,'Løp 21'!$M$10:$M$93,0)</f>
        <v>55</v>
      </c>
      <c r="CB37" s="629">
        <f>_xlfn.XLOOKUP($E37,'Løp 21'!$E$10:$E$93,'Løp 21'!$O$10:$O$93,0)</f>
        <v>53</v>
      </c>
      <c r="CC37" s="629">
        <f>_xlfn.XLOOKUP($E37,'Løp 21'!$E$10:$E$93,'Løp 21'!$L$10:$L$93,0)</f>
        <v>1.1036439665471924E-2</v>
      </c>
      <c r="CD37" s="628">
        <f>_xlfn.XLOOKUP($E37,'Løp 22'!$E$10:$E$93,'Løp 22'!$M$10:$M$93,0)</f>
        <v>0</v>
      </c>
      <c r="CE37" s="629">
        <f>_xlfn.XLOOKUP($E37,'Løp 22'!$E$10:$E$93,'Løp 22'!$O$10:$O$93,0)</f>
        <v>0</v>
      </c>
      <c r="CF37" s="629">
        <f>_xlfn.XLOOKUP($E37,'Løp 22'!$E$10:$E$93,'Løp 22'!$L$10:$L$93,0)</f>
        <v>0</v>
      </c>
      <c r="CG37" s="628">
        <f>_xlfn.XLOOKUP($E37,'Løp 23'!$E$10:$E$93,'Løp 23'!$M$10:$M$93,0)</f>
        <v>73</v>
      </c>
      <c r="CH37" s="629">
        <f>_xlfn.XLOOKUP($E37,'Løp 23'!$E$10:$E$93,'Løp 23'!$O$10:$O$93,0)</f>
        <v>69</v>
      </c>
      <c r="CI37" s="629">
        <f>_xlfn.XLOOKUP($E37,'Løp 23'!$E$10:$E$93,'Løp 23'!$L$10:$L$93,0)</f>
        <v>7.1040868454661553E-3</v>
      </c>
      <c r="CJ37" s="628">
        <f>_xlfn.XLOOKUP($E37,'Løp 24'!$E$10:$E$93,'Løp 24'!$M$10:$M$93,0)</f>
        <v>72</v>
      </c>
      <c r="CK37" s="629">
        <f>_xlfn.XLOOKUP($E37,'Løp 24'!$E$10:$E$93,'Løp 24'!$O$10:$O$93,0)</f>
        <v>58</v>
      </c>
      <c r="CL37" s="629">
        <f>_xlfn.XLOOKUP($E37,'Løp 24'!$E$10:$E$93,'Løp 24'!$L$10:$L$93,0)</f>
        <v>7.38873954599761E-3</v>
      </c>
      <c r="CM37" s="628">
        <f>_xlfn.XLOOKUP($E37,'Løp 25'!$E$10:$E$94,'Løp 25'!$M$10:$M$94,0)</f>
        <v>65</v>
      </c>
      <c r="CN37" s="629">
        <f>_xlfn.XLOOKUP($E37,'Løp 25'!$E$10:$E$94,'Løp 25'!$O$10:$O$94,0)</f>
        <v>61</v>
      </c>
      <c r="CO37" s="629">
        <f>_xlfn.XLOOKUP($E37,'Løp 25'!$E$10:$E$94,'Løp 25'!$L$10:$L$94,0)</f>
        <v>1.1136429398148148E-2</v>
      </c>
      <c r="CP37" s="628">
        <f>_xlfn.XLOOKUP($E37,'Løp 26'!$E$10:$E$94,'Løp 26'!$M$10:$M$94,0)</f>
        <v>0</v>
      </c>
      <c r="CQ37" s="629">
        <f>_xlfn.XLOOKUP($E37,'Løp 26'!$E$10:$E$94,'Løp 26'!$O$10:$O$94,0)</f>
        <v>0</v>
      </c>
      <c r="CR37" s="629">
        <f>_xlfn.XLOOKUP($E37,'Løp 26'!$E$10:$E$94,'Løp 26'!$L$10:$L$94,0)</f>
        <v>0</v>
      </c>
      <c r="CS37" s="628">
        <f>_xlfn.XLOOKUP($E37,'Løp 27'!$E$10:$E$94,'Løp 27'!$M$10:$M$94,0)</f>
        <v>61</v>
      </c>
      <c r="CT37" s="629">
        <f>_xlfn.XLOOKUP($E37,'Løp 27'!$E$10:$E$94,'Løp 27'!$O$10:$O$94,0)</f>
        <v>60</v>
      </c>
      <c r="CU37" s="629">
        <f>_xlfn.XLOOKUP($E37,'Løp 27'!$E$10:$E$94,'Løp 27'!$L$10:$L$94,0)</f>
        <v>1.1299725651577504E-2</v>
      </c>
      <c r="CV37" s="628">
        <f>_xlfn.XLOOKUP($E37,'Løp 28'!$E$10:$E$95,'Løp 28'!$M$10:$M$95,0)</f>
        <v>70</v>
      </c>
      <c r="CW37" s="629">
        <f>_xlfn.XLOOKUP($E37,'Løp 28'!$E$10:$E$95,'Løp 28'!$O$10:$O$95,0)</f>
        <v>71</v>
      </c>
      <c r="CX37" s="629">
        <f>_xlfn.XLOOKUP($E37,'Løp 28'!$E$10:$E$95,'Løp 28'!$L$10:$L$95,0)</f>
        <v>9.4555152979066033E-3</v>
      </c>
      <c r="CY37" s="628">
        <f>_xlfn.XLOOKUP($E37,'Løp 29'!$E$10:$E$95,'Løp 29'!$M$10:$M$95,0)</f>
        <v>76</v>
      </c>
      <c r="CZ37" s="629">
        <f>_xlfn.XLOOKUP($E37,'Løp 29'!$E$10:$E$95,'Løp 29'!$O$10:$O$95,0)</f>
        <v>72</v>
      </c>
      <c r="DA37" s="629">
        <f>_xlfn.XLOOKUP($E37,'Løp 29'!$E$10:$E$95,'Løp 29'!$L$10:$L$95,0)</f>
        <v>9.6230158730158735E-3</v>
      </c>
    </row>
    <row r="38" spans="2:105" ht="26" thickBot="1" x14ac:dyDescent="0.3">
      <c r="B38" s="627">
        <f t="shared" si="0"/>
        <v>29</v>
      </c>
      <c r="C38" s="119" t="s">
        <v>170</v>
      </c>
      <c r="D38" s="620" t="s">
        <v>171</v>
      </c>
      <c r="E38" s="616" t="str">
        <f>_xlfn.CONCAT(C38:D38)</f>
        <v>ØisteinÅsmul</v>
      </c>
      <c r="F38" s="610"/>
      <c r="G38" s="653">
        <f>COUNTIF(S38:DA38,"&gt;2")/2</f>
        <v>26</v>
      </c>
      <c r="H38" s="852">
        <f>COUNTIF(S38:DA38,"=Løype")+COUNTIF(S38:DA38,"Arr")</f>
        <v>1</v>
      </c>
      <c r="I38" s="610"/>
      <c r="J38" s="632">
        <f>S38+V38+Y38+AB38+AE38+AH38+AK38+AN38+AQ38+AT38+AW38+AZ38+BC38+BF38+BI38+BL38+BO38+BR38+BU38+BX38+CA38+CD38+CG38+CJ38+CM38+CP38+CS38+CV38+CY38</f>
        <v>1572</v>
      </c>
      <c r="K38" s="633">
        <f>T38+W38+Z38+AC38+AF38+AI38+AL38+AO38+AR38+AU38+AX38+BA38+BD38+BG38+BJ38+BM38+BP38+BS38+BV38+BY38+CB38+CE38+CH38+CK38+CN38+CQ38+CT38+CW38+CZ38</f>
        <v>1772</v>
      </c>
      <c r="L38" s="613"/>
      <c r="M38" s="658">
        <f>IF($G38&gt;0,J38/G38,0)</f>
        <v>60.46153846153846</v>
      </c>
      <c r="N38" s="659">
        <f>IF($G38&gt;0,K38/$G38,0)</f>
        <v>68.15384615384616</v>
      </c>
      <c r="O38" s="862"/>
      <c r="P38" s="874">
        <f>IF(AND($G38&gt;$Q$3-1,$G38-$H38&gt;0),M38,0)</f>
        <v>60.46153846153846</v>
      </c>
      <c r="Q38" s="875">
        <f>IF(AND($G38&gt;$Q$3-1,$G38-$H38&gt;0),N38,0)</f>
        <v>68.15384615384616</v>
      </c>
      <c r="R38" s="613"/>
      <c r="S38" s="628">
        <f>_xlfn.XLOOKUP($E38,'Løp 1'!$E$10:$E$90,'Løp 1'!$M$10:$M$90,0)</f>
        <v>0</v>
      </c>
      <c r="T38" s="629">
        <f>_xlfn.XLOOKUP($E38,'Løp 1'!$E$10:$E$90,'Løp 1'!$O$10:$O$90,0)</f>
        <v>0</v>
      </c>
      <c r="U38" s="629">
        <f>_xlfn.XLOOKUP($E38,'Løp 1'!$E$10:$E$90,'Løp 1'!$L$10:$L$90,0)</f>
        <v>0</v>
      </c>
      <c r="V38" s="628">
        <f>_xlfn.XLOOKUP($E38,'Løp 2'!$E$10:$E$90,'Løp 2'!$M$10:$M$90,0)</f>
        <v>60</v>
      </c>
      <c r="W38" s="629">
        <f>_xlfn.XLOOKUP($E38,'Løp 2'!$E$10:$E$90,'Løp 2'!$O$10:$O$90,0)</f>
        <v>60</v>
      </c>
      <c r="X38" s="629">
        <f>_xlfn.XLOOKUP($E38,'Løp 2'!$E$10:$E$90,'Løp 2'!$L$10:$L$90,0)</f>
        <v>1.4853395061728393E-2</v>
      </c>
      <c r="Y38" s="628">
        <f>_xlfn.XLOOKUP($E38,'Løp 3'!$E$10:$E$90,'Løp 3'!$M$10:$M$90,0)</f>
        <v>53</v>
      </c>
      <c r="Z38" s="629">
        <f>_xlfn.XLOOKUP($E38,'Løp 3'!$E$10:$E$90,'Løp 3'!$O$10:$O$90,0)</f>
        <v>60</v>
      </c>
      <c r="AA38" s="629">
        <f>_xlfn.XLOOKUP($E38,'Løp 3'!$E$10:$E$90,'Løp 3'!$L$10:$L$90,0)</f>
        <v>1.6958774250440914E-2</v>
      </c>
      <c r="AB38" s="628">
        <f>_xlfn.XLOOKUP($E38,'Løp 4'!$E$10:$E$90,'Løp 4'!$M$10:$M$90,0)</f>
        <v>55</v>
      </c>
      <c r="AC38" s="629">
        <f>_xlfn.XLOOKUP($E38,'Løp 4'!$E$10:$E$90,'Løp 4'!$O$10:$O$90,0)</f>
        <v>69</v>
      </c>
      <c r="AD38" s="629">
        <f>_xlfn.XLOOKUP($E38,'Løp 4'!$E$10:$E$90,'Løp 4'!$L$10:$L$90,0)</f>
        <v>1.2691223832528182E-2</v>
      </c>
      <c r="AE38" s="628">
        <f>_xlfn.XLOOKUP($E38,'Løp 5'!$E$10:$E$90,'Løp 5'!$M$10:$M$90,0)</f>
        <v>50</v>
      </c>
      <c r="AF38" s="629">
        <f>_xlfn.XLOOKUP($E38,'Løp 5'!$E$10:$E$90,'Løp 5'!$O$10:$O$90,0)</f>
        <v>50</v>
      </c>
      <c r="AG38" s="629">
        <f>_xlfn.XLOOKUP($E38,'Løp 5'!$E$10:$E$90,'Løp 5'!$L$10:$L$90,0)</f>
        <v>2.2822627314814815E-2</v>
      </c>
      <c r="AH38" s="628">
        <f>_xlfn.XLOOKUP($E38,'Løp 6'!$E$10:$E$90,'Løp 6'!$M$10:$M$90,0)</f>
        <v>67</v>
      </c>
      <c r="AI38" s="629">
        <f>_xlfn.XLOOKUP($E38,'Løp 6'!$E$10:$E$90,'Løp 6'!$O$10:$O$90,0)</f>
        <v>80</v>
      </c>
      <c r="AJ38" s="629">
        <f>_xlfn.XLOOKUP($E38,'Løp 6'!$E$10:$E$90,'Løp 6'!$L$10:$L$90,0)</f>
        <v>1.1614923747276689E-2</v>
      </c>
      <c r="AK38" s="628">
        <f>_xlfn.XLOOKUP($E38,'Løp 7'!$E$10:$E$90,'Løp 7'!$M$10:$M$90,0)</f>
        <v>75</v>
      </c>
      <c r="AL38" s="629">
        <f>_xlfn.XLOOKUP($E38,'Løp 7'!$E$10:$E$90,'Løp 7'!$O$10:$O$90,0)</f>
        <v>72</v>
      </c>
      <c r="AM38" s="629">
        <f>_xlfn.XLOOKUP($E38,'Løp 7'!$E$10:$E$90,'Løp 7'!$L$10:$L$90,0)</f>
        <v>2.2548400673400672E-2</v>
      </c>
      <c r="AN38" s="628">
        <f>_xlfn.XLOOKUP($E38,'Løp 8'!$E$10:$E$91,'Løp 8'!$M$10:$M$91,0)</f>
        <v>50</v>
      </c>
      <c r="AO38" s="629">
        <f>_xlfn.XLOOKUP($E38,'Løp 8'!$E$10:$E$91,'Løp 8'!$O$10:$O$91,0)</f>
        <v>50</v>
      </c>
      <c r="AP38" s="629">
        <f>_xlfn.XLOOKUP($E38,'Løp 8'!$E$10:$E$91,'Løp 8'!$L$10:$L$91,0)</f>
        <v>2.0046296296296295E-2</v>
      </c>
      <c r="AQ38" s="628">
        <f>_xlfn.XLOOKUP($E38,'Løp 9'!$E$10:$E$91,'Løp 9'!$M$10:$M$91,0)</f>
        <v>65</v>
      </c>
      <c r="AR38" s="629">
        <f>_xlfn.XLOOKUP($E38,'Løp 9'!$E$10:$E$91,'Løp 9'!$O$10:$O$91,0)</f>
        <v>68</v>
      </c>
      <c r="AS38" s="629">
        <f>_xlfn.XLOOKUP($E38,'Løp 9'!$E$10:$E$91,'Løp 9'!$L$10:$L$91,0)</f>
        <v>1.0495580808080808E-2</v>
      </c>
      <c r="AT38" s="628">
        <f>_xlfn.XLOOKUP($E38,'Løp 10'!$E$10:$E$91,'Løp 10'!$M$10:$M$91,0)</f>
        <v>62</v>
      </c>
      <c r="AU38" s="629">
        <f>_xlfn.XLOOKUP($E38,'Løp 10'!$E$10:$E$91,'Løp 10'!$O$10:$O$91,0)</f>
        <v>73</v>
      </c>
      <c r="AV38" s="629">
        <f>_xlfn.XLOOKUP($E38,'Løp 10'!$E$10:$E$91,'Løp 10'!$L$10:$L$91,0)</f>
        <v>1.1957465277777777E-2</v>
      </c>
      <c r="AW38" s="628">
        <f>_xlfn.XLOOKUP($E38,'Løp 11'!$E$10:$E$91,'Løp 11'!$M$10:$M$91,0)</f>
        <v>69</v>
      </c>
      <c r="AX38" s="629">
        <f>_xlfn.XLOOKUP($E38,'Løp 11'!$E$10:$E$91,'Løp 11'!$O$10:$O$91,0)</f>
        <v>81</v>
      </c>
      <c r="AY38" s="629">
        <f>_xlfn.XLOOKUP($E38,'Løp 11'!$E$10:$E$91,'Løp 11'!$L$10:$L$91,0)</f>
        <v>1.0674452861952862E-2</v>
      </c>
      <c r="AZ38" s="628">
        <f>_xlfn.XLOOKUP($E38,'Løp 12'!$E$10:$E$91,'Løp 12'!$M$10:$M$91,0)</f>
        <v>58</v>
      </c>
      <c r="BA38" s="629">
        <f>_xlfn.XLOOKUP($E38,'Løp 12'!$E$10:$E$91,'Løp 12'!$O$10:$O$91,0)</f>
        <v>73</v>
      </c>
      <c r="BB38" s="629">
        <f>_xlfn.XLOOKUP($E38,'Løp 12'!$E$10:$E$91,'Løp 12'!$L$10:$L$91,0)</f>
        <v>9.4907407407407406E-3</v>
      </c>
      <c r="BC38" s="628">
        <f>_xlfn.XLOOKUP($E38,'Løp 13'!$E$10:$E$91,'Løp 13'!$M$10:$M$91,0)</f>
        <v>0</v>
      </c>
      <c r="BD38" s="629">
        <f>_xlfn.XLOOKUP($E38,'Løp 13'!$E$10:$E$91,'Løp 13'!$O$10:$O$91,0)</f>
        <v>0</v>
      </c>
      <c r="BE38" s="629">
        <f>_xlfn.XLOOKUP($E38,'Løp 13'!$E$10:$E$91,'Løp 13'!$L$10:$L$91,0)</f>
        <v>0</v>
      </c>
      <c r="BF38" s="628">
        <f>_xlfn.XLOOKUP($E38,'Løp 14'!$E$10:$E$91,'Løp 14'!$M$10:$M$91,0)</f>
        <v>0</v>
      </c>
      <c r="BG38" s="629">
        <f>_xlfn.XLOOKUP($E38,'Løp 14'!$E$10:$E$91,'Løp 14'!$O$10:$O$91,0)</f>
        <v>0</v>
      </c>
      <c r="BH38" s="629">
        <f>_xlfn.XLOOKUP($E38,'Løp 14'!$E$10:$E$91,'Løp 14'!$L$10:$L$91,0)</f>
        <v>0</v>
      </c>
      <c r="BI38" s="628">
        <f>_xlfn.XLOOKUP($E38,'Løp 15'!$E$10:$E$91,'Løp 15'!$M$10:$M$91,0)</f>
        <v>54</v>
      </c>
      <c r="BJ38" s="629">
        <f>_xlfn.XLOOKUP($E38,'Løp 15'!$E$10:$E$91,'Løp 15'!$O$10:$O$91,0)</f>
        <v>58</v>
      </c>
      <c r="BK38" s="629">
        <f>_xlfn.XLOOKUP($E38,'Løp 15'!$E$10:$E$91,'Løp 15'!$L$10:$L$91,0)</f>
        <v>1.5845458553791887E-2</v>
      </c>
      <c r="BL38" s="628">
        <f>_xlfn.XLOOKUP($E38,'Løp 16'!$E$10:$E$91,'Løp 16'!$M$10:$M$91,0)</f>
        <v>64</v>
      </c>
      <c r="BM38" s="629">
        <f>_xlfn.XLOOKUP($E38,'Løp 16'!$E$10:$E$91,'Løp 16'!$O$10:$O$91,0)</f>
        <v>80</v>
      </c>
      <c r="BN38" s="629">
        <f>_xlfn.XLOOKUP($E38,'Løp 16'!$E$10:$E$91,'Løp 16'!$L$10:$L$91,0)</f>
        <v>1.0617954911433173E-2</v>
      </c>
      <c r="BO38" s="628">
        <f>_xlfn.XLOOKUP($E38,'Løp 17'!$E$10:$E$91,'Løp 17'!$M$10:$M$91,0)</f>
        <v>51</v>
      </c>
      <c r="BP38" s="629">
        <f>_xlfn.XLOOKUP($E38,'Løp 17'!$E$10:$E$91,'Løp 17'!$O$10:$O$91,0)</f>
        <v>63</v>
      </c>
      <c r="BQ38" s="629">
        <f>_xlfn.XLOOKUP($E38,'Løp 17'!$E$10:$E$91,'Løp 17'!$L$10:$L$91,0)</f>
        <v>1.2390350877192983E-2</v>
      </c>
      <c r="BR38" s="628">
        <f>_xlfn.XLOOKUP($E38,'Løp 18'!$E$10:$E$91,'Løp 18'!$M$10:$M$91,0)</f>
        <v>69</v>
      </c>
      <c r="BS38" s="629">
        <f>_xlfn.XLOOKUP($E38,'Løp 18'!$E$10:$E$91,'Løp 18'!$O$10:$O$91,0)</f>
        <v>79</v>
      </c>
      <c r="BT38" s="629">
        <f>_xlfn.XLOOKUP($E38,'Løp 18'!$E$10:$E$91,'Løp 18'!$L$10:$L$91,0)</f>
        <v>1.0364583333333333E-2</v>
      </c>
      <c r="BU38" s="628">
        <f>_xlfn.XLOOKUP($E38,'Løp 19'!$E$10:$E$91,'Løp 19'!$M$10:$M$91,0)</f>
        <v>70</v>
      </c>
      <c r="BV38" s="629">
        <f>_xlfn.XLOOKUP($E38,'Løp 19'!$E$10:$E$91,'Løp 19'!$O$10:$O$91,0)</f>
        <v>80</v>
      </c>
      <c r="BW38" s="629">
        <f>_xlfn.XLOOKUP($E38,'Løp 19'!$E$10:$E$91,'Løp 19'!$L$10:$L$91,0)</f>
        <v>1.1721965020576132E-2</v>
      </c>
      <c r="BX38" s="628">
        <f>_xlfn.XLOOKUP($E38,'Løp 20'!$E$10:$E$92,'Løp 20'!$M$10:$M$92,0)</f>
        <v>62</v>
      </c>
      <c r="BY38" s="629">
        <f>_xlfn.XLOOKUP($E38,'Løp 20'!$E$10:$E$92,'Løp 20'!$O$10:$O$92,0)</f>
        <v>72</v>
      </c>
      <c r="BZ38" s="629">
        <f>_xlfn.XLOOKUP($E38,'Løp 20'!$E$10:$E$92,'Løp 20'!$L$10:$L$92,0)</f>
        <v>1.2494488536155202E-2</v>
      </c>
      <c r="CA38" s="628">
        <f>_xlfn.XLOOKUP($E38,'Løp 21'!$E$10:$E$93,'Løp 21'!$M$10:$M$93,0)</f>
        <v>64</v>
      </c>
      <c r="CB38" s="629">
        <f>_xlfn.XLOOKUP($E38,'Løp 21'!$E$10:$E$93,'Løp 21'!$O$10:$O$93,0)</f>
        <v>78</v>
      </c>
      <c r="CC38" s="629">
        <f>_xlfn.XLOOKUP($E38,'Løp 21'!$E$10:$E$93,'Løp 21'!$L$10:$L$93,0)</f>
        <v>9.5008051529790662E-3</v>
      </c>
      <c r="CD38" s="628">
        <f>_xlfn.XLOOKUP($E38,'Løp 22'!$E$10:$E$93,'Løp 22'!$M$10:$M$93,0)</f>
        <v>59</v>
      </c>
      <c r="CE38" s="629">
        <f>_xlfn.XLOOKUP($E38,'Løp 22'!$E$10:$E$93,'Løp 22'!$O$10:$O$93,0)</f>
        <v>71</v>
      </c>
      <c r="CF38" s="629">
        <f>_xlfn.XLOOKUP($E38,'Løp 22'!$E$10:$E$93,'Løp 22'!$L$10:$L$93,0)</f>
        <v>1.1761463844797178E-2</v>
      </c>
      <c r="CG38" s="628">
        <f>_xlfn.XLOOKUP($E38,'Løp 23'!$E$10:$E$93,'Løp 23'!$M$10:$M$93,0)</f>
        <v>50</v>
      </c>
      <c r="CH38" s="629">
        <f>_xlfn.XLOOKUP($E38,'Løp 23'!$E$10:$E$93,'Løp 23'!$O$10:$O$93,0)</f>
        <v>56</v>
      </c>
      <c r="CI38" s="629">
        <f>_xlfn.XLOOKUP($E38,'Løp 23'!$E$10:$E$93,'Løp 23'!$L$10:$L$93,0)</f>
        <v>1.109182098765432E-2</v>
      </c>
      <c r="CJ38" s="628">
        <f>_xlfn.XLOOKUP($E38,'Løp 24'!$E$10:$E$93,'Løp 24'!$M$10:$M$93,0)</f>
        <v>52</v>
      </c>
      <c r="CK38" s="629">
        <f>_xlfn.XLOOKUP($E38,'Løp 24'!$E$10:$E$93,'Løp 24'!$O$10:$O$93,0)</f>
        <v>52</v>
      </c>
      <c r="CL38" s="629">
        <f>_xlfn.XLOOKUP($E38,'Løp 24'!$E$10:$E$93,'Løp 24'!$L$10:$L$93,0)</f>
        <v>1.0269360269360268E-2</v>
      </c>
      <c r="CM38" s="628">
        <f>_xlfn.XLOOKUP($E38,'Løp 25'!$E$10:$E$94,'Løp 25'!$M$10:$M$94,0)</f>
        <v>50</v>
      </c>
      <c r="CN38" s="629">
        <f>_xlfn.XLOOKUP($E38,'Løp 25'!$E$10:$E$94,'Løp 25'!$O$10:$O$94,0)</f>
        <v>54</v>
      </c>
      <c r="CO38" s="629">
        <f>_xlfn.XLOOKUP($E38,'Løp 25'!$E$10:$E$94,'Løp 25'!$L$10:$L$94,0)</f>
        <v>1.5895061728395062E-2</v>
      </c>
      <c r="CP38" s="628">
        <f>_xlfn.XLOOKUP($E38,'Løp 26'!$E$10:$E$94,'Løp 26'!$M$10:$M$94,0)</f>
        <v>62</v>
      </c>
      <c r="CQ38" s="629">
        <f>_xlfn.XLOOKUP($E38,'Løp 26'!$E$10:$E$94,'Løp 26'!$O$10:$O$94,0)</f>
        <v>77</v>
      </c>
      <c r="CR38" s="629">
        <f>_xlfn.XLOOKUP($E38,'Løp 26'!$E$10:$E$94,'Løp 26'!$L$10:$L$94,0)</f>
        <v>1.1480591168091168E-2</v>
      </c>
      <c r="CS38" s="628">
        <f>_xlfn.XLOOKUP($E38,'Løp 27'!$E$10:$E$94,'Løp 27'!$M$10:$M$94,0)</f>
        <v>50</v>
      </c>
      <c r="CT38" s="629">
        <f>_xlfn.XLOOKUP($E38,'Løp 27'!$E$10:$E$94,'Løp 27'!$O$10:$O$94,0)</f>
        <v>53</v>
      </c>
      <c r="CU38" s="629">
        <f>_xlfn.XLOOKUP($E38,'Løp 27'!$E$10:$E$94,'Løp 27'!$L$10:$L$94,0)</f>
        <v>1.604938271604938E-2</v>
      </c>
      <c r="CV38" s="628">
        <f>_xlfn.XLOOKUP($E38,'Løp 28'!$E$10:$E$95,'Løp 28'!$M$10:$M$95,0)</f>
        <v>94</v>
      </c>
      <c r="CW38" s="629">
        <f>_xlfn.XLOOKUP($E38,'Løp 28'!$E$10:$E$95,'Løp 28'!$O$10:$O$95,0)</f>
        <v>94</v>
      </c>
      <c r="CX38" s="629" t="str">
        <f>_xlfn.XLOOKUP($E38,'Løp 28'!$E$10:$E$95,'Løp 28'!$L$10:$L$95,0)</f>
        <v>Arr</v>
      </c>
      <c r="CY38" s="628">
        <f>_xlfn.XLOOKUP($E38,'Løp 29'!$E$10:$E$95,'Løp 29'!$M$10:$M$95,0)</f>
        <v>57</v>
      </c>
      <c r="CZ38" s="629">
        <f>_xlfn.XLOOKUP($E38,'Løp 29'!$E$10:$E$95,'Løp 29'!$O$10:$O$95,0)</f>
        <v>69</v>
      </c>
      <c r="DA38" s="629">
        <f>_xlfn.XLOOKUP($E38,'Løp 29'!$E$10:$E$95,'Løp 29'!$L$10:$L$95,0)</f>
        <v>1.2665343915343914E-2</v>
      </c>
    </row>
    <row r="39" spans="2:105" ht="26" customHeight="1" thickBot="1" x14ac:dyDescent="0.35">
      <c r="B39" s="627">
        <f t="shared" si="0"/>
        <v>30</v>
      </c>
      <c r="C39" s="902" t="s">
        <v>298</v>
      </c>
      <c r="D39" s="620" t="s">
        <v>297</v>
      </c>
      <c r="E39" s="616" t="str">
        <f>_xlfn.CONCAT(C39:D39)</f>
        <v>ØyvindSchjelderup</v>
      </c>
      <c r="F39" s="610"/>
      <c r="G39" s="653">
        <f>COUNTIF(S39:DA39,"&gt;2")/2</f>
        <v>4</v>
      </c>
      <c r="H39" s="852">
        <f>COUNTIF(S39:DA39,"=Løype")+COUNTIF(S39:DA39,"Arr")</f>
        <v>0</v>
      </c>
      <c r="I39" s="610"/>
      <c r="J39" s="632">
        <f>S39+V39+Y39+AB39+AE39+AH39+AK39+AN39+AQ39+AT39+AW39+AZ39+BC39+BF39+BI39+BL39+BO39+BR39+BU39+BX39+CA39+CD39+CG39+CJ39+CM39+CP39+CS39+CV39+CY39</f>
        <v>370</v>
      </c>
      <c r="K39" s="633">
        <f>T39+W39+Z39+AC39+AF39+AI39+AL39+AO39+AR39+AU39+AX39+BA39+BD39+BG39+BJ39+BM39+BP39+BS39+BV39+BY39+CB39+CE39+CH39+CK39+CN39+CQ39+CT39+CW39+CZ39</f>
        <v>272</v>
      </c>
      <c r="L39" s="613"/>
      <c r="M39" s="658">
        <f>IF($G39&gt;0,J39/G39,0)</f>
        <v>92.5</v>
      </c>
      <c r="N39" s="659">
        <f>IF($G39&gt;0,K39/$G39,0)</f>
        <v>68</v>
      </c>
      <c r="O39" s="862"/>
      <c r="P39" s="874">
        <f>IF(AND($G39&gt;$Q$3-1,$G39-$H39&gt;0),M39,0)</f>
        <v>92.5</v>
      </c>
      <c r="Q39" s="875">
        <f>IF(AND($G39&gt;$Q$3-1,$G39-$H39&gt;0),N39,0)</f>
        <v>68</v>
      </c>
      <c r="R39" s="613"/>
      <c r="S39" s="628">
        <f>_xlfn.XLOOKUP($E39,'Løp 1'!$E$10:$E$90,'Løp 1'!$M$10:$M$90,0)</f>
        <v>0</v>
      </c>
      <c r="T39" s="629">
        <f>_xlfn.XLOOKUP($E39,'Løp 1'!$E$10:$E$90,'Løp 1'!$O$10:$O$90,0)</f>
        <v>0</v>
      </c>
      <c r="U39" s="629">
        <f>_xlfn.XLOOKUP($E39,'Løp 1'!$E$10:$E$90,'Løp 1'!$L$10:$L$90,0)</f>
        <v>0</v>
      </c>
      <c r="V39" s="628">
        <f>_xlfn.XLOOKUP($E39,'Løp 2'!$E$10:$E$90,'Løp 2'!$M$10:$M$90,0)</f>
        <v>0</v>
      </c>
      <c r="W39" s="629">
        <f>_xlfn.XLOOKUP($E39,'Løp 2'!$E$10:$E$90,'Løp 2'!$O$10:$O$90,0)</f>
        <v>0</v>
      </c>
      <c r="X39" s="629">
        <f>_xlfn.XLOOKUP($E39,'Løp 2'!$E$10:$E$90,'Løp 2'!$L$10:$L$90,0)</f>
        <v>0</v>
      </c>
      <c r="Y39" s="628">
        <f>_xlfn.XLOOKUP($E39,'Løp 3'!$E$10:$E$90,'Løp 3'!$M$10:$M$90,0)</f>
        <v>0</v>
      </c>
      <c r="Z39" s="629">
        <f>_xlfn.XLOOKUP($E39,'Løp 3'!$E$10:$E$90,'Løp 3'!$O$10:$O$90,0)</f>
        <v>0</v>
      </c>
      <c r="AA39" s="629">
        <f>_xlfn.XLOOKUP($E39,'Løp 3'!$E$10:$E$90,'Løp 3'!$L$10:$L$90,0)</f>
        <v>0</v>
      </c>
      <c r="AB39" s="628">
        <f>_xlfn.XLOOKUP($E39,'Løp 4'!$E$10:$E$90,'Løp 4'!$M$10:$M$90,0)</f>
        <v>0</v>
      </c>
      <c r="AC39" s="629">
        <f>_xlfn.XLOOKUP($E39,'Løp 4'!$E$10:$E$90,'Løp 4'!$O$10:$O$90,0)</f>
        <v>0</v>
      </c>
      <c r="AD39" s="629">
        <f>_xlfn.XLOOKUP($E39,'Løp 4'!$E$10:$E$90,'Løp 4'!$L$10:$L$90,0)</f>
        <v>0</v>
      </c>
      <c r="AE39" s="628">
        <f>_xlfn.XLOOKUP($E39,'Løp 5'!$E$10:$E$90,'Løp 5'!$M$10:$M$90,0)</f>
        <v>0</v>
      </c>
      <c r="AF39" s="629">
        <f>_xlfn.XLOOKUP($E39,'Løp 5'!$E$10:$E$90,'Løp 5'!$O$10:$O$90,0)</f>
        <v>0</v>
      </c>
      <c r="AG39" s="629">
        <f>_xlfn.XLOOKUP($E39,'Løp 5'!$E$10:$E$90,'Løp 5'!$L$10:$L$90,0)</f>
        <v>0</v>
      </c>
      <c r="AH39" s="628">
        <f>_xlfn.XLOOKUP($E39,'Løp 6'!$E$10:$E$90,'Løp 6'!$M$10:$M$90,0)</f>
        <v>0</v>
      </c>
      <c r="AI39" s="629">
        <f>_xlfn.XLOOKUP($E39,'Løp 6'!$E$10:$E$90,'Løp 6'!$O$10:$O$90,0)</f>
        <v>0</v>
      </c>
      <c r="AJ39" s="629">
        <f>_xlfn.XLOOKUP($E39,'Løp 6'!$E$10:$E$90,'Løp 6'!$L$10:$L$90,0)</f>
        <v>0</v>
      </c>
      <c r="AK39" s="628">
        <f>_xlfn.XLOOKUP($E39,'Løp 7'!$E$10:$E$90,'Løp 7'!$M$10:$M$90,0)</f>
        <v>0</v>
      </c>
      <c r="AL39" s="629">
        <f>_xlfn.XLOOKUP($E39,'Løp 7'!$E$10:$E$90,'Løp 7'!$O$10:$O$90,0)</f>
        <v>0</v>
      </c>
      <c r="AM39" s="629">
        <f>_xlfn.XLOOKUP($E39,'Løp 7'!$E$10:$E$90,'Løp 7'!$L$10:$L$90,0)</f>
        <v>0</v>
      </c>
      <c r="AN39" s="628">
        <f>_xlfn.XLOOKUP($E39,'Løp 8'!$E$10:$E$91,'Løp 8'!$M$10:$M$91,0)</f>
        <v>0</v>
      </c>
      <c r="AO39" s="629">
        <f>_xlfn.XLOOKUP($E39,'Løp 8'!$E$10:$E$91,'Løp 8'!$O$10:$O$91,0)</f>
        <v>0</v>
      </c>
      <c r="AP39" s="629">
        <f>_xlfn.XLOOKUP($E39,'Løp 8'!$E$10:$E$91,'Løp 8'!$L$10:$L$91,0)</f>
        <v>0</v>
      </c>
      <c r="AQ39" s="628">
        <f>_xlfn.XLOOKUP($E39,'Løp 9'!$E$10:$E$91,'Løp 9'!$M$10:$M$91,0)</f>
        <v>0</v>
      </c>
      <c r="AR39" s="629">
        <f>_xlfn.XLOOKUP($E39,'Løp 9'!$E$10:$E$91,'Løp 9'!$O$10:$O$91,0)</f>
        <v>0</v>
      </c>
      <c r="AS39" s="629">
        <f>_xlfn.XLOOKUP($E39,'Løp 9'!$E$10:$E$91,'Løp 9'!$L$10:$L$91,0)</f>
        <v>0</v>
      </c>
      <c r="AT39" s="628">
        <f>_xlfn.XLOOKUP($E39,'Løp 10'!$E$10:$E$91,'Løp 10'!$M$10:$M$91,0)</f>
        <v>0</v>
      </c>
      <c r="AU39" s="629">
        <f>_xlfn.XLOOKUP($E39,'Løp 10'!$E$10:$E$91,'Løp 10'!$O$10:$O$91,0)</f>
        <v>0</v>
      </c>
      <c r="AV39" s="629">
        <f>_xlfn.XLOOKUP($E39,'Løp 10'!$E$10:$E$91,'Løp 10'!$L$10:$L$91,0)</f>
        <v>0</v>
      </c>
      <c r="AW39" s="628">
        <f>_xlfn.XLOOKUP($E39,'Løp 11'!$E$10:$E$91,'Løp 11'!$M$10:$M$91,0)</f>
        <v>0</v>
      </c>
      <c r="AX39" s="629">
        <f>_xlfn.XLOOKUP($E39,'Løp 11'!$E$10:$E$91,'Løp 11'!$O$10:$O$91,0)</f>
        <v>0</v>
      </c>
      <c r="AY39" s="629">
        <f>_xlfn.XLOOKUP($E39,'Løp 11'!$E$10:$E$91,'Løp 11'!$L$10:$L$91,0)</f>
        <v>0</v>
      </c>
      <c r="AZ39" s="628">
        <f>_xlfn.XLOOKUP($E39,'Løp 12'!$E$10:$E$91,'Løp 12'!$M$10:$M$91,0)</f>
        <v>0</v>
      </c>
      <c r="BA39" s="629">
        <f>_xlfn.XLOOKUP($E39,'Løp 12'!$E$10:$E$91,'Løp 12'!$O$10:$O$91,0)</f>
        <v>0</v>
      </c>
      <c r="BB39" s="629">
        <f>_xlfn.XLOOKUP($E39,'Løp 12'!$E$10:$E$91,'Løp 12'!$L$10:$L$91,0)</f>
        <v>0</v>
      </c>
      <c r="BC39" s="628">
        <f>_xlfn.XLOOKUP($E39,'Løp 13'!$E$10:$E$91,'Løp 13'!$M$10:$M$91,0)</f>
        <v>0</v>
      </c>
      <c r="BD39" s="629">
        <f>_xlfn.XLOOKUP($E39,'Løp 13'!$E$10:$E$91,'Løp 13'!$O$10:$O$91,0)</f>
        <v>0</v>
      </c>
      <c r="BE39" s="629">
        <f>_xlfn.XLOOKUP($E39,'Løp 13'!$E$10:$E$91,'Løp 13'!$L$10:$L$91,0)</f>
        <v>0</v>
      </c>
      <c r="BF39" s="628">
        <f>_xlfn.XLOOKUP($E39,'Løp 14'!$E$10:$E$91,'Løp 14'!$M$10:$M$91,0)</f>
        <v>0</v>
      </c>
      <c r="BG39" s="629">
        <f>_xlfn.XLOOKUP($E39,'Løp 14'!$E$10:$E$91,'Løp 14'!$O$10:$O$91,0)</f>
        <v>0</v>
      </c>
      <c r="BH39" s="629">
        <f>_xlfn.XLOOKUP($E39,'Løp 14'!$E$10:$E$91,'Løp 14'!$L$10:$L$91,0)</f>
        <v>0</v>
      </c>
      <c r="BI39" s="628">
        <f>_xlfn.XLOOKUP($E39,'Løp 15'!$E$10:$E$91,'Løp 15'!$M$10:$M$91,0)</f>
        <v>0</v>
      </c>
      <c r="BJ39" s="629">
        <f>_xlfn.XLOOKUP($E39,'Løp 15'!$E$10:$E$91,'Løp 15'!$O$10:$O$91,0)</f>
        <v>0</v>
      </c>
      <c r="BK39" s="629">
        <f>_xlfn.XLOOKUP($E39,'Løp 15'!$E$10:$E$91,'Løp 15'!$L$10:$L$91,0)</f>
        <v>0</v>
      </c>
      <c r="BL39" s="628">
        <f>_xlfn.XLOOKUP($E39,'Løp 16'!$E$10:$E$91,'Løp 16'!$M$10:$M$91,0)</f>
        <v>0</v>
      </c>
      <c r="BM39" s="629">
        <f>_xlfn.XLOOKUP($E39,'Løp 16'!$E$10:$E$91,'Løp 16'!$O$10:$O$91,0)</f>
        <v>0</v>
      </c>
      <c r="BN39" s="629">
        <f>_xlfn.XLOOKUP($E39,'Løp 16'!$E$10:$E$91,'Løp 16'!$L$10:$L$91,0)</f>
        <v>0</v>
      </c>
      <c r="BO39" s="628">
        <f>_xlfn.XLOOKUP($E39,'Løp 17'!$E$10:$E$91,'Løp 17'!$M$10:$M$91,0)</f>
        <v>0</v>
      </c>
      <c r="BP39" s="629">
        <f>_xlfn.XLOOKUP($E39,'Løp 17'!$E$10:$E$91,'Løp 17'!$O$10:$O$91,0)</f>
        <v>0</v>
      </c>
      <c r="BQ39" s="629">
        <f>_xlfn.XLOOKUP($E39,'Løp 17'!$E$10:$E$91,'Løp 17'!$L$10:$L$91,0)</f>
        <v>0</v>
      </c>
      <c r="BR39" s="628">
        <f>_xlfn.XLOOKUP($E39,'Løp 18'!$E$10:$E$91,'Løp 18'!$M$10:$M$91,0)</f>
        <v>0</v>
      </c>
      <c r="BS39" s="629">
        <f>_xlfn.XLOOKUP($E39,'Løp 18'!$E$10:$E$91,'Løp 18'!$O$10:$O$91,0)</f>
        <v>0</v>
      </c>
      <c r="BT39" s="629">
        <f>_xlfn.XLOOKUP($E39,'Løp 18'!$E$10:$E$91,'Løp 18'!$L$10:$L$91,0)</f>
        <v>0</v>
      </c>
      <c r="BU39" s="628">
        <f>_xlfn.XLOOKUP($E39,'Løp 19'!$E$10:$E$91,'Løp 19'!$M$10:$M$91,0)</f>
        <v>0</v>
      </c>
      <c r="BV39" s="629">
        <f>_xlfn.XLOOKUP($E39,'Løp 19'!$E$10:$E$91,'Løp 19'!$O$10:$O$91,0)</f>
        <v>0</v>
      </c>
      <c r="BW39" s="629">
        <f>_xlfn.XLOOKUP($E39,'Løp 19'!$E$10:$E$91,'Løp 19'!$L$10:$L$91,0)</f>
        <v>0</v>
      </c>
      <c r="BX39" s="628">
        <f>_xlfn.XLOOKUP($E39,'Løp 20'!$E$10:$E$92,'Løp 20'!$M$10:$M$92,0)</f>
        <v>0</v>
      </c>
      <c r="BY39" s="629">
        <f>_xlfn.XLOOKUP($E39,'Løp 20'!$E$10:$E$92,'Løp 20'!$O$10:$O$92,0)</f>
        <v>0</v>
      </c>
      <c r="BZ39" s="629">
        <f>_xlfn.XLOOKUP($E39,'Løp 20'!$E$10:$E$92,'Løp 20'!$L$10:$L$92,0)</f>
        <v>0</v>
      </c>
      <c r="CA39" s="628">
        <f>_xlfn.XLOOKUP($E39,'Løp 21'!$E$10:$E$93,'Løp 21'!$M$10:$M$93,0)</f>
        <v>0</v>
      </c>
      <c r="CB39" s="629">
        <f>_xlfn.XLOOKUP($E39,'Løp 21'!$E$10:$E$93,'Løp 21'!$O$10:$O$93,0)</f>
        <v>0</v>
      </c>
      <c r="CC39" s="629">
        <f>_xlfn.XLOOKUP($E39,'Løp 21'!$E$10:$E$93,'Løp 21'!$L$10:$L$93,0)</f>
        <v>0</v>
      </c>
      <c r="CD39" s="628">
        <f>_xlfn.XLOOKUP($E39,'Løp 22'!$E$10:$E$93,'Løp 22'!$M$10:$M$93,0)</f>
        <v>0</v>
      </c>
      <c r="CE39" s="629">
        <f>_xlfn.XLOOKUP($E39,'Løp 22'!$E$10:$E$93,'Løp 22'!$O$10:$O$93,0)</f>
        <v>0</v>
      </c>
      <c r="CF39" s="629">
        <f>_xlfn.XLOOKUP($E39,'Løp 22'!$E$10:$E$93,'Løp 22'!$L$10:$L$93,0)</f>
        <v>0</v>
      </c>
      <c r="CG39" s="628">
        <f>_xlfn.XLOOKUP($E39,'Løp 23'!$E$10:$E$93,'Løp 23'!$M$10:$M$93,0)</f>
        <v>0</v>
      </c>
      <c r="CH39" s="629">
        <f>_xlfn.XLOOKUP($E39,'Løp 23'!$E$10:$E$93,'Løp 23'!$O$10:$O$93,0)</f>
        <v>0</v>
      </c>
      <c r="CI39" s="629">
        <f>_xlfn.XLOOKUP($E39,'Løp 23'!$E$10:$E$93,'Løp 23'!$L$10:$L$93,0)</f>
        <v>0</v>
      </c>
      <c r="CJ39" s="628">
        <f>_xlfn.XLOOKUP($E39,'Løp 24'!$E$10:$E$93,'Løp 24'!$M$10:$M$93,0)</f>
        <v>100</v>
      </c>
      <c r="CK39" s="629">
        <f>_xlfn.XLOOKUP($E39,'Løp 24'!$E$10:$E$93,'Løp 24'!$O$10:$O$93,0)</f>
        <v>64</v>
      </c>
      <c r="CL39" s="629">
        <f>_xlfn.XLOOKUP($E39,'Løp 24'!$E$10:$E$93,'Løp 24'!$L$10:$L$93,0)</f>
        <v>5.324074074074074E-3</v>
      </c>
      <c r="CM39" s="628">
        <f>_xlfn.XLOOKUP($E39,'Løp 25'!$E$10:$E$94,'Løp 25'!$M$10:$M$94,0)</f>
        <v>100</v>
      </c>
      <c r="CN39" s="629">
        <f>_xlfn.XLOOKUP($E39,'Løp 25'!$E$10:$E$94,'Løp 25'!$O$10:$O$94,0)</f>
        <v>75</v>
      </c>
      <c r="CO39" s="629">
        <f>_xlfn.XLOOKUP($E39,'Løp 25'!$E$10:$E$94,'Løp 25'!$L$10:$L$94,0)</f>
        <v>7.2410300925925923E-3</v>
      </c>
      <c r="CP39" s="628">
        <f>_xlfn.XLOOKUP($E39,'Løp 26'!$E$10:$E$94,'Løp 26'!$M$10:$M$94,0)</f>
        <v>74</v>
      </c>
      <c r="CQ39" s="629">
        <f>_xlfn.XLOOKUP($E39,'Løp 26'!$E$10:$E$94,'Løp 26'!$O$10:$O$94,0)</f>
        <v>58</v>
      </c>
      <c r="CR39" s="629">
        <f>_xlfn.XLOOKUP($E39,'Løp 26'!$E$10:$E$94,'Løp 26'!$L$10:$L$94,0)</f>
        <v>9.5826525054466226E-3</v>
      </c>
      <c r="CS39" s="628">
        <f>_xlfn.XLOOKUP($E39,'Løp 27'!$E$10:$E$94,'Løp 27'!$M$10:$M$94,0)</f>
        <v>96</v>
      </c>
      <c r="CT39" s="629">
        <f>_xlfn.XLOOKUP($E39,'Løp 27'!$E$10:$E$94,'Løp 27'!$O$10:$O$94,0)</f>
        <v>75</v>
      </c>
      <c r="CU39" s="629">
        <f>_xlfn.XLOOKUP($E39,'Løp 27'!$E$10:$E$94,'Løp 27'!$L$10:$L$94,0)</f>
        <v>7.1544924554183802E-3</v>
      </c>
      <c r="CV39" s="628">
        <f>_xlfn.XLOOKUP($E39,'Løp 28'!$E$10:$E$95,'Løp 28'!$M$10:$M$95,0)</f>
        <v>0</v>
      </c>
      <c r="CW39" s="629">
        <f>_xlfn.XLOOKUP($E39,'Løp 28'!$E$10:$E$95,'Løp 28'!$O$10:$O$95,0)</f>
        <v>0</v>
      </c>
      <c r="CX39" s="629">
        <f>_xlfn.XLOOKUP($E39,'Løp 28'!$E$10:$E$95,'Løp 28'!$L$10:$L$95,0)</f>
        <v>0</v>
      </c>
      <c r="CY39" s="628">
        <f>_xlfn.XLOOKUP($E39,'Løp 29'!$E$10:$E$95,'Løp 29'!$M$10:$M$95,0)</f>
        <v>0</v>
      </c>
      <c r="CZ39" s="629">
        <f>_xlfn.XLOOKUP($E39,'Løp 29'!$E$10:$E$95,'Løp 29'!$O$10:$O$95,0)</f>
        <v>0</v>
      </c>
      <c r="DA39" s="629">
        <f>_xlfn.XLOOKUP($E39,'Løp 29'!$E$10:$E$95,'Løp 29'!$L$10:$L$95,0)</f>
        <v>0</v>
      </c>
    </row>
    <row r="40" spans="2:105" ht="26" thickBot="1" x14ac:dyDescent="0.3">
      <c r="B40" s="627">
        <f t="shared" si="0"/>
        <v>31</v>
      </c>
      <c r="C40" s="119" t="s">
        <v>265</v>
      </c>
      <c r="D40" s="620" t="s">
        <v>266</v>
      </c>
      <c r="E40" s="616" t="str">
        <f>_xlfn.CONCAT(C40:D40)</f>
        <v>ØysteinWiggen</v>
      </c>
      <c r="F40" s="610"/>
      <c r="G40" s="653">
        <f>COUNTIF(S40:DA40,"&gt;2")/2</f>
        <v>17</v>
      </c>
      <c r="H40" s="852">
        <f>COUNTIF(S40:DA40,"=Løype")+COUNTIF(S40:DA40,"Arr")</f>
        <v>0</v>
      </c>
      <c r="I40" s="610"/>
      <c r="J40" s="632">
        <f>S40+V40+Y40+AB40+AE40+AH40+AK40+AN40+AQ40+AT40+AW40+AZ40+BC40+BF40+BI40+BL40+BO40+BR40+BU40+BX40+CA40+CD40+CG40+CJ40+CM40+CP40+CS40+CV40+CY40</f>
        <v>1551</v>
      </c>
      <c r="K40" s="633">
        <f>T40+W40+Z40+AC40+AF40+AI40+AL40+AO40+AR40+AU40+AX40+BA40+BD40+BG40+BJ40+BM40+BP40+BS40+BV40+BY40+CB40+CE40+CH40+CK40+CN40+CQ40+CT40+CW40+CZ40</f>
        <v>1148</v>
      </c>
      <c r="L40" s="613"/>
      <c r="M40" s="658">
        <f>IF($G40&gt;0,J40/G40,0)</f>
        <v>91.235294117647058</v>
      </c>
      <c r="N40" s="659">
        <f>IF($G40&gt;0,K40/$G40,0)</f>
        <v>67.529411764705884</v>
      </c>
      <c r="O40" s="862"/>
      <c r="P40" s="874">
        <f>IF(AND($G40&gt;$Q$3-1,$G40-$H40&gt;0),M40,0)</f>
        <v>91.235294117647058</v>
      </c>
      <c r="Q40" s="875">
        <f>IF(AND($G40&gt;$Q$3-1,$G40-$H40&gt;0),N40,0)</f>
        <v>67.529411764705884</v>
      </c>
      <c r="R40" s="613"/>
      <c r="S40" s="628">
        <f>_xlfn.XLOOKUP($E40,'Løp 1'!$E$10:$E$90,'Løp 1'!$M$10:$M$90,0)</f>
        <v>0</v>
      </c>
      <c r="T40" s="629">
        <f>_xlfn.XLOOKUP($E40,'Løp 1'!$E$10:$E$90,'Løp 1'!$O$10:$O$90,0)</f>
        <v>0</v>
      </c>
      <c r="U40" s="629">
        <f>_xlfn.XLOOKUP($E40,'Løp 1'!$E$10:$E$90,'Løp 1'!$L$10:$L$90,0)</f>
        <v>0</v>
      </c>
      <c r="V40" s="628">
        <f>_xlfn.XLOOKUP($E40,'Løp 2'!$E$10:$E$90,'Løp 2'!$M$10:$M$90,0)</f>
        <v>0</v>
      </c>
      <c r="W40" s="629">
        <f>_xlfn.XLOOKUP($E40,'Løp 2'!$E$10:$E$90,'Løp 2'!$O$10:$O$90,0)</f>
        <v>0</v>
      </c>
      <c r="X40" s="629">
        <f>_xlfn.XLOOKUP($E40,'Løp 2'!$E$10:$E$90,'Løp 2'!$L$10:$L$90,0)</f>
        <v>0</v>
      </c>
      <c r="Y40" s="628">
        <f>_xlfn.XLOOKUP($E40,'Løp 3'!$E$10:$E$90,'Løp 3'!$M$10:$M$90,0)</f>
        <v>0</v>
      </c>
      <c r="Z40" s="629">
        <f>_xlfn.XLOOKUP($E40,'Løp 3'!$E$10:$E$90,'Løp 3'!$O$10:$O$90,0)</f>
        <v>0</v>
      </c>
      <c r="AA40" s="629">
        <f>_xlfn.XLOOKUP($E40,'Løp 3'!$E$10:$E$90,'Løp 3'!$L$10:$L$90,0)</f>
        <v>0</v>
      </c>
      <c r="AB40" s="628">
        <f>_xlfn.XLOOKUP($E40,'Løp 4'!$E$10:$E$90,'Løp 4'!$M$10:$M$90,0)</f>
        <v>0</v>
      </c>
      <c r="AC40" s="629">
        <f>_xlfn.XLOOKUP($E40,'Løp 4'!$E$10:$E$90,'Løp 4'!$O$10:$O$90,0)</f>
        <v>0</v>
      </c>
      <c r="AD40" s="629">
        <f>_xlfn.XLOOKUP($E40,'Løp 4'!$E$10:$E$90,'Løp 4'!$L$10:$L$90,0)</f>
        <v>0</v>
      </c>
      <c r="AE40" s="628">
        <f>_xlfn.XLOOKUP($E40,'Løp 5'!$E$10:$E$90,'Løp 5'!$M$10:$M$90,0)</f>
        <v>85</v>
      </c>
      <c r="AF40" s="629">
        <f>_xlfn.XLOOKUP($E40,'Løp 5'!$E$10:$E$90,'Løp 5'!$O$10:$O$90,0)</f>
        <v>62</v>
      </c>
      <c r="AG40" s="629">
        <f>_xlfn.XLOOKUP($E40,'Løp 5'!$E$10:$E$90,'Løp 5'!$L$10:$L$90,0)</f>
        <v>8.5133744855967076E-3</v>
      </c>
      <c r="AH40" s="628">
        <f>_xlfn.XLOOKUP($E40,'Løp 6'!$E$10:$E$90,'Løp 6'!$M$10:$M$90,0)</f>
        <v>0</v>
      </c>
      <c r="AI40" s="629">
        <f>_xlfn.XLOOKUP($E40,'Løp 6'!$E$10:$E$90,'Løp 6'!$O$10:$O$90,0)</f>
        <v>0</v>
      </c>
      <c r="AJ40" s="629">
        <f>_xlfn.XLOOKUP($E40,'Løp 6'!$E$10:$E$90,'Løp 6'!$L$10:$L$90,0)</f>
        <v>0</v>
      </c>
      <c r="AK40" s="628">
        <f>_xlfn.XLOOKUP($E40,'Løp 7'!$E$10:$E$90,'Løp 7'!$M$10:$M$90,0)</f>
        <v>90</v>
      </c>
      <c r="AL40" s="629">
        <f>_xlfn.XLOOKUP($E40,'Løp 7'!$E$10:$E$90,'Løp 7'!$O$10:$O$90,0)</f>
        <v>56</v>
      </c>
      <c r="AM40" s="629">
        <f>_xlfn.XLOOKUP($E40,'Løp 7'!$E$10:$E$90,'Løp 7'!$L$10:$L$90,0)</f>
        <v>1.8637992831541217E-2</v>
      </c>
      <c r="AN40" s="628">
        <f>_xlfn.XLOOKUP($E40,'Løp 8'!$E$10:$E$91,'Løp 8'!$M$10:$M$91,0)</f>
        <v>97</v>
      </c>
      <c r="AO40" s="629">
        <f>_xlfn.XLOOKUP($E40,'Løp 8'!$E$10:$E$91,'Løp 8'!$O$10:$O$91,0)</f>
        <v>61</v>
      </c>
      <c r="AP40" s="629">
        <f>_xlfn.XLOOKUP($E40,'Løp 8'!$E$10:$E$91,'Løp 8'!$L$10:$L$91,0)</f>
        <v>8.8120791245791235E-3</v>
      </c>
      <c r="AQ40" s="628">
        <f>_xlfn.XLOOKUP($E40,'Løp 9'!$E$10:$E$91,'Løp 9'!$M$10:$M$91,0)</f>
        <v>0</v>
      </c>
      <c r="AR40" s="629">
        <f>_xlfn.XLOOKUP($E40,'Løp 9'!$E$10:$E$91,'Løp 9'!$O$10:$O$91,0)</f>
        <v>0</v>
      </c>
      <c r="AS40" s="629">
        <f>_xlfn.XLOOKUP($E40,'Løp 9'!$E$10:$E$91,'Løp 9'!$L$10:$L$91,0)</f>
        <v>0</v>
      </c>
      <c r="AT40" s="628">
        <f>_xlfn.XLOOKUP($E40,'Løp 10'!$E$10:$E$91,'Løp 10'!$M$10:$M$91,0)</f>
        <v>0</v>
      </c>
      <c r="AU40" s="629">
        <f>_xlfn.XLOOKUP($E40,'Løp 10'!$E$10:$E$91,'Løp 10'!$O$10:$O$91,0)</f>
        <v>0</v>
      </c>
      <c r="AV40" s="629">
        <f>_xlfn.XLOOKUP($E40,'Løp 10'!$E$10:$E$91,'Løp 10'!$L$10:$L$91,0)</f>
        <v>0</v>
      </c>
      <c r="AW40" s="628">
        <f>_xlfn.XLOOKUP($E40,'Løp 11'!$E$10:$E$91,'Løp 11'!$M$10:$M$91,0)</f>
        <v>99</v>
      </c>
      <c r="AX40" s="629">
        <f>_xlfn.XLOOKUP($E40,'Løp 11'!$E$10:$E$91,'Løp 11'!$O$10:$O$91,0)</f>
        <v>74</v>
      </c>
      <c r="AY40" s="629">
        <f>_xlfn.XLOOKUP($E40,'Løp 11'!$E$10:$E$91,'Løp 11'!$L$10:$L$91,0)</f>
        <v>7.4110243055555544E-3</v>
      </c>
      <c r="AZ40" s="628">
        <f>_xlfn.XLOOKUP($E40,'Løp 12'!$E$10:$E$91,'Løp 12'!$M$10:$M$91,0)</f>
        <v>90</v>
      </c>
      <c r="BA40" s="629">
        <f>_xlfn.XLOOKUP($E40,'Løp 12'!$E$10:$E$91,'Løp 12'!$O$10:$O$91,0)</f>
        <v>72</v>
      </c>
      <c r="BB40" s="629">
        <f>_xlfn.XLOOKUP($E40,'Løp 12'!$E$10:$E$91,'Løp 12'!$L$10:$L$91,0)</f>
        <v>6.1755952380952387E-3</v>
      </c>
      <c r="BC40" s="628">
        <f>_xlfn.XLOOKUP($E40,'Løp 13'!$E$10:$E$91,'Løp 13'!$M$10:$M$91,0)</f>
        <v>87</v>
      </c>
      <c r="BD40" s="629">
        <f>_xlfn.XLOOKUP($E40,'Løp 13'!$E$10:$E$91,'Løp 13'!$O$10:$O$91,0)</f>
        <v>76</v>
      </c>
      <c r="BE40" s="629">
        <f>_xlfn.XLOOKUP($E40,'Løp 13'!$E$10:$E$91,'Løp 13'!$L$10:$L$91,0)</f>
        <v>6.2380268199233721E-3</v>
      </c>
      <c r="BF40" s="628">
        <f>_xlfn.XLOOKUP($E40,'Løp 14'!$E$10:$E$91,'Løp 14'!$M$10:$M$91,0)</f>
        <v>100</v>
      </c>
      <c r="BG40" s="629">
        <f>_xlfn.XLOOKUP($E40,'Løp 14'!$E$10:$E$91,'Løp 14'!$O$10:$O$91,0)</f>
        <v>74</v>
      </c>
      <c r="BH40" s="629">
        <f>_xlfn.XLOOKUP($E40,'Løp 14'!$E$10:$E$91,'Løp 14'!$L$10:$L$91,0)</f>
        <v>6.2825520833333327E-3</v>
      </c>
      <c r="BI40" s="628">
        <f>_xlfn.XLOOKUP($E40,'Løp 15'!$E$10:$E$91,'Løp 15'!$M$10:$M$91,0)</f>
        <v>99</v>
      </c>
      <c r="BJ40" s="629">
        <f>_xlfn.XLOOKUP($E40,'Løp 15'!$E$10:$E$91,'Løp 15'!$O$10:$O$91,0)</f>
        <v>66</v>
      </c>
      <c r="BK40" s="629">
        <f>_xlfn.XLOOKUP($E40,'Løp 15'!$E$10:$E$91,'Løp 15'!$L$10:$L$91,0)</f>
        <v>8.7086139169472495E-3</v>
      </c>
      <c r="BL40" s="628">
        <f>_xlfn.XLOOKUP($E40,'Løp 16'!$E$10:$E$91,'Løp 16'!$M$10:$M$91,0)</f>
        <v>0</v>
      </c>
      <c r="BM40" s="629">
        <f>_xlfn.XLOOKUP($E40,'Løp 16'!$E$10:$E$91,'Løp 16'!$O$10:$O$91,0)</f>
        <v>0</v>
      </c>
      <c r="BN40" s="629">
        <f>_xlfn.XLOOKUP($E40,'Løp 16'!$E$10:$E$91,'Løp 16'!$L$10:$L$91,0)</f>
        <v>0</v>
      </c>
      <c r="BO40" s="628">
        <f>_xlfn.XLOOKUP($E40,'Løp 17'!$E$10:$E$91,'Løp 17'!$M$10:$M$91,0)</f>
        <v>0</v>
      </c>
      <c r="BP40" s="629">
        <f>_xlfn.XLOOKUP($E40,'Løp 17'!$E$10:$E$91,'Løp 17'!$O$10:$O$91,0)</f>
        <v>0</v>
      </c>
      <c r="BQ40" s="629">
        <f>_xlfn.XLOOKUP($E40,'Løp 17'!$E$10:$E$91,'Løp 17'!$L$10:$L$91,0)</f>
        <v>0</v>
      </c>
      <c r="BR40" s="628">
        <f>_xlfn.XLOOKUP($E40,'Løp 18'!$E$10:$E$91,'Løp 18'!$M$10:$M$91,0)</f>
        <v>0</v>
      </c>
      <c r="BS40" s="629">
        <f>_xlfn.XLOOKUP($E40,'Løp 18'!$E$10:$E$91,'Løp 18'!$O$10:$O$91,0)</f>
        <v>0</v>
      </c>
      <c r="BT40" s="629">
        <f>_xlfn.XLOOKUP($E40,'Løp 18'!$E$10:$E$91,'Løp 18'!$L$10:$L$91,0)</f>
        <v>0</v>
      </c>
      <c r="BU40" s="628">
        <f>_xlfn.XLOOKUP($E40,'Løp 19'!$E$10:$E$91,'Løp 19'!$M$10:$M$91,0)</f>
        <v>0</v>
      </c>
      <c r="BV40" s="629">
        <f>_xlfn.XLOOKUP($E40,'Løp 19'!$E$10:$E$91,'Løp 19'!$O$10:$O$91,0)</f>
        <v>0</v>
      </c>
      <c r="BW40" s="629">
        <f>_xlfn.XLOOKUP($E40,'Løp 19'!$E$10:$E$91,'Løp 19'!$L$10:$L$91,0)</f>
        <v>0</v>
      </c>
      <c r="BX40" s="628">
        <f>_xlfn.XLOOKUP($E40,'Løp 20'!$E$10:$E$92,'Løp 20'!$M$10:$M$92,0)</f>
        <v>99</v>
      </c>
      <c r="BY40" s="629">
        <f>_xlfn.XLOOKUP($E40,'Løp 20'!$E$10:$E$92,'Løp 20'!$O$10:$O$92,0)</f>
        <v>72</v>
      </c>
      <c r="BZ40" s="629">
        <f>_xlfn.XLOOKUP($E40,'Løp 20'!$E$10:$E$92,'Løp 20'!$L$10:$L$92,0)</f>
        <v>7.8207671957671952E-3</v>
      </c>
      <c r="CA40" s="628">
        <f>_xlfn.XLOOKUP($E40,'Løp 21'!$E$10:$E$93,'Løp 21'!$M$10:$M$93,0)</f>
        <v>97</v>
      </c>
      <c r="CB40" s="629">
        <f>_xlfn.XLOOKUP($E40,'Løp 21'!$E$10:$E$93,'Løp 21'!$O$10:$O$93,0)</f>
        <v>74</v>
      </c>
      <c r="CC40" s="629">
        <f>_xlfn.XLOOKUP($E40,'Løp 21'!$E$10:$E$93,'Løp 21'!$L$10:$L$93,0)</f>
        <v>6.2387992831541223E-3</v>
      </c>
      <c r="CD40" s="628">
        <f>_xlfn.XLOOKUP($E40,'Løp 22'!$E$10:$E$93,'Løp 22'!$M$10:$M$93,0)</f>
        <v>85</v>
      </c>
      <c r="CE40" s="629">
        <f>_xlfn.XLOOKUP($E40,'Løp 22'!$E$10:$E$93,'Løp 22'!$O$10:$O$93,0)</f>
        <v>63</v>
      </c>
      <c r="CF40" s="629">
        <f>_xlfn.XLOOKUP($E40,'Løp 22'!$E$10:$E$93,'Løp 22'!$L$10:$L$93,0)</f>
        <v>8.1908831908831907E-3</v>
      </c>
      <c r="CG40" s="628">
        <f>_xlfn.XLOOKUP($E40,'Løp 23'!$E$10:$E$93,'Løp 23'!$M$10:$M$93,0)</f>
        <v>99</v>
      </c>
      <c r="CH40" s="629">
        <f>_xlfn.XLOOKUP($E40,'Løp 23'!$E$10:$E$93,'Løp 23'!$O$10:$O$93,0)</f>
        <v>74</v>
      </c>
      <c r="CI40" s="629">
        <f>_xlfn.XLOOKUP($E40,'Løp 23'!$E$10:$E$93,'Løp 23'!$L$10:$L$93,0)</f>
        <v>5.2083333333333339E-3</v>
      </c>
      <c r="CJ40" s="628">
        <f>_xlfn.XLOOKUP($E40,'Løp 24'!$E$10:$E$93,'Løp 24'!$M$10:$M$93,0)</f>
        <v>97</v>
      </c>
      <c r="CK40" s="629">
        <f>_xlfn.XLOOKUP($E40,'Løp 24'!$E$10:$E$93,'Løp 24'!$O$10:$O$93,0)</f>
        <v>61</v>
      </c>
      <c r="CL40" s="629">
        <f>_xlfn.XLOOKUP($E40,'Løp 24'!$E$10:$E$93,'Løp 24'!$L$10:$L$93,0)</f>
        <v>5.4808841099163678E-3</v>
      </c>
      <c r="CM40" s="628">
        <f>_xlfn.XLOOKUP($E40,'Løp 25'!$E$10:$E$94,'Løp 25'!$M$10:$M$94,0)</f>
        <v>50</v>
      </c>
      <c r="CN40" s="629">
        <f>_xlfn.XLOOKUP($E40,'Løp 25'!$E$10:$E$94,'Løp 25'!$O$10:$O$94,0)</f>
        <v>50</v>
      </c>
      <c r="CO40" s="629" t="str">
        <f>_xlfn.XLOOKUP($E40,'Løp 25'!$E$10:$E$94,'Løp 25'!$L$10:$L$94,0)</f>
        <v>Disk</v>
      </c>
      <c r="CP40" s="628">
        <f>_xlfn.XLOOKUP($E40,'Løp 26'!$E$10:$E$94,'Løp 26'!$M$10:$M$94,0)</f>
        <v>0</v>
      </c>
      <c r="CQ40" s="629">
        <f>_xlfn.XLOOKUP($E40,'Løp 26'!$E$10:$E$94,'Løp 26'!$O$10:$O$94,0)</f>
        <v>0</v>
      </c>
      <c r="CR40" s="629">
        <f>_xlfn.XLOOKUP($E40,'Løp 26'!$E$10:$E$94,'Løp 26'!$L$10:$L$94,0)</f>
        <v>0</v>
      </c>
      <c r="CS40" s="628">
        <f>_xlfn.XLOOKUP($E40,'Løp 27'!$E$10:$E$94,'Løp 27'!$M$10:$M$94,0)</f>
        <v>92</v>
      </c>
      <c r="CT40" s="629">
        <f>_xlfn.XLOOKUP($E40,'Løp 27'!$E$10:$E$94,'Løp 27'!$O$10:$O$94,0)</f>
        <v>71</v>
      </c>
      <c r="CU40" s="629">
        <f>_xlfn.XLOOKUP($E40,'Løp 27'!$E$10:$E$94,'Løp 27'!$L$10:$L$94,0)</f>
        <v>7.4459876543209865E-3</v>
      </c>
      <c r="CV40" s="628">
        <f>_xlfn.XLOOKUP($E40,'Løp 28'!$E$10:$E$95,'Løp 28'!$M$10:$M$95,0)</f>
        <v>87</v>
      </c>
      <c r="CW40" s="629">
        <f>_xlfn.XLOOKUP($E40,'Løp 28'!$E$10:$E$95,'Løp 28'!$O$10:$O$95,0)</f>
        <v>69</v>
      </c>
      <c r="CX40" s="629">
        <f>_xlfn.XLOOKUP($E40,'Løp 28'!$E$10:$E$95,'Løp 28'!$L$10:$L$95,0)</f>
        <v>7.65901771336554E-3</v>
      </c>
      <c r="CY40" s="628">
        <f>_xlfn.XLOOKUP($E40,'Løp 29'!$E$10:$E$95,'Løp 29'!$M$10:$M$95,0)</f>
        <v>98</v>
      </c>
      <c r="CZ40" s="629">
        <f>_xlfn.XLOOKUP($E40,'Løp 29'!$E$10:$E$95,'Løp 29'!$O$10:$O$95,0)</f>
        <v>73</v>
      </c>
      <c r="DA40" s="629">
        <f>_xlfn.XLOOKUP($E40,'Løp 29'!$E$10:$E$95,'Løp 29'!$L$10:$L$95,0)</f>
        <v>7.4528769841269845E-3</v>
      </c>
    </row>
    <row r="41" spans="2:105" ht="24" customHeight="1" thickBot="1" x14ac:dyDescent="0.3">
      <c r="B41" s="627">
        <f t="shared" si="0"/>
        <v>32</v>
      </c>
      <c r="C41" s="119" t="s">
        <v>94</v>
      </c>
      <c r="D41" s="620" t="s">
        <v>95</v>
      </c>
      <c r="E41" s="616" t="str">
        <f>_xlfn.CONCAT(C41:D41)</f>
        <v>TerjeHanssen</v>
      </c>
      <c r="F41" s="610"/>
      <c r="G41" s="653">
        <f>COUNTIF(S41:DA41,"&gt;2")/2</f>
        <v>21</v>
      </c>
      <c r="H41" s="852">
        <f>COUNTIF(S41:DA41,"=Løype")+COUNTIF(S41:DA41,"Arr")</f>
        <v>1</v>
      </c>
      <c r="I41" s="610"/>
      <c r="J41" s="632">
        <f>S41+V41+Y41+AB41+AE41+AH41+AK41+AN41+AQ41+AT41+AW41+AZ41+BC41+BF41+BI41+BL41+BO41+BR41+BU41+BX41+CA41+CD41+CG41+CJ41+CM41+CP41+CS41+CV41+CY41</f>
        <v>1342</v>
      </c>
      <c r="K41" s="633">
        <f>T41+W41+Z41+AC41+AF41+AI41+AL41+AO41+AR41+AU41+AX41+BA41+BD41+BG41+BJ41+BM41+BP41+BS41+BV41+BY41+CB41+CE41+CH41+CK41+CN41+CQ41+CT41+CW41+CZ41</f>
        <v>1413</v>
      </c>
      <c r="L41" s="613"/>
      <c r="M41" s="658">
        <f>IF($G41&gt;0,J41/G41,0)</f>
        <v>63.904761904761905</v>
      </c>
      <c r="N41" s="659">
        <f>IF($G41&gt;0,K41/$G41,0)</f>
        <v>67.285714285714292</v>
      </c>
      <c r="O41" s="862"/>
      <c r="P41" s="874">
        <f>IF(AND($G41&gt;$Q$3-1,$G41-$H41&gt;0),M41,0)</f>
        <v>63.904761904761905</v>
      </c>
      <c r="Q41" s="875">
        <f>IF(AND($G41&gt;$Q$3-1,$G41-$H41&gt;0),N41,0)</f>
        <v>67.285714285714292</v>
      </c>
      <c r="R41" s="613"/>
      <c r="S41" s="628">
        <f>_xlfn.XLOOKUP($E41,'Løp 1'!$E$10:$E$90,'Løp 1'!$M$10:$M$90,0)</f>
        <v>50</v>
      </c>
      <c r="T41" s="629">
        <f>_xlfn.XLOOKUP($E41,'Løp 1'!$E$10:$E$90,'Løp 1'!$O$10:$O$90,0)</f>
        <v>51</v>
      </c>
      <c r="U41" s="629">
        <f>_xlfn.XLOOKUP($E41,'Løp 1'!$E$10:$E$90,'Løp 1'!$L$10:$L$90,0)</f>
        <v>1.7552681992337164E-2</v>
      </c>
      <c r="V41" s="628">
        <f>_xlfn.XLOOKUP($E41,'Løp 2'!$E$10:$E$90,'Løp 2'!$M$10:$M$90,0)</f>
        <v>0</v>
      </c>
      <c r="W41" s="629">
        <f>_xlfn.XLOOKUP($E41,'Løp 2'!$E$10:$E$90,'Løp 2'!$O$10:$O$90,0)</f>
        <v>0</v>
      </c>
      <c r="X41" s="629">
        <f>_xlfn.XLOOKUP($E41,'Løp 2'!$E$10:$E$90,'Løp 2'!$L$10:$L$90,0)</f>
        <v>0</v>
      </c>
      <c r="Y41" s="628">
        <f>_xlfn.XLOOKUP($E41,'Løp 3'!$E$10:$E$90,'Løp 3'!$M$10:$M$90,0)</f>
        <v>75</v>
      </c>
      <c r="Z41" s="629">
        <f>_xlfn.XLOOKUP($E41,'Løp 3'!$E$10:$E$90,'Løp 3'!$O$10:$O$90,0)</f>
        <v>77</v>
      </c>
      <c r="AA41" s="629">
        <f>_xlfn.XLOOKUP($E41,'Løp 3'!$E$10:$E$90,'Løp 3'!$L$10:$L$90,0)</f>
        <v>1.2037037037037037E-2</v>
      </c>
      <c r="AB41" s="628">
        <f>_xlfn.XLOOKUP($E41,'Løp 4'!$E$10:$E$90,'Løp 4'!$M$10:$M$90,0)</f>
        <v>56</v>
      </c>
      <c r="AC41" s="629">
        <f>_xlfn.XLOOKUP($E41,'Løp 4'!$E$10:$E$90,'Løp 4'!$O$10:$O$90,0)</f>
        <v>64</v>
      </c>
      <c r="AD41" s="629">
        <f>_xlfn.XLOOKUP($E41,'Løp 4'!$E$10:$E$90,'Løp 4'!$L$10:$L$90,0)</f>
        <v>1.2469806763285025E-2</v>
      </c>
      <c r="AE41" s="628">
        <f>_xlfn.XLOOKUP($E41,'Løp 5'!$E$10:$E$90,'Løp 5'!$M$10:$M$90,0)</f>
        <v>56</v>
      </c>
      <c r="AF41" s="629">
        <f>_xlfn.XLOOKUP($E41,'Løp 5'!$E$10:$E$90,'Løp 5'!$O$10:$O$90,0)</f>
        <v>59</v>
      </c>
      <c r="AG41" s="629">
        <f>_xlfn.XLOOKUP($E41,'Løp 5'!$E$10:$E$90,'Løp 5'!$L$10:$L$90,0)</f>
        <v>1.2847222222222222E-2</v>
      </c>
      <c r="AH41" s="628">
        <f>_xlfn.XLOOKUP($E41,'Løp 6'!$E$10:$E$90,'Løp 6'!$M$10:$M$90,0)</f>
        <v>67</v>
      </c>
      <c r="AI41" s="629">
        <f>_xlfn.XLOOKUP($E41,'Løp 6'!$E$10:$E$90,'Løp 6'!$O$10:$O$90,0)</f>
        <v>73</v>
      </c>
      <c r="AJ41" s="629">
        <f>_xlfn.XLOOKUP($E41,'Løp 6'!$E$10:$E$90,'Løp 6'!$L$10:$L$90,0)</f>
        <v>1.16489651416122E-2</v>
      </c>
      <c r="AK41" s="628">
        <f>_xlfn.XLOOKUP($E41,'Løp 7'!$E$10:$E$90,'Løp 7'!$M$10:$M$90,0)</f>
        <v>89</v>
      </c>
      <c r="AL41" s="629">
        <f>_xlfn.XLOOKUP($E41,'Løp 7'!$E$10:$E$90,'Løp 7'!$O$10:$O$90,0)</f>
        <v>79</v>
      </c>
      <c r="AM41" s="629">
        <f>_xlfn.XLOOKUP($E41,'Løp 7'!$E$10:$E$90,'Løp 7'!$L$10:$L$90,0)</f>
        <v>1.8981481481481481E-2</v>
      </c>
      <c r="AN41" s="628">
        <f>_xlfn.XLOOKUP($E41,'Løp 8'!$E$10:$E$91,'Løp 8'!$M$10:$M$91,0)</f>
        <v>55</v>
      </c>
      <c r="AO41" s="629">
        <f>_xlfn.XLOOKUP($E41,'Løp 8'!$E$10:$E$91,'Løp 8'!$O$10:$O$91,0)</f>
        <v>50</v>
      </c>
      <c r="AP41" s="629">
        <f>_xlfn.XLOOKUP($E41,'Løp 8'!$E$10:$E$91,'Løp 8'!$L$10:$L$91,0)</f>
        <v>1.5609567901234569E-2</v>
      </c>
      <c r="AQ41" s="628">
        <f>_xlfn.XLOOKUP($E41,'Løp 9'!$E$10:$E$91,'Løp 9'!$M$10:$M$91,0)</f>
        <v>0</v>
      </c>
      <c r="AR41" s="629">
        <f>_xlfn.XLOOKUP($E41,'Løp 9'!$E$10:$E$91,'Løp 9'!$O$10:$O$91,0)</f>
        <v>0</v>
      </c>
      <c r="AS41" s="629">
        <f>_xlfn.XLOOKUP($E41,'Løp 9'!$E$10:$E$91,'Løp 9'!$L$10:$L$91,0)</f>
        <v>0</v>
      </c>
      <c r="AT41" s="628">
        <f>_xlfn.XLOOKUP($E41,'Løp 10'!$E$10:$E$91,'Løp 10'!$M$10:$M$91,0)</f>
        <v>0</v>
      </c>
      <c r="AU41" s="629">
        <f>_xlfn.XLOOKUP($E41,'Løp 10'!$E$10:$E$91,'Løp 10'!$O$10:$O$91,0)</f>
        <v>0</v>
      </c>
      <c r="AV41" s="629">
        <f>_xlfn.XLOOKUP($E41,'Løp 10'!$E$10:$E$91,'Løp 10'!$L$10:$L$91,0)</f>
        <v>0</v>
      </c>
      <c r="AW41" s="628">
        <f>_xlfn.XLOOKUP($E41,'Løp 11'!$E$10:$E$91,'Løp 11'!$M$10:$M$91,0)</f>
        <v>63</v>
      </c>
      <c r="AX41" s="629">
        <f>_xlfn.XLOOKUP($E41,'Løp 11'!$E$10:$E$91,'Løp 11'!$O$10:$O$91,0)</f>
        <v>68</v>
      </c>
      <c r="AY41" s="629">
        <f>_xlfn.XLOOKUP($E41,'Løp 11'!$E$10:$E$91,'Løp 11'!$L$10:$L$91,0)</f>
        <v>1.1705597643097643E-2</v>
      </c>
      <c r="AZ41" s="628">
        <f>_xlfn.XLOOKUP($E41,'Løp 12'!$E$10:$E$91,'Løp 12'!$M$10:$M$91,0)</f>
        <v>0</v>
      </c>
      <c r="BA41" s="629">
        <f>_xlfn.XLOOKUP($E41,'Løp 12'!$E$10:$E$91,'Løp 12'!$O$10:$O$91,0)</f>
        <v>0</v>
      </c>
      <c r="BB41" s="629">
        <f>_xlfn.XLOOKUP($E41,'Løp 12'!$E$10:$E$91,'Løp 12'!$L$10:$L$91,0)</f>
        <v>0</v>
      </c>
      <c r="BC41" s="628">
        <f>_xlfn.XLOOKUP($E41,'Løp 13'!$E$10:$E$91,'Løp 13'!$M$10:$M$91,0)</f>
        <v>0</v>
      </c>
      <c r="BD41" s="629">
        <f>_xlfn.XLOOKUP($E41,'Løp 13'!$E$10:$E$91,'Løp 13'!$O$10:$O$91,0)</f>
        <v>0</v>
      </c>
      <c r="BE41" s="629">
        <f>_xlfn.XLOOKUP($E41,'Løp 13'!$E$10:$E$91,'Løp 13'!$L$10:$L$91,0)</f>
        <v>0</v>
      </c>
      <c r="BF41" s="628">
        <f>_xlfn.XLOOKUP($E41,'Løp 14'!$E$10:$E$91,'Løp 14'!$M$10:$M$91,0)</f>
        <v>59</v>
      </c>
      <c r="BG41" s="629">
        <f>_xlfn.XLOOKUP($E41,'Løp 14'!$E$10:$E$91,'Løp 14'!$O$10:$O$91,0)</f>
        <v>64</v>
      </c>
      <c r="BH41" s="629">
        <f>_xlfn.XLOOKUP($E41,'Løp 14'!$E$10:$E$91,'Løp 14'!$L$10:$L$91,0)</f>
        <v>1.0630787037037038E-2</v>
      </c>
      <c r="BI41" s="628">
        <f>_xlfn.XLOOKUP($E41,'Løp 15'!$E$10:$E$91,'Løp 15'!$M$10:$M$91,0)</f>
        <v>0</v>
      </c>
      <c r="BJ41" s="629">
        <f>_xlfn.XLOOKUP($E41,'Løp 15'!$E$10:$E$91,'Løp 15'!$O$10:$O$91,0)</f>
        <v>0</v>
      </c>
      <c r="BK41" s="629">
        <f>_xlfn.XLOOKUP($E41,'Løp 15'!$E$10:$E$91,'Løp 15'!$L$10:$L$91,0)</f>
        <v>0</v>
      </c>
      <c r="BL41" s="628">
        <f>_xlfn.XLOOKUP($E41,'Løp 16'!$E$10:$E$91,'Løp 16'!$M$10:$M$91,0)</f>
        <v>50</v>
      </c>
      <c r="BM41" s="629">
        <f>_xlfn.XLOOKUP($E41,'Løp 16'!$E$10:$E$91,'Løp 16'!$O$10:$O$91,0)</f>
        <v>50</v>
      </c>
      <c r="BN41" s="629" t="str">
        <f>_xlfn.XLOOKUP($E41,'Løp 16'!$E$10:$E$91,'Løp 16'!$L$10:$L$91,0)</f>
        <v>Disk</v>
      </c>
      <c r="BO41" s="628">
        <f>_xlfn.XLOOKUP($E41,'Løp 17'!$E$10:$E$91,'Løp 17'!$M$10:$M$91,0)</f>
        <v>61</v>
      </c>
      <c r="BP41" s="629">
        <f>_xlfn.XLOOKUP($E41,'Løp 17'!$E$10:$E$91,'Løp 17'!$O$10:$O$91,0)</f>
        <v>68</v>
      </c>
      <c r="BQ41" s="629">
        <f>_xlfn.XLOOKUP($E41,'Løp 17'!$E$10:$E$91,'Løp 17'!$L$10:$L$91,0)</f>
        <v>1.0410575048732943E-2</v>
      </c>
      <c r="BR41" s="628">
        <f>_xlfn.XLOOKUP($E41,'Løp 18'!$E$10:$E$91,'Løp 18'!$M$10:$M$91,0)</f>
        <v>73</v>
      </c>
      <c r="BS41" s="629">
        <f>_xlfn.XLOOKUP($E41,'Løp 18'!$E$10:$E$91,'Løp 18'!$O$10:$O$91,0)</f>
        <v>76</v>
      </c>
      <c r="BT41" s="629">
        <f>_xlfn.XLOOKUP($E41,'Løp 18'!$E$10:$E$91,'Løp 18'!$L$10:$L$91,0)</f>
        <v>9.7858796296296305E-3</v>
      </c>
      <c r="BU41" s="628">
        <f>_xlfn.XLOOKUP($E41,'Løp 19'!$E$10:$E$91,'Løp 19'!$M$10:$M$91,0)</f>
        <v>66</v>
      </c>
      <c r="BV41" s="629">
        <f>_xlfn.XLOOKUP($E41,'Løp 19'!$E$10:$E$91,'Løp 19'!$O$10:$O$91,0)</f>
        <v>69</v>
      </c>
      <c r="BW41" s="629">
        <f>_xlfn.XLOOKUP($E41,'Løp 19'!$E$10:$E$91,'Løp 19'!$L$10:$L$91,0)</f>
        <v>1.2409979423868312E-2</v>
      </c>
      <c r="BX41" s="628">
        <f>_xlfn.XLOOKUP($E41,'Løp 20'!$E$10:$E$92,'Løp 20'!$M$10:$M$92,0)</f>
        <v>0</v>
      </c>
      <c r="BY41" s="629">
        <f>_xlfn.XLOOKUP($E41,'Løp 20'!$E$10:$E$92,'Løp 20'!$O$10:$O$92,0)</f>
        <v>0</v>
      </c>
      <c r="BZ41" s="629">
        <f>_xlfn.XLOOKUP($E41,'Løp 20'!$E$10:$E$92,'Løp 20'!$L$10:$L$92,0)</f>
        <v>0</v>
      </c>
      <c r="CA41" s="628">
        <f>_xlfn.XLOOKUP($E41,'Løp 21'!$E$10:$E$93,'Løp 21'!$M$10:$M$93,0)</f>
        <v>58</v>
      </c>
      <c r="CB41" s="629">
        <f>_xlfn.XLOOKUP($E41,'Løp 21'!$E$10:$E$93,'Løp 21'!$O$10:$O$93,0)</f>
        <v>64</v>
      </c>
      <c r="CC41" s="629">
        <f>_xlfn.XLOOKUP($E41,'Løp 21'!$E$10:$E$93,'Løp 21'!$L$10:$L$93,0)</f>
        <v>1.0461956521739131E-2</v>
      </c>
      <c r="CD41" s="628">
        <f>_xlfn.XLOOKUP($E41,'Løp 22'!$E$10:$E$93,'Løp 22'!$M$10:$M$93,0)</f>
        <v>70</v>
      </c>
      <c r="CE41" s="629">
        <f>_xlfn.XLOOKUP($E41,'Løp 22'!$E$10:$E$93,'Løp 22'!$O$10:$O$93,0)</f>
        <v>76</v>
      </c>
      <c r="CF41" s="629">
        <f>_xlfn.XLOOKUP($E41,'Løp 22'!$E$10:$E$93,'Løp 22'!$L$10:$L$93,0)</f>
        <v>9.9592151675484998E-3</v>
      </c>
      <c r="CG41" s="628">
        <f>_xlfn.XLOOKUP($E41,'Løp 23'!$E$10:$E$93,'Løp 23'!$M$10:$M$93,0)</f>
        <v>59</v>
      </c>
      <c r="CH41" s="629">
        <f>_xlfn.XLOOKUP($E41,'Løp 23'!$E$10:$E$93,'Løp 23'!$O$10:$O$93,0)</f>
        <v>65</v>
      </c>
      <c r="CI41" s="629">
        <f>_xlfn.XLOOKUP($E41,'Løp 23'!$E$10:$E$93,'Løp 23'!$L$10:$L$93,0)</f>
        <v>8.7062757201646097E-3</v>
      </c>
      <c r="CJ41" s="628">
        <f>_xlfn.XLOOKUP($E41,'Løp 24'!$E$10:$E$93,'Løp 24'!$M$10:$M$93,0)</f>
        <v>0</v>
      </c>
      <c r="CK41" s="629">
        <f>_xlfn.XLOOKUP($E41,'Løp 24'!$E$10:$E$93,'Løp 24'!$O$10:$O$93,0)</f>
        <v>0</v>
      </c>
      <c r="CL41" s="629">
        <f>_xlfn.XLOOKUP($E41,'Løp 24'!$E$10:$E$93,'Løp 24'!$L$10:$L$93,0)</f>
        <v>0</v>
      </c>
      <c r="CM41" s="628">
        <f>_xlfn.XLOOKUP($E41,'Løp 25'!$E$10:$E$94,'Løp 25'!$M$10:$M$94,0)</f>
        <v>94</v>
      </c>
      <c r="CN41" s="629">
        <f>_xlfn.XLOOKUP($E41,'Løp 25'!$E$10:$E$94,'Løp 25'!$O$10:$O$94,0)</f>
        <v>94</v>
      </c>
      <c r="CO41" s="629" t="str">
        <f>_xlfn.XLOOKUP($E41,'Løp 25'!$E$10:$E$94,'Løp 25'!$L$10:$L$94,0)</f>
        <v>Arr</v>
      </c>
      <c r="CP41" s="628">
        <f>_xlfn.XLOOKUP($E41,'Løp 26'!$E$10:$E$94,'Løp 26'!$M$10:$M$94,0)</f>
        <v>66</v>
      </c>
      <c r="CQ41" s="629">
        <f>_xlfn.XLOOKUP($E41,'Løp 26'!$E$10:$E$94,'Løp 26'!$O$10:$O$94,0)</f>
        <v>75</v>
      </c>
      <c r="CR41" s="629">
        <f>_xlfn.XLOOKUP($E41,'Løp 26'!$E$10:$E$94,'Løp 26'!$L$10:$L$94,0)</f>
        <v>1.0763888888888889E-2</v>
      </c>
      <c r="CS41" s="628">
        <f>_xlfn.XLOOKUP($E41,'Løp 27'!$E$10:$E$94,'Løp 27'!$M$10:$M$94,0)</f>
        <v>50</v>
      </c>
      <c r="CT41" s="629">
        <f>_xlfn.XLOOKUP($E41,'Løp 27'!$E$10:$E$94,'Løp 27'!$O$10:$O$94,0)</f>
        <v>50</v>
      </c>
      <c r="CU41" s="629">
        <f>_xlfn.XLOOKUP($E41,'Løp 27'!$E$10:$E$94,'Løp 27'!$L$10:$L$94,0)</f>
        <v>1.9753086419753086E-2</v>
      </c>
      <c r="CV41" s="628">
        <f>_xlfn.XLOOKUP($E41,'Løp 28'!$E$10:$E$95,'Løp 28'!$M$10:$M$95,0)</f>
        <v>59</v>
      </c>
      <c r="CW41" s="629">
        <f>_xlfn.XLOOKUP($E41,'Løp 28'!$E$10:$E$95,'Løp 28'!$O$10:$O$95,0)</f>
        <v>69</v>
      </c>
      <c r="CX41" s="629">
        <f>_xlfn.XLOOKUP($E41,'Løp 28'!$E$10:$E$95,'Løp 28'!$L$10:$L$95,0)</f>
        <v>1.1186342592592593E-2</v>
      </c>
      <c r="CY41" s="628">
        <f>_xlfn.XLOOKUP($E41,'Løp 29'!$E$10:$E$95,'Løp 29'!$M$10:$M$95,0)</f>
        <v>66</v>
      </c>
      <c r="CZ41" s="629">
        <f>_xlfn.XLOOKUP($E41,'Løp 29'!$E$10:$E$95,'Løp 29'!$O$10:$O$95,0)</f>
        <v>72</v>
      </c>
      <c r="DA41" s="629">
        <f>_xlfn.XLOOKUP($E41,'Løp 29'!$E$10:$E$95,'Løp 29'!$L$10:$L$95,0)</f>
        <v>1.0995370370370371E-2</v>
      </c>
    </row>
    <row r="42" spans="2:105" ht="24" customHeight="1" thickBot="1" x14ac:dyDescent="0.3">
      <c r="B42" s="627">
        <f t="shared" si="0"/>
        <v>33</v>
      </c>
      <c r="C42" s="119" t="s">
        <v>142</v>
      </c>
      <c r="D42" s="620" t="s">
        <v>143</v>
      </c>
      <c r="E42" s="616" t="str">
        <f>_xlfn.CONCAT(C42:D42)</f>
        <v>EgilRepvik</v>
      </c>
      <c r="F42" s="610"/>
      <c r="G42" s="653">
        <f>COUNTIF(S42:DA42,"&gt;2")/2</f>
        <v>27</v>
      </c>
      <c r="H42" s="852">
        <f>COUNTIF(S42:DA42,"=Løype")+COUNTIF(S42:DA42,"Arr")</f>
        <v>0</v>
      </c>
      <c r="I42" s="610"/>
      <c r="J42" s="632">
        <f>S42+V42+Y42+AB42+AE42+AH42+AK42+AN42+AQ42+AT42+AW42+AZ42+BC42+BF42+BI42+BL42+BO42+BR42+BU42+BX42+CA42+CD42+CG42+CJ42+CM42+CP42+CS42+CV42+CY42</f>
        <v>1636</v>
      </c>
      <c r="K42" s="633">
        <f>T42+W42+Z42+AC42+AF42+AI42+AL42+AO42+AR42+AU42+AX42+BA42+BD42+BG42+BJ42+BM42+BP42+BS42+BV42+BY42+CB42+CE42+CH42+CK42+CN42+CQ42+CT42+CW42+CZ42</f>
        <v>1814</v>
      </c>
      <c r="L42" s="613"/>
      <c r="M42" s="658">
        <f>IF($G42&gt;0,J42/G42,0)</f>
        <v>60.592592592592595</v>
      </c>
      <c r="N42" s="659">
        <f>IF($G42&gt;0,K42/$G42,0)</f>
        <v>67.18518518518519</v>
      </c>
      <c r="O42" s="862"/>
      <c r="P42" s="874">
        <f>IF(AND($G42&gt;$Q$3-1,$G42-$H42&gt;0),M42,0)</f>
        <v>60.592592592592595</v>
      </c>
      <c r="Q42" s="875">
        <f>IF(AND($G42&gt;$Q$3-1,$G42-$H42&gt;0),N42,0)</f>
        <v>67.18518518518519</v>
      </c>
      <c r="R42" s="613"/>
      <c r="S42" s="628">
        <f>_xlfn.XLOOKUP($E42,'Løp 1'!$E$10:$E$90,'Løp 1'!$M$10:$M$90,0)</f>
        <v>59</v>
      </c>
      <c r="T42" s="629">
        <f>_xlfn.XLOOKUP($E42,'Løp 1'!$E$10:$E$90,'Løp 1'!$O$10:$O$90,0)</f>
        <v>69</v>
      </c>
      <c r="U42" s="629">
        <f>_xlfn.XLOOKUP($E42,'Løp 1'!$E$10:$E$90,'Løp 1'!$L$10:$L$90,0)</f>
        <v>1.3712231968810917E-2</v>
      </c>
      <c r="V42" s="628">
        <f>_xlfn.XLOOKUP($E42,'Løp 2'!$E$10:$E$90,'Løp 2'!$M$10:$M$90,0)</f>
        <v>65</v>
      </c>
      <c r="W42" s="629">
        <f>_xlfn.XLOOKUP($E42,'Løp 2'!$E$10:$E$90,'Løp 2'!$O$10:$O$90,0)</f>
        <v>64</v>
      </c>
      <c r="X42" s="629">
        <f>_xlfn.XLOOKUP($E42,'Løp 2'!$E$10:$E$90,'Løp 2'!$L$10:$L$90,0)</f>
        <v>1.3618827160493827E-2</v>
      </c>
      <c r="Y42" s="628">
        <f>_xlfn.XLOOKUP($E42,'Løp 3'!$E$10:$E$90,'Løp 3'!$M$10:$M$90,0)</f>
        <v>74</v>
      </c>
      <c r="Z42" s="629">
        <f>_xlfn.XLOOKUP($E42,'Løp 3'!$E$10:$E$90,'Løp 3'!$O$10:$O$90,0)</f>
        <v>81</v>
      </c>
      <c r="AA42" s="629">
        <f>_xlfn.XLOOKUP($E42,'Løp 3'!$E$10:$E$90,'Løp 3'!$L$10:$L$90,0)</f>
        <v>1.2097663139329806E-2</v>
      </c>
      <c r="AB42" s="628">
        <f>_xlfn.XLOOKUP($E42,'Løp 4'!$E$10:$E$90,'Løp 4'!$M$10:$M$90,0)</f>
        <v>56</v>
      </c>
      <c r="AC42" s="629">
        <f>_xlfn.XLOOKUP($E42,'Løp 4'!$E$10:$E$90,'Løp 4'!$O$10:$O$90,0)</f>
        <v>68</v>
      </c>
      <c r="AD42" s="629">
        <f>_xlfn.XLOOKUP($E42,'Løp 4'!$E$10:$E$90,'Løp 4'!$L$10:$L$90,0)</f>
        <v>1.2484903381642513E-2</v>
      </c>
      <c r="AE42" s="628">
        <f>_xlfn.XLOOKUP($E42,'Løp 5'!$E$10:$E$90,'Løp 5'!$M$10:$M$90,0)</f>
        <v>56</v>
      </c>
      <c r="AF42" s="629">
        <f>_xlfn.XLOOKUP($E42,'Løp 5'!$E$10:$E$90,'Løp 5'!$O$10:$O$90,0)</f>
        <v>62</v>
      </c>
      <c r="AG42" s="629">
        <f>_xlfn.XLOOKUP($E42,'Løp 5'!$E$10:$E$90,'Løp 5'!$L$10:$L$90,0)</f>
        <v>1.300636574074074E-2</v>
      </c>
      <c r="AH42" s="628">
        <f>_xlfn.XLOOKUP($E42,'Løp 6'!$E$10:$E$90,'Løp 6'!$M$10:$M$90,0)</f>
        <v>68</v>
      </c>
      <c r="AI42" s="629">
        <f>_xlfn.XLOOKUP($E42,'Løp 6'!$E$10:$E$90,'Løp 6'!$O$10:$O$90,0)</f>
        <v>79</v>
      </c>
      <c r="AJ42" s="629">
        <f>_xlfn.XLOOKUP($E42,'Løp 6'!$E$10:$E$90,'Løp 6'!$L$10:$L$90,0)</f>
        <v>1.1451525054466231E-2</v>
      </c>
      <c r="AK42" s="628">
        <f>_xlfn.XLOOKUP($E42,'Løp 7'!$E$10:$E$90,'Løp 7'!$M$10:$M$90,0)</f>
        <v>68</v>
      </c>
      <c r="AL42" s="629">
        <f>_xlfn.XLOOKUP($E42,'Løp 7'!$E$10:$E$90,'Løp 7'!$O$10:$O$90,0)</f>
        <v>64</v>
      </c>
      <c r="AM42" s="629">
        <f>_xlfn.XLOOKUP($E42,'Løp 7'!$E$10:$E$90,'Løp 7'!$L$10:$L$90,0)</f>
        <v>2.4615951178451178E-2</v>
      </c>
      <c r="AN42" s="628">
        <f>_xlfn.XLOOKUP($E42,'Løp 8'!$E$10:$E$91,'Løp 8'!$M$10:$M$91,0)</f>
        <v>55</v>
      </c>
      <c r="AO42" s="629">
        <f>_xlfn.XLOOKUP($E42,'Løp 8'!$E$10:$E$91,'Løp 8'!$O$10:$O$91,0)</f>
        <v>53</v>
      </c>
      <c r="AP42" s="629">
        <f>_xlfn.XLOOKUP($E42,'Løp 8'!$E$10:$E$91,'Løp 8'!$L$10:$L$91,0)</f>
        <v>1.5362654320987655E-2</v>
      </c>
      <c r="AQ42" s="628">
        <f>_xlfn.XLOOKUP($E42,'Løp 9'!$E$10:$E$91,'Løp 9'!$M$10:$M$91,0)</f>
        <v>71</v>
      </c>
      <c r="AR42" s="629">
        <f>_xlfn.XLOOKUP($E42,'Løp 9'!$E$10:$E$91,'Løp 9'!$O$10:$O$91,0)</f>
        <v>72</v>
      </c>
      <c r="AS42" s="629">
        <f>_xlfn.XLOOKUP($E42,'Løp 9'!$E$10:$E$91,'Løp 9'!$L$10:$L$91,0)</f>
        <v>9.6275252525252521E-3</v>
      </c>
      <c r="AT42" s="628">
        <f>_xlfn.XLOOKUP($E42,'Løp 10'!$E$10:$E$91,'Løp 10'!$M$10:$M$91,0)</f>
        <v>61</v>
      </c>
      <c r="AU42" s="629">
        <f>_xlfn.XLOOKUP($E42,'Løp 10'!$E$10:$E$91,'Løp 10'!$O$10:$O$91,0)</f>
        <v>69</v>
      </c>
      <c r="AV42" s="629">
        <f>_xlfn.XLOOKUP($E42,'Løp 10'!$E$10:$E$91,'Løp 10'!$L$10:$L$91,0)</f>
        <v>1.2217881944444443E-2</v>
      </c>
      <c r="AW42" s="628">
        <f>_xlfn.XLOOKUP($E42,'Løp 11'!$E$10:$E$91,'Løp 11'!$M$10:$M$91,0)</f>
        <v>50</v>
      </c>
      <c r="AX42" s="629">
        <f>_xlfn.XLOOKUP($E42,'Løp 11'!$E$10:$E$91,'Løp 11'!$O$10:$O$91,0)</f>
        <v>50</v>
      </c>
      <c r="AY42" s="629" t="str">
        <f>_xlfn.XLOOKUP($E42,'Løp 11'!$E$10:$E$91,'Løp 11'!$L$10:$L$91,0)</f>
        <v>Brutt</v>
      </c>
      <c r="AZ42" s="628">
        <f>_xlfn.XLOOKUP($E42,'Løp 12'!$E$10:$E$91,'Løp 12'!$M$10:$M$91,0)</f>
        <v>0</v>
      </c>
      <c r="BA42" s="629">
        <f>_xlfn.XLOOKUP($E42,'Løp 12'!$E$10:$E$91,'Løp 12'!$O$10:$O$91,0)</f>
        <v>0</v>
      </c>
      <c r="BB42" s="629">
        <f>_xlfn.XLOOKUP($E42,'Løp 12'!$E$10:$E$91,'Løp 12'!$L$10:$L$91,0)</f>
        <v>0</v>
      </c>
      <c r="BC42" s="628">
        <f>_xlfn.XLOOKUP($E42,'Løp 13'!$E$10:$E$91,'Løp 13'!$M$10:$M$91,0)</f>
        <v>50</v>
      </c>
      <c r="BD42" s="629">
        <f>_xlfn.XLOOKUP($E42,'Løp 13'!$E$10:$E$91,'Løp 13'!$O$10:$O$91,0)</f>
        <v>53</v>
      </c>
      <c r="BE42" s="629">
        <f>_xlfn.XLOOKUP($E42,'Løp 13'!$E$10:$E$91,'Løp 13'!$L$10:$L$91,0)</f>
        <v>1.3530092592592592E-2</v>
      </c>
      <c r="BF42" s="628">
        <f>_xlfn.XLOOKUP($E42,'Løp 14'!$E$10:$E$91,'Løp 14'!$M$10:$M$91,0)</f>
        <v>66</v>
      </c>
      <c r="BG42" s="629">
        <f>_xlfn.XLOOKUP($E42,'Løp 14'!$E$10:$E$91,'Løp 14'!$O$10:$O$91,0)</f>
        <v>76</v>
      </c>
      <c r="BH42" s="629">
        <f>_xlfn.XLOOKUP($E42,'Løp 14'!$E$10:$E$91,'Løp 14'!$L$10:$L$91,0)</f>
        <v>9.5138888888888894E-3</v>
      </c>
      <c r="BI42" s="628">
        <f>_xlfn.XLOOKUP($E42,'Løp 15'!$E$10:$E$91,'Løp 15'!$M$10:$M$91,0)</f>
        <v>50</v>
      </c>
      <c r="BJ42" s="629">
        <f>_xlfn.XLOOKUP($E42,'Løp 15'!$E$10:$E$91,'Løp 15'!$O$10:$O$91,0)</f>
        <v>50</v>
      </c>
      <c r="BK42" s="629" t="str">
        <f>_xlfn.XLOOKUP($E42,'Løp 15'!$E$10:$E$91,'Løp 15'!$L$10:$L$91,0)</f>
        <v>Brutt</v>
      </c>
      <c r="BL42" s="628">
        <f>_xlfn.XLOOKUP($E42,'Løp 16'!$E$10:$E$91,'Løp 16'!$M$10:$M$91,0)</f>
        <v>61</v>
      </c>
      <c r="BM42" s="629">
        <f>_xlfn.XLOOKUP($E42,'Løp 16'!$E$10:$E$91,'Løp 16'!$O$10:$O$91,0)</f>
        <v>73</v>
      </c>
      <c r="BN42" s="629">
        <f>_xlfn.XLOOKUP($E42,'Løp 16'!$E$10:$E$91,'Løp 16'!$L$10:$L$91,0)</f>
        <v>1.1216787439613529E-2</v>
      </c>
      <c r="BO42" s="628">
        <f>_xlfn.XLOOKUP($E42,'Løp 17'!$E$10:$E$91,'Løp 17'!$M$10:$M$91,0)</f>
        <v>51</v>
      </c>
      <c r="BP42" s="629">
        <f>_xlfn.XLOOKUP($E42,'Løp 17'!$E$10:$E$91,'Løp 17'!$O$10:$O$91,0)</f>
        <v>60</v>
      </c>
      <c r="BQ42" s="629">
        <f>_xlfn.XLOOKUP($E42,'Løp 17'!$E$10:$E$91,'Løp 17'!$L$10:$L$91,0)</f>
        <v>1.2414717348927877E-2</v>
      </c>
      <c r="BR42" s="628">
        <f>_xlfn.XLOOKUP($E42,'Løp 18'!$E$10:$E$91,'Løp 18'!$M$10:$M$91,0)</f>
        <v>70</v>
      </c>
      <c r="BS42" s="629">
        <f>_xlfn.XLOOKUP($E42,'Løp 18'!$E$10:$E$91,'Løp 18'!$O$10:$O$91,0)</f>
        <v>77</v>
      </c>
      <c r="BT42" s="629">
        <f>_xlfn.XLOOKUP($E42,'Løp 18'!$E$10:$E$91,'Løp 18'!$L$10:$L$91,0)</f>
        <v>1.0277777777777778E-2</v>
      </c>
      <c r="BU42" s="628">
        <f>_xlfn.XLOOKUP($E42,'Løp 19'!$E$10:$E$91,'Løp 19'!$M$10:$M$91,0)</f>
        <v>61</v>
      </c>
      <c r="BV42" s="629">
        <f>_xlfn.XLOOKUP($E42,'Løp 19'!$E$10:$E$91,'Løp 19'!$O$10:$O$91,0)</f>
        <v>67</v>
      </c>
      <c r="BW42" s="629">
        <f>_xlfn.XLOOKUP($E42,'Løp 19'!$E$10:$E$91,'Løp 19'!$L$10:$L$91,0)</f>
        <v>1.3406635802469136E-2</v>
      </c>
      <c r="BX42" s="628">
        <f>_xlfn.XLOOKUP($E42,'Løp 20'!$E$10:$E$92,'Løp 20'!$M$10:$M$92,0)</f>
        <v>0</v>
      </c>
      <c r="BY42" s="629">
        <f>_xlfn.XLOOKUP($E42,'Løp 20'!$E$10:$E$92,'Løp 20'!$O$10:$O$92,0)</f>
        <v>0</v>
      </c>
      <c r="BZ42" s="629">
        <f>_xlfn.XLOOKUP($E42,'Løp 20'!$E$10:$E$92,'Løp 20'!$L$10:$L$92,0)</f>
        <v>0</v>
      </c>
      <c r="CA42" s="628">
        <f>_xlfn.XLOOKUP($E42,'Løp 21'!$E$10:$E$93,'Løp 21'!$M$10:$M$93,0)</f>
        <v>61</v>
      </c>
      <c r="CB42" s="629">
        <f>_xlfn.XLOOKUP($E42,'Løp 21'!$E$10:$E$93,'Løp 21'!$O$10:$O$93,0)</f>
        <v>72</v>
      </c>
      <c r="CC42" s="629">
        <f>_xlfn.XLOOKUP($E42,'Løp 21'!$E$10:$E$93,'Løp 21'!$L$10:$L$93,0)</f>
        <v>9.8983494363929156E-3</v>
      </c>
      <c r="CD42" s="628">
        <f>_xlfn.XLOOKUP($E42,'Løp 22'!$E$10:$E$93,'Løp 22'!$M$10:$M$93,0)</f>
        <v>70</v>
      </c>
      <c r="CE42" s="629">
        <f>_xlfn.XLOOKUP($E42,'Løp 22'!$E$10:$E$93,'Løp 22'!$O$10:$O$93,0)</f>
        <v>80</v>
      </c>
      <c r="CF42" s="629">
        <f>_xlfn.XLOOKUP($E42,'Løp 22'!$E$10:$E$93,'Løp 22'!$L$10:$L$93,0)</f>
        <v>9.9702380952380962E-3</v>
      </c>
      <c r="CG42" s="628">
        <f>_xlfn.XLOOKUP($E42,'Løp 23'!$E$10:$E$93,'Løp 23'!$M$10:$M$93,0)</f>
        <v>56</v>
      </c>
      <c r="CH42" s="629">
        <f>_xlfn.XLOOKUP($E42,'Løp 23'!$E$10:$E$93,'Løp 23'!$O$10:$O$93,0)</f>
        <v>65</v>
      </c>
      <c r="CI42" s="629">
        <f>_xlfn.XLOOKUP($E42,'Løp 23'!$E$10:$E$93,'Løp 23'!$L$10:$L$93,0)</f>
        <v>9.207818930041153E-3</v>
      </c>
      <c r="CJ42" s="628">
        <f>_xlfn.XLOOKUP($E42,'Løp 24'!$E$10:$E$93,'Løp 24'!$M$10:$M$93,0)</f>
        <v>57</v>
      </c>
      <c r="CK42" s="629">
        <f>_xlfn.XLOOKUP($E42,'Løp 24'!$E$10:$E$93,'Løp 24'!$O$10:$O$93,0)</f>
        <v>55</v>
      </c>
      <c r="CL42" s="629">
        <f>_xlfn.XLOOKUP($E42,'Løp 24'!$E$10:$E$93,'Løp 24'!$L$10:$L$93,0)</f>
        <v>9.3855218855218841E-3</v>
      </c>
      <c r="CM42" s="628">
        <f>_xlfn.XLOOKUP($E42,'Løp 25'!$E$10:$E$94,'Løp 25'!$M$10:$M$94,0)</f>
        <v>53</v>
      </c>
      <c r="CN42" s="629">
        <f>_xlfn.XLOOKUP($E42,'Løp 25'!$E$10:$E$94,'Løp 25'!$O$10:$O$94,0)</f>
        <v>60</v>
      </c>
      <c r="CO42" s="629">
        <f>_xlfn.XLOOKUP($E42,'Løp 25'!$E$10:$E$94,'Løp 25'!$L$10:$L$94,0)</f>
        <v>1.370241769547325E-2</v>
      </c>
      <c r="CP42" s="628">
        <f>_xlfn.XLOOKUP($E42,'Løp 26'!$E$10:$E$94,'Løp 26'!$M$10:$M$94,0)</f>
        <v>62</v>
      </c>
      <c r="CQ42" s="629">
        <f>_xlfn.XLOOKUP($E42,'Løp 26'!$E$10:$E$94,'Løp 26'!$O$10:$O$94,0)</f>
        <v>74</v>
      </c>
      <c r="CR42" s="629">
        <f>_xlfn.XLOOKUP($E42,'Løp 26'!$E$10:$E$94,'Løp 26'!$L$10:$L$94,0)</f>
        <v>1.1485042735042736E-2</v>
      </c>
      <c r="CS42" s="628">
        <f>_xlfn.XLOOKUP($E42,'Løp 27'!$E$10:$E$94,'Løp 27'!$M$10:$M$94,0)</f>
        <v>63</v>
      </c>
      <c r="CT42" s="629">
        <f>_xlfn.XLOOKUP($E42,'Løp 27'!$E$10:$E$94,'Løp 27'!$O$10:$O$94,0)</f>
        <v>75</v>
      </c>
      <c r="CU42" s="629">
        <f>_xlfn.XLOOKUP($E42,'Løp 27'!$E$10:$E$94,'Løp 27'!$L$10:$L$94,0)</f>
        <v>1.0866769547325102E-2</v>
      </c>
      <c r="CV42" s="628">
        <f>_xlfn.XLOOKUP($E42,'Løp 28'!$E$10:$E$95,'Løp 28'!$M$10:$M$95,0)</f>
        <v>56</v>
      </c>
      <c r="CW42" s="629">
        <f>_xlfn.XLOOKUP($E42,'Løp 28'!$E$10:$E$95,'Løp 28'!$O$10:$O$95,0)</f>
        <v>70</v>
      </c>
      <c r="CX42" s="629">
        <f>_xlfn.XLOOKUP($E42,'Løp 28'!$E$10:$E$95,'Løp 28'!$L$10:$L$95,0)</f>
        <v>1.1753472222222222E-2</v>
      </c>
      <c r="CY42" s="628">
        <f>_xlfn.XLOOKUP($E42,'Løp 29'!$E$10:$E$95,'Løp 29'!$M$10:$M$95,0)</f>
        <v>66</v>
      </c>
      <c r="CZ42" s="629">
        <f>_xlfn.XLOOKUP($E42,'Løp 29'!$E$10:$E$95,'Løp 29'!$O$10:$O$95,0)</f>
        <v>76</v>
      </c>
      <c r="DA42" s="629">
        <f>_xlfn.XLOOKUP($E42,'Løp 29'!$E$10:$E$95,'Løp 29'!$L$10:$L$95,0)</f>
        <v>1.1089409722222223E-2</v>
      </c>
    </row>
    <row r="43" spans="2:105" ht="24" customHeight="1" thickBot="1" x14ac:dyDescent="0.3">
      <c r="B43" s="627">
        <f t="shared" si="0"/>
        <v>34</v>
      </c>
      <c r="C43" s="119" t="s">
        <v>168</v>
      </c>
      <c r="D43" s="620" t="s">
        <v>169</v>
      </c>
      <c r="E43" s="616" t="str">
        <f>_xlfn.CONCAT(C43:D43)</f>
        <v>SteinØvstedal</v>
      </c>
      <c r="F43" s="610"/>
      <c r="G43" s="653">
        <f>COUNTIF(S43:DA43,"&gt;2")/2</f>
        <v>23</v>
      </c>
      <c r="H43" s="852">
        <f>COUNTIF(S43:DA43,"=Løype")+COUNTIF(S43:DA43,"Arr")</f>
        <v>1</v>
      </c>
      <c r="I43" s="610"/>
      <c r="J43" s="632">
        <f>S43+V43+Y43+AB43+AE43+AH43+AK43+AN43+AQ43+AT43+AW43+AZ43+BC43+BF43+BI43+BL43+BO43+BR43+BU43+BX43+CA43+CD43+CG43+CJ43+CM43+CP43+CS43+CV43+CY43</f>
        <v>1572</v>
      </c>
      <c r="K43" s="633">
        <f>T43+W43+Z43+AC43+AF43+AI43+AL43+AO43+AR43+AU43+AX43+BA43+BD43+BG43+BJ43+BM43+BP43+BS43+BV43+BY43+CB43+CE43+CH43+CK43+CN43+CQ43+CT43+CW43+CZ43</f>
        <v>1544</v>
      </c>
      <c r="L43" s="613"/>
      <c r="M43" s="658">
        <f>IF($G43&gt;0,J43/G43,0)</f>
        <v>68.347826086956516</v>
      </c>
      <c r="N43" s="659">
        <f>IF($G43&gt;0,K43/$G43,0)</f>
        <v>67.130434782608702</v>
      </c>
      <c r="O43" s="862"/>
      <c r="P43" s="874">
        <f>IF(AND($G43&gt;$Q$3-1,$G43-$H43&gt;0),M43,0)</f>
        <v>68.347826086956516</v>
      </c>
      <c r="Q43" s="875">
        <f>IF(AND($G43&gt;$Q$3-1,$G43-$H43&gt;0),N43,0)</f>
        <v>67.130434782608702</v>
      </c>
      <c r="R43" s="613"/>
      <c r="S43" s="628">
        <f>_xlfn.XLOOKUP($E43,'Løp 1'!$E$10:$E$90,'Løp 1'!$M$10:$M$90,0)</f>
        <v>0</v>
      </c>
      <c r="T43" s="629">
        <f>_xlfn.XLOOKUP($E43,'Løp 1'!$E$10:$E$90,'Løp 1'!$O$10:$O$90,0)</f>
        <v>0</v>
      </c>
      <c r="U43" s="629">
        <f>_xlfn.XLOOKUP($E43,'Løp 1'!$E$10:$E$90,'Løp 1'!$L$10:$L$90,0)</f>
        <v>0</v>
      </c>
      <c r="V43" s="628">
        <f>_xlfn.XLOOKUP($E43,'Løp 2'!$E$10:$E$90,'Løp 2'!$M$10:$M$90,0)</f>
        <v>68</v>
      </c>
      <c r="W43" s="629">
        <f>_xlfn.XLOOKUP($E43,'Løp 2'!$E$10:$E$90,'Løp 2'!$O$10:$O$90,0)</f>
        <v>58</v>
      </c>
      <c r="X43" s="629">
        <f>_xlfn.XLOOKUP($E43,'Løp 2'!$E$10:$E$90,'Løp 2'!$L$10:$L$90,0)</f>
        <v>1.3153108465608467E-2</v>
      </c>
      <c r="Y43" s="628">
        <f>_xlfn.XLOOKUP($E43,'Løp 3'!$E$10:$E$90,'Løp 3'!$M$10:$M$90,0)</f>
        <v>66</v>
      </c>
      <c r="Z43" s="629">
        <f>_xlfn.XLOOKUP($E43,'Løp 3'!$E$10:$E$90,'Løp 3'!$O$10:$O$90,0)</f>
        <v>63</v>
      </c>
      <c r="AA43" s="629">
        <f>_xlfn.XLOOKUP($E43,'Løp 3'!$E$10:$E$90,'Løp 3'!$L$10:$L$90,0)</f>
        <v>1.3585758377425044E-2</v>
      </c>
      <c r="AB43" s="628">
        <f>_xlfn.XLOOKUP($E43,'Løp 4'!$E$10:$E$90,'Løp 4'!$M$10:$M$90,0)</f>
        <v>71</v>
      </c>
      <c r="AC43" s="629">
        <f>_xlfn.XLOOKUP($E43,'Løp 4'!$E$10:$E$90,'Løp 4'!$O$10:$O$90,0)</f>
        <v>76</v>
      </c>
      <c r="AD43" s="629">
        <f>_xlfn.XLOOKUP($E43,'Løp 4'!$E$10:$E$90,'Løp 4'!$L$10:$L$90,0)</f>
        <v>9.7492283950617285E-3</v>
      </c>
      <c r="AE43" s="628">
        <f>_xlfn.XLOOKUP($E43,'Løp 5'!$E$10:$E$90,'Løp 5'!$M$10:$M$90,0)</f>
        <v>50</v>
      </c>
      <c r="AF43" s="629">
        <f>_xlfn.XLOOKUP($E43,'Løp 5'!$E$10:$E$90,'Løp 5'!$O$10:$O$90,0)</f>
        <v>50</v>
      </c>
      <c r="AG43" s="629">
        <f>_xlfn.XLOOKUP($E43,'Løp 5'!$E$10:$E$90,'Løp 5'!$L$10:$L$90,0)</f>
        <v>1.509693287037037E-2</v>
      </c>
      <c r="AH43" s="628">
        <f>_xlfn.XLOOKUP($E43,'Løp 6'!$E$10:$E$90,'Løp 6'!$M$10:$M$90,0)</f>
        <v>94</v>
      </c>
      <c r="AI43" s="629">
        <f>_xlfn.XLOOKUP($E43,'Løp 6'!$E$10:$E$90,'Løp 6'!$O$10:$O$90,0)</f>
        <v>94</v>
      </c>
      <c r="AJ43" s="629" t="str">
        <f>_xlfn.XLOOKUP($E43,'Løp 6'!$E$10:$E$90,'Løp 6'!$L$10:$L$90,0)</f>
        <v>Arr</v>
      </c>
      <c r="AK43" s="628">
        <f>_xlfn.XLOOKUP($E43,'Løp 7'!$E$10:$E$90,'Løp 7'!$M$10:$M$90,0)</f>
        <v>81</v>
      </c>
      <c r="AL43" s="629">
        <f>_xlfn.XLOOKUP($E43,'Løp 7'!$E$10:$E$90,'Løp 7'!$O$10:$O$90,0)</f>
        <v>66</v>
      </c>
      <c r="AM43" s="629">
        <f>_xlfn.XLOOKUP($E43,'Løp 7'!$E$10:$E$90,'Løp 7'!$L$10:$L$90,0)</f>
        <v>2.0701809764309763E-2</v>
      </c>
      <c r="AN43" s="628">
        <f>_xlfn.XLOOKUP($E43,'Løp 8'!$E$10:$E$91,'Løp 8'!$M$10:$M$91,0)</f>
        <v>0</v>
      </c>
      <c r="AO43" s="629">
        <f>_xlfn.XLOOKUP($E43,'Løp 8'!$E$10:$E$91,'Løp 8'!$O$10:$O$91,0)</f>
        <v>0</v>
      </c>
      <c r="AP43" s="629">
        <f>_xlfn.XLOOKUP($E43,'Løp 8'!$E$10:$E$91,'Løp 8'!$L$10:$L$91,0)</f>
        <v>0</v>
      </c>
      <c r="AQ43" s="628">
        <f>_xlfn.XLOOKUP($E43,'Løp 9'!$E$10:$E$91,'Løp 9'!$M$10:$M$91,0)</f>
        <v>0</v>
      </c>
      <c r="AR43" s="629">
        <f>_xlfn.XLOOKUP($E43,'Løp 9'!$E$10:$E$91,'Løp 9'!$O$10:$O$91,0)</f>
        <v>0</v>
      </c>
      <c r="AS43" s="629">
        <f>_xlfn.XLOOKUP($E43,'Løp 9'!$E$10:$E$91,'Løp 9'!$L$10:$L$91,0)</f>
        <v>0</v>
      </c>
      <c r="AT43" s="628">
        <f>_xlfn.XLOOKUP($E43,'Løp 10'!$E$10:$E$91,'Løp 10'!$M$10:$M$91,0)</f>
        <v>0</v>
      </c>
      <c r="AU43" s="629">
        <f>_xlfn.XLOOKUP($E43,'Løp 10'!$E$10:$E$91,'Løp 10'!$O$10:$O$91,0)</f>
        <v>0</v>
      </c>
      <c r="AV43" s="629">
        <f>_xlfn.XLOOKUP($E43,'Løp 10'!$E$10:$E$91,'Løp 10'!$L$10:$L$91,0)</f>
        <v>0</v>
      </c>
      <c r="AW43" s="628">
        <f>_xlfn.XLOOKUP($E43,'Løp 11'!$E$10:$E$91,'Løp 11'!$M$10:$M$91,0)</f>
        <v>80</v>
      </c>
      <c r="AX43" s="629">
        <f>_xlfn.XLOOKUP($E43,'Løp 11'!$E$10:$E$91,'Løp 11'!$O$10:$O$91,0)</f>
        <v>80</v>
      </c>
      <c r="AY43" s="629">
        <f>_xlfn.XLOOKUP($E43,'Løp 11'!$E$10:$E$91,'Løp 11'!$L$10:$L$91,0)</f>
        <v>9.121817129629629E-3</v>
      </c>
      <c r="AZ43" s="628">
        <f>_xlfn.XLOOKUP($E43,'Løp 12'!$E$10:$E$91,'Løp 12'!$M$10:$M$91,0)</f>
        <v>62</v>
      </c>
      <c r="BA43" s="629">
        <f>_xlfn.XLOOKUP($E43,'Løp 12'!$E$10:$E$91,'Løp 12'!$O$10:$O$91,0)</f>
        <v>66</v>
      </c>
      <c r="BB43" s="629">
        <f>_xlfn.XLOOKUP($E43,'Løp 12'!$E$10:$E$91,'Løp 12'!$L$10:$L$91,0)</f>
        <v>8.8748346560846569E-3</v>
      </c>
      <c r="BC43" s="628">
        <f>_xlfn.XLOOKUP($E43,'Løp 13'!$E$10:$E$91,'Løp 13'!$M$10:$M$91,0)</f>
        <v>64</v>
      </c>
      <c r="BD43" s="629">
        <f>_xlfn.XLOOKUP($E43,'Løp 13'!$E$10:$E$91,'Løp 13'!$O$10:$O$91,0)</f>
        <v>75</v>
      </c>
      <c r="BE43" s="629">
        <f>_xlfn.XLOOKUP($E43,'Løp 13'!$E$10:$E$91,'Løp 13'!$L$10:$L$91,0)</f>
        <v>8.4131545338441884E-3</v>
      </c>
      <c r="BF43" s="628">
        <f>_xlfn.XLOOKUP($E43,'Løp 14'!$E$10:$E$91,'Løp 14'!$M$10:$M$91,0)</f>
        <v>50</v>
      </c>
      <c r="BG43" s="629">
        <f>_xlfn.XLOOKUP($E43,'Løp 14'!$E$10:$E$91,'Løp 14'!$O$10:$O$91,0)</f>
        <v>50</v>
      </c>
      <c r="BH43" s="629">
        <f>_xlfn.XLOOKUP($E43,'Løp 14'!$E$10:$E$91,'Løp 14'!$L$10:$L$91,0)</f>
        <v>1.3212528935185184E-2</v>
      </c>
      <c r="BI43" s="628">
        <f>_xlfn.XLOOKUP($E43,'Løp 15'!$E$10:$E$91,'Løp 15'!$M$10:$M$91,0)</f>
        <v>79</v>
      </c>
      <c r="BJ43" s="629">
        <f>_xlfn.XLOOKUP($E43,'Løp 15'!$E$10:$E$91,'Løp 15'!$O$10:$O$91,0)</f>
        <v>70</v>
      </c>
      <c r="BK43" s="629">
        <f>_xlfn.XLOOKUP($E43,'Løp 15'!$E$10:$E$91,'Løp 15'!$L$10:$L$91,0)</f>
        <v>1.093925364758698E-2</v>
      </c>
      <c r="BL43" s="628">
        <f>_xlfn.XLOOKUP($E43,'Løp 16'!$E$10:$E$91,'Løp 16'!$M$10:$M$91,0)</f>
        <v>62</v>
      </c>
      <c r="BM43" s="629">
        <f>_xlfn.XLOOKUP($E43,'Løp 16'!$E$10:$E$91,'Løp 16'!$O$10:$O$91,0)</f>
        <v>64</v>
      </c>
      <c r="BN43" s="629">
        <f>_xlfn.XLOOKUP($E43,'Løp 16'!$E$10:$E$91,'Løp 16'!$L$10:$L$91,0)</f>
        <v>1.0980273752012883E-2</v>
      </c>
      <c r="BO43" s="628">
        <f>_xlfn.XLOOKUP($E43,'Løp 17'!$E$10:$E$91,'Løp 17'!$M$10:$M$91,0)</f>
        <v>67</v>
      </c>
      <c r="BP43" s="629">
        <f>_xlfn.XLOOKUP($E43,'Løp 17'!$E$10:$E$91,'Løp 17'!$O$10:$O$91,0)</f>
        <v>68</v>
      </c>
      <c r="BQ43" s="629">
        <f>_xlfn.XLOOKUP($E43,'Løp 17'!$E$10:$E$91,'Løp 17'!$L$10:$L$91,0)</f>
        <v>9.4663742690058485E-3</v>
      </c>
      <c r="BR43" s="628">
        <f>_xlfn.XLOOKUP($E43,'Løp 18'!$E$10:$E$91,'Løp 18'!$M$10:$M$91,0)</f>
        <v>74</v>
      </c>
      <c r="BS43" s="629">
        <f>_xlfn.XLOOKUP($E43,'Løp 18'!$E$10:$E$91,'Løp 18'!$O$10:$O$91,0)</f>
        <v>70</v>
      </c>
      <c r="BT43" s="629">
        <f>_xlfn.XLOOKUP($E43,'Løp 18'!$E$10:$E$91,'Løp 18'!$L$10:$L$91,0)</f>
        <v>9.6759259259259264E-3</v>
      </c>
      <c r="BU43" s="628">
        <f>_xlfn.XLOOKUP($E43,'Løp 19'!$E$10:$E$91,'Løp 19'!$M$10:$M$91,0)</f>
        <v>0</v>
      </c>
      <c r="BV43" s="629">
        <f>_xlfn.XLOOKUP($E43,'Løp 19'!$E$10:$E$91,'Løp 19'!$O$10:$O$91,0)</f>
        <v>0</v>
      </c>
      <c r="BW43" s="629">
        <f>_xlfn.XLOOKUP($E43,'Løp 19'!$E$10:$E$91,'Løp 19'!$L$10:$L$91,0)</f>
        <v>0</v>
      </c>
      <c r="BX43" s="628">
        <f>_xlfn.XLOOKUP($E43,'Løp 20'!$E$10:$E$92,'Løp 20'!$M$10:$M$92,0)</f>
        <v>70</v>
      </c>
      <c r="BY43" s="629">
        <f>_xlfn.XLOOKUP($E43,'Løp 20'!$E$10:$E$92,'Løp 20'!$O$10:$O$92,0)</f>
        <v>68</v>
      </c>
      <c r="BZ43" s="629">
        <f>_xlfn.XLOOKUP($E43,'Løp 20'!$E$10:$E$92,'Løp 20'!$L$10:$L$92,0)</f>
        <v>1.1078042328042327E-2</v>
      </c>
      <c r="CA43" s="628">
        <f>_xlfn.XLOOKUP($E43,'Løp 21'!$E$10:$E$93,'Løp 21'!$M$10:$M$93,0)</f>
        <v>82</v>
      </c>
      <c r="CB43" s="629">
        <f>_xlfn.XLOOKUP($E43,'Løp 21'!$E$10:$E$93,'Løp 21'!$O$10:$O$93,0)</f>
        <v>83</v>
      </c>
      <c r="CC43" s="629">
        <f>_xlfn.XLOOKUP($E43,'Løp 21'!$E$10:$E$93,'Løp 21'!$L$10:$L$93,0)</f>
        <v>7.4223416965352451E-3</v>
      </c>
      <c r="CD43" s="628">
        <f>_xlfn.XLOOKUP($E43,'Løp 22'!$E$10:$E$93,'Løp 22'!$M$10:$M$93,0)</f>
        <v>64</v>
      </c>
      <c r="CE43" s="629">
        <f>_xlfn.XLOOKUP($E43,'Løp 22'!$E$10:$E$93,'Løp 22'!$O$10:$O$93,0)</f>
        <v>64</v>
      </c>
      <c r="CF43" s="629">
        <f>_xlfn.XLOOKUP($E43,'Løp 22'!$E$10:$E$93,'Løp 22'!$L$10:$L$93,0)</f>
        <v>1.085758377425044E-2</v>
      </c>
      <c r="CG43" s="628">
        <f>_xlfn.XLOOKUP($E43,'Løp 23'!$E$10:$E$93,'Løp 23'!$M$10:$M$93,0)</f>
        <v>76</v>
      </c>
      <c r="CH43" s="629">
        <f>_xlfn.XLOOKUP($E43,'Løp 23'!$E$10:$E$93,'Løp 23'!$O$10:$O$93,0)</f>
        <v>75</v>
      </c>
      <c r="CI43" s="629">
        <f>_xlfn.XLOOKUP($E43,'Løp 23'!$E$10:$E$93,'Løp 23'!$L$10:$L$93,0)</f>
        <v>6.8526500638569606E-3</v>
      </c>
      <c r="CJ43" s="628">
        <f>_xlfn.XLOOKUP($E43,'Løp 24'!$E$10:$E$93,'Løp 24'!$M$10:$M$93,0)</f>
        <v>75</v>
      </c>
      <c r="CK43" s="629">
        <f>_xlfn.XLOOKUP($E43,'Løp 24'!$E$10:$E$93,'Løp 24'!$O$10:$O$93,0)</f>
        <v>63</v>
      </c>
      <c r="CL43" s="629">
        <f>_xlfn.XLOOKUP($E43,'Løp 24'!$E$10:$E$93,'Løp 24'!$L$10:$L$93,0)</f>
        <v>7.071385902031063E-3</v>
      </c>
      <c r="CM43" s="628">
        <f>_xlfn.XLOOKUP($E43,'Løp 25'!$E$10:$E$94,'Løp 25'!$M$10:$M$94,0)</f>
        <v>70</v>
      </c>
      <c r="CN43" s="629">
        <f>_xlfn.XLOOKUP($E43,'Løp 25'!$E$10:$E$94,'Løp 25'!$O$10:$O$94,0)</f>
        <v>69</v>
      </c>
      <c r="CO43" s="629">
        <f>_xlfn.XLOOKUP($E43,'Løp 25'!$E$10:$E$94,'Løp 25'!$L$10:$L$94,0)</f>
        <v>1.0358796296296297E-2</v>
      </c>
      <c r="CP43" s="628">
        <f>_xlfn.XLOOKUP($E43,'Løp 26'!$E$10:$E$94,'Løp 26'!$M$10:$M$94,0)</f>
        <v>0</v>
      </c>
      <c r="CQ43" s="629">
        <f>_xlfn.XLOOKUP($E43,'Løp 26'!$E$10:$E$94,'Løp 26'!$O$10:$O$94,0)</f>
        <v>0</v>
      </c>
      <c r="CR43" s="629">
        <f>_xlfn.XLOOKUP($E43,'Løp 26'!$E$10:$E$94,'Løp 26'!$L$10:$L$94,0)</f>
        <v>0</v>
      </c>
      <c r="CS43" s="628">
        <f>_xlfn.XLOOKUP($E43,'Løp 27'!$E$10:$E$94,'Løp 27'!$M$10:$M$94,0)</f>
        <v>50</v>
      </c>
      <c r="CT43" s="629">
        <f>_xlfn.XLOOKUP($E43,'Løp 27'!$E$10:$E$94,'Løp 27'!$O$10:$O$94,0)</f>
        <v>50</v>
      </c>
      <c r="CU43" s="629">
        <f>_xlfn.XLOOKUP($E43,'Løp 27'!$E$10:$E$94,'Løp 27'!$L$10:$L$94,0)</f>
        <v>1.4583333333333332E-2</v>
      </c>
      <c r="CV43" s="628">
        <f>_xlfn.XLOOKUP($E43,'Løp 28'!$E$10:$E$95,'Løp 28'!$M$10:$M$95,0)</f>
        <v>67</v>
      </c>
      <c r="CW43" s="629">
        <f>_xlfn.XLOOKUP($E43,'Løp 28'!$E$10:$E$95,'Løp 28'!$O$10:$O$95,0)</f>
        <v>72</v>
      </c>
      <c r="CX43" s="629">
        <f>_xlfn.XLOOKUP($E43,'Løp 28'!$E$10:$E$95,'Løp 28'!$L$10:$L$95,0)</f>
        <v>9.8731884057971023E-3</v>
      </c>
      <c r="CY43" s="628">
        <f>_xlfn.XLOOKUP($E43,'Løp 29'!$E$10:$E$95,'Løp 29'!$M$10:$M$95,0)</f>
        <v>50</v>
      </c>
      <c r="CZ43" s="629">
        <f>_xlfn.XLOOKUP($E43,'Løp 29'!$E$10:$E$95,'Løp 29'!$O$10:$O$95,0)</f>
        <v>50</v>
      </c>
      <c r="DA43" s="629">
        <f>_xlfn.XLOOKUP($E43,'Løp 29'!$E$10:$E$95,'Løp 29'!$L$10:$L$95,0)</f>
        <v>1.5083498677248678E-2</v>
      </c>
    </row>
    <row r="44" spans="2:105" ht="24" customHeight="1" thickBot="1" x14ac:dyDescent="0.3">
      <c r="B44" s="627">
        <f t="shared" si="0"/>
        <v>35</v>
      </c>
      <c r="C44" s="119" t="s">
        <v>64</v>
      </c>
      <c r="D44" s="620" t="s">
        <v>366</v>
      </c>
      <c r="E44" s="616" t="str">
        <f>_xlfn.CONCAT(C44:D44)</f>
        <v>BjørnHafskjold</v>
      </c>
      <c r="F44" s="610"/>
      <c r="G44" s="653">
        <f>COUNTIF(S44:DA44,"&gt;2")/2</f>
        <v>13</v>
      </c>
      <c r="H44" s="852">
        <f>COUNTIF(S44:DA44,"=Løype")+COUNTIF(S44:DA44,"Arr")</f>
        <v>0</v>
      </c>
      <c r="I44" s="610"/>
      <c r="J44" s="632">
        <f>S44+V44+Y44+AB44+AE44+AH44+AK44+AN44+AQ44+AT44+AW44+AZ44+BC44+BF44+BI44+BL44+BO44+BR44+BU44+BX44+CA44+CD44+CG44+CJ44+CM44+CP44+CS44+CV44+CY44</f>
        <v>816</v>
      </c>
      <c r="K44" s="633">
        <f>T44+W44+Z44+AC44+AF44+AI44+AL44+AO44+AR44+AU44+AX44+BA44+BD44+BG44+BJ44+BM44+BP44+BS44+BV44+BY44+CB44+CE44+CH44+CK44+CN44+CQ44+CT44+CW44+CZ44</f>
        <v>867</v>
      </c>
      <c r="L44" s="613"/>
      <c r="M44" s="658">
        <f>IF($G44&gt;0,J44/G44,0)</f>
        <v>62.769230769230766</v>
      </c>
      <c r="N44" s="659">
        <f>IF($G44&gt;0,K44/$G44,0)</f>
        <v>66.692307692307693</v>
      </c>
      <c r="O44" s="862"/>
      <c r="P44" s="874">
        <f>IF(AND($G44&gt;$Q$3-1,$G44-$H44&gt;0),M44,0)</f>
        <v>62.769230769230766</v>
      </c>
      <c r="Q44" s="875">
        <f>IF(AND($G44&gt;$Q$3-1,$G44-$H44&gt;0),N44,0)</f>
        <v>66.692307692307693</v>
      </c>
      <c r="R44" s="613"/>
      <c r="S44" s="628">
        <f>_xlfn.XLOOKUP($E44,'Løp 1'!$E$10:$E$90,'Løp 1'!$M$10:$M$90,0)</f>
        <v>0</v>
      </c>
      <c r="T44" s="629">
        <f>_xlfn.XLOOKUP($E44,'Løp 1'!$E$10:$E$90,'Løp 1'!$O$10:$O$90,0)</f>
        <v>0</v>
      </c>
      <c r="U44" s="629">
        <f>_xlfn.XLOOKUP($E44,'Løp 1'!$E$10:$E$90,'Løp 1'!$L$10:$L$90,0)</f>
        <v>0</v>
      </c>
      <c r="V44" s="628">
        <f>_xlfn.XLOOKUP($E44,'Løp 2'!$E$10:$E$90,'Løp 2'!$M$10:$M$90,0)</f>
        <v>0</v>
      </c>
      <c r="W44" s="629">
        <f>_xlfn.XLOOKUP($E44,'Løp 2'!$E$10:$E$90,'Løp 2'!$O$10:$O$90,0)</f>
        <v>0</v>
      </c>
      <c r="X44" s="629">
        <f>_xlfn.XLOOKUP($E44,'Løp 2'!$E$10:$E$90,'Løp 2'!$L$10:$L$90,0)</f>
        <v>0</v>
      </c>
      <c r="Y44" s="628">
        <f>_xlfn.XLOOKUP($E44,'Løp 3'!$E$10:$E$90,'Løp 3'!$M$10:$M$90,0)</f>
        <v>0</v>
      </c>
      <c r="Z44" s="629">
        <f>_xlfn.XLOOKUP($E44,'Løp 3'!$E$10:$E$90,'Løp 3'!$O$10:$O$90,0)</f>
        <v>0</v>
      </c>
      <c r="AA44" s="629">
        <f>_xlfn.XLOOKUP($E44,'Løp 3'!$E$10:$E$90,'Løp 3'!$L$10:$L$90,0)</f>
        <v>0</v>
      </c>
      <c r="AB44" s="628">
        <f>_xlfn.XLOOKUP($E44,'Løp 4'!$E$10:$E$90,'Løp 4'!$M$10:$M$90,0)</f>
        <v>0</v>
      </c>
      <c r="AC44" s="629">
        <f>_xlfn.XLOOKUP($E44,'Løp 4'!$E$10:$E$90,'Løp 4'!$O$10:$O$90,0)</f>
        <v>0</v>
      </c>
      <c r="AD44" s="629">
        <f>_xlfn.XLOOKUP($E44,'Løp 4'!$E$10:$E$90,'Løp 4'!$L$10:$L$90,0)</f>
        <v>0</v>
      </c>
      <c r="AE44" s="628">
        <f>_xlfn.XLOOKUP($E44,'Løp 5'!$E$10:$E$90,'Løp 5'!$M$10:$M$90,0)</f>
        <v>59</v>
      </c>
      <c r="AF44" s="629">
        <f>_xlfn.XLOOKUP($E44,'Løp 5'!$E$10:$E$90,'Løp 5'!$O$10:$O$90,0)</f>
        <v>63</v>
      </c>
      <c r="AG44" s="629">
        <f>_xlfn.XLOOKUP($E44,'Løp 5'!$E$10:$E$90,'Løp 5'!$L$10:$L$90,0)</f>
        <v>1.2362557870370369E-2</v>
      </c>
      <c r="AH44" s="628">
        <f>_xlfn.XLOOKUP($E44,'Løp 6'!$E$10:$E$90,'Løp 6'!$M$10:$M$90,0)</f>
        <v>0</v>
      </c>
      <c r="AI44" s="629">
        <f>_xlfn.XLOOKUP($E44,'Løp 6'!$E$10:$E$90,'Løp 6'!$O$10:$O$90,0)</f>
        <v>0</v>
      </c>
      <c r="AJ44" s="629">
        <f>_xlfn.XLOOKUP($E44,'Løp 6'!$E$10:$E$90,'Løp 6'!$L$10:$L$90,0)</f>
        <v>0</v>
      </c>
      <c r="AK44" s="628">
        <f>_xlfn.XLOOKUP($E44,'Løp 7'!$E$10:$E$90,'Løp 7'!$M$10:$M$90,0)</f>
        <v>78</v>
      </c>
      <c r="AL44" s="629">
        <f>_xlfn.XLOOKUP($E44,'Løp 7'!$E$10:$E$90,'Løp 7'!$O$10:$O$90,0)</f>
        <v>71</v>
      </c>
      <c r="AM44" s="629">
        <f>_xlfn.XLOOKUP($E44,'Løp 7'!$E$10:$E$90,'Løp 7'!$L$10:$L$90,0)</f>
        <v>2.1575126262626261E-2</v>
      </c>
      <c r="AN44" s="628">
        <f>_xlfn.XLOOKUP($E44,'Løp 8'!$E$10:$E$91,'Løp 8'!$M$10:$M$91,0)</f>
        <v>0</v>
      </c>
      <c r="AO44" s="629">
        <f>_xlfn.XLOOKUP($E44,'Løp 8'!$E$10:$E$91,'Løp 8'!$O$10:$O$91,0)</f>
        <v>0</v>
      </c>
      <c r="AP44" s="629">
        <f>_xlfn.XLOOKUP($E44,'Løp 8'!$E$10:$E$91,'Løp 8'!$L$10:$L$91,0)</f>
        <v>0</v>
      </c>
      <c r="AQ44" s="628">
        <f>_xlfn.XLOOKUP($E44,'Løp 9'!$E$10:$E$91,'Løp 9'!$M$10:$M$91,0)</f>
        <v>81</v>
      </c>
      <c r="AR44" s="629">
        <f>_xlfn.XLOOKUP($E44,'Løp 9'!$E$10:$E$91,'Løp 9'!$O$10:$O$91,0)</f>
        <v>80</v>
      </c>
      <c r="AS44" s="629">
        <f>_xlfn.XLOOKUP($E44,'Løp 9'!$E$10:$E$91,'Løp 9'!$L$10:$L$91,0)</f>
        <v>8.4280303030303035E-3</v>
      </c>
      <c r="AT44" s="628">
        <f>_xlfn.XLOOKUP($E44,'Løp 10'!$E$10:$E$91,'Løp 10'!$M$10:$M$91,0)</f>
        <v>64</v>
      </c>
      <c r="AU44" s="629">
        <f>_xlfn.XLOOKUP($E44,'Løp 10'!$E$10:$E$91,'Løp 10'!$O$10:$O$91,0)</f>
        <v>71</v>
      </c>
      <c r="AV44" s="629">
        <f>_xlfn.XLOOKUP($E44,'Løp 10'!$E$10:$E$91,'Løp 10'!$L$10:$L$91,0)</f>
        <v>1.1566840277777777E-2</v>
      </c>
      <c r="AW44" s="628">
        <f>_xlfn.XLOOKUP($E44,'Løp 11'!$E$10:$E$91,'Løp 11'!$M$10:$M$91,0)</f>
        <v>70</v>
      </c>
      <c r="AX44" s="629">
        <f>_xlfn.XLOOKUP($E44,'Løp 11'!$E$10:$E$91,'Løp 11'!$O$10:$O$91,0)</f>
        <v>78</v>
      </c>
      <c r="AY44" s="629">
        <f>_xlfn.XLOOKUP($E44,'Løp 11'!$E$10:$E$91,'Løp 11'!$L$10:$L$91,0)</f>
        <v>1.0537668350168349E-2</v>
      </c>
      <c r="AZ44" s="628">
        <f>_xlfn.XLOOKUP($E44,'Løp 12'!$E$10:$E$91,'Løp 12'!$M$10:$M$91,0)</f>
        <v>0</v>
      </c>
      <c r="BA44" s="629">
        <f>_xlfn.XLOOKUP($E44,'Løp 12'!$E$10:$E$91,'Løp 12'!$O$10:$O$91,0)</f>
        <v>0</v>
      </c>
      <c r="BB44" s="629">
        <f>_xlfn.XLOOKUP($E44,'Løp 12'!$E$10:$E$91,'Løp 12'!$L$10:$L$91,0)</f>
        <v>0</v>
      </c>
      <c r="BC44" s="628">
        <f>_xlfn.XLOOKUP($E44,'Løp 13'!$E$10:$E$91,'Løp 13'!$M$10:$M$91,0)</f>
        <v>52</v>
      </c>
      <c r="BD44" s="629">
        <f>_xlfn.XLOOKUP($E44,'Løp 13'!$E$10:$E$91,'Løp 13'!$O$10:$O$91,0)</f>
        <v>68</v>
      </c>
      <c r="BE44" s="629">
        <f>_xlfn.XLOOKUP($E44,'Løp 13'!$E$10:$E$91,'Løp 13'!$L$10:$L$91,0)</f>
        <v>1.0329861111111111E-2</v>
      </c>
      <c r="BF44" s="628">
        <f>_xlfn.XLOOKUP($E44,'Løp 14'!$E$10:$E$91,'Løp 14'!$M$10:$M$91,0)</f>
        <v>0</v>
      </c>
      <c r="BG44" s="629">
        <f>_xlfn.XLOOKUP($E44,'Løp 14'!$E$10:$E$91,'Løp 14'!$O$10:$O$91,0)</f>
        <v>0</v>
      </c>
      <c r="BH44" s="629">
        <f>_xlfn.XLOOKUP($E44,'Løp 14'!$E$10:$E$91,'Løp 14'!$L$10:$L$91,0)</f>
        <v>0</v>
      </c>
      <c r="BI44" s="628">
        <f>_xlfn.XLOOKUP($E44,'Løp 15'!$E$10:$E$91,'Løp 15'!$M$10:$M$91,0)</f>
        <v>0</v>
      </c>
      <c r="BJ44" s="629">
        <f>_xlfn.XLOOKUP($E44,'Løp 15'!$E$10:$E$91,'Løp 15'!$O$10:$O$91,0)</f>
        <v>0</v>
      </c>
      <c r="BK44" s="629">
        <f>_xlfn.XLOOKUP($E44,'Løp 15'!$E$10:$E$91,'Løp 15'!$L$10:$L$91,0)</f>
        <v>0</v>
      </c>
      <c r="BL44" s="628">
        <f>_xlfn.XLOOKUP($E44,'Løp 16'!$E$10:$E$91,'Løp 16'!$M$10:$M$91,0)</f>
        <v>0</v>
      </c>
      <c r="BM44" s="629">
        <f>_xlfn.XLOOKUP($E44,'Løp 16'!$E$10:$E$91,'Løp 16'!$O$10:$O$91,0)</f>
        <v>0</v>
      </c>
      <c r="BN44" s="629">
        <f>_xlfn.XLOOKUP($E44,'Løp 16'!$E$10:$E$91,'Løp 16'!$L$10:$L$91,0)</f>
        <v>0</v>
      </c>
      <c r="BO44" s="628">
        <f>_xlfn.XLOOKUP($E44,'Løp 17'!$E$10:$E$91,'Løp 17'!$M$10:$M$91,0)</f>
        <v>0</v>
      </c>
      <c r="BP44" s="629">
        <f>_xlfn.XLOOKUP($E44,'Løp 17'!$E$10:$E$91,'Løp 17'!$O$10:$O$91,0)</f>
        <v>0</v>
      </c>
      <c r="BQ44" s="629">
        <f>_xlfn.XLOOKUP($E44,'Løp 17'!$E$10:$E$91,'Løp 17'!$L$10:$L$91,0)</f>
        <v>0</v>
      </c>
      <c r="BR44" s="628">
        <f>_xlfn.XLOOKUP($E44,'Løp 18'!$E$10:$E$91,'Løp 18'!$M$10:$M$91,0)</f>
        <v>0</v>
      </c>
      <c r="BS44" s="629">
        <f>_xlfn.XLOOKUP($E44,'Løp 18'!$E$10:$E$91,'Løp 18'!$O$10:$O$91,0)</f>
        <v>0</v>
      </c>
      <c r="BT44" s="629">
        <f>_xlfn.XLOOKUP($E44,'Løp 18'!$E$10:$E$91,'Løp 18'!$L$10:$L$91,0)</f>
        <v>0</v>
      </c>
      <c r="BU44" s="628">
        <f>_xlfn.XLOOKUP($E44,'Løp 19'!$E$10:$E$91,'Løp 19'!$M$10:$M$91,0)</f>
        <v>50</v>
      </c>
      <c r="BV44" s="629">
        <f>_xlfn.XLOOKUP($E44,'Løp 19'!$E$10:$E$91,'Løp 19'!$O$10:$O$91,0)</f>
        <v>50</v>
      </c>
      <c r="BW44" s="629">
        <f>_xlfn.XLOOKUP($E44,'Løp 19'!$E$10:$E$91,'Løp 19'!$L$10:$L$91,0)</f>
        <v>2.9700360082304526E-2</v>
      </c>
      <c r="BX44" s="628">
        <f>_xlfn.XLOOKUP($E44,'Løp 20'!$E$10:$E$92,'Løp 20'!$M$10:$M$92,0)</f>
        <v>0</v>
      </c>
      <c r="BY44" s="629">
        <f>_xlfn.XLOOKUP($E44,'Løp 20'!$E$10:$E$92,'Løp 20'!$O$10:$O$92,0)</f>
        <v>0</v>
      </c>
      <c r="BZ44" s="629">
        <f>_xlfn.XLOOKUP($E44,'Løp 20'!$E$10:$E$92,'Løp 20'!$L$10:$L$92,0)</f>
        <v>0</v>
      </c>
      <c r="CA44" s="628">
        <f>_xlfn.XLOOKUP($E44,'Løp 21'!$E$10:$E$93,'Løp 21'!$M$10:$M$93,0)</f>
        <v>50</v>
      </c>
      <c r="CB44" s="629">
        <f>_xlfn.XLOOKUP($E44,'Løp 21'!$E$10:$E$93,'Løp 21'!$O$10:$O$93,0)</f>
        <v>50</v>
      </c>
      <c r="CC44" s="629" t="str">
        <f>_xlfn.XLOOKUP($E44,'Løp 21'!$E$10:$E$93,'Løp 21'!$L$10:$L$93,0)</f>
        <v>Disk</v>
      </c>
      <c r="CD44" s="628">
        <f>_xlfn.XLOOKUP($E44,'Løp 22'!$E$10:$E$93,'Løp 22'!$M$10:$M$93,0)</f>
        <v>72</v>
      </c>
      <c r="CE44" s="629">
        <f>_xlfn.XLOOKUP($E44,'Løp 22'!$E$10:$E$93,'Løp 22'!$O$10:$O$93,0)</f>
        <v>80</v>
      </c>
      <c r="CF44" s="629">
        <f>_xlfn.XLOOKUP($E44,'Løp 22'!$E$10:$E$93,'Løp 22'!$L$10:$L$93,0)</f>
        <v>9.6836419753086409E-3</v>
      </c>
      <c r="CG44" s="628">
        <f>_xlfn.XLOOKUP($E44,'Løp 23'!$E$10:$E$93,'Løp 23'!$M$10:$M$93,0)</f>
        <v>50</v>
      </c>
      <c r="CH44" s="629">
        <f>_xlfn.XLOOKUP($E44,'Løp 23'!$E$10:$E$93,'Løp 23'!$O$10:$O$93,0)</f>
        <v>56</v>
      </c>
      <c r="CI44" s="629">
        <f>_xlfn.XLOOKUP($E44,'Løp 23'!$E$10:$E$93,'Løp 23'!$L$10:$L$93,0)</f>
        <v>1.0358796296296297E-2</v>
      </c>
      <c r="CJ44" s="628">
        <f>_xlfn.XLOOKUP($E44,'Løp 24'!$E$10:$E$93,'Løp 24'!$M$10:$M$93,0)</f>
        <v>66</v>
      </c>
      <c r="CK44" s="629">
        <f>_xlfn.XLOOKUP($E44,'Løp 24'!$E$10:$E$93,'Løp 24'!$O$10:$O$93,0)</f>
        <v>62</v>
      </c>
      <c r="CL44" s="629">
        <f>_xlfn.XLOOKUP($E44,'Løp 24'!$E$10:$E$93,'Løp 24'!$L$10:$L$93,0)</f>
        <v>8.0808080808080808E-3</v>
      </c>
      <c r="CM44" s="628">
        <f>_xlfn.XLOOKUP($E44,'Løp 25'!$E$10:$E$94,'Løp 25'!$M$10:$M$94,0)</f>
        <v>54</v>
      </c>
      <c r="CN44" s="629">
        <f>_xlfn.XLOOKUP($E44,'Løp 25'!$E$10:$E$94,'Løp 25'!$O$10:$O$94,0)</f>
        <v>60</v>
      </c>
      <c r="CO44" s="629">
        <f>_xlfn.XLOOKUP($E44,'Løp 25'!$E$10:$E$94,'Løp 25'!$L$10:$L$94,0)</f>
        <v>1.3329475308641975E-2</v>
      </c>
      <c r="CP44" s="628">
        <f>_xlfn.XLOOKUP($E44,'Løp 26'!$E$10:$E$94,'Løp 26'!$M$10:$M$94,0)</f>
        <v>0</v>
      </c>
      <c r="CQ44" s="629">
        <f>_xlfn.XLOOKUP($E44,'Løp 26'!$E$10:$E$94,'Løp 26'!$O$10:$O$94,0)</f>
        <v>0</v>
      </c>
      <c r="CR44" s="629">
        <f>_xlfn.XLOOKUP($E44,'Løp 26'!$E$10:$E$94,'Løp 26'!$L$10:$L$94,0)</f>
        <v>0</v>
      </c>
      <c r="CS44" s="628">
        <f>_xlfn.XLOOKUP($E44,'Løp 27'!$E$10:$E$94,'Løp 27'!$M$10:$M$94,0)</f>
        <v>0</v>
      </c>
      <c r="CT44" s="629">
        <f>_xlfn.XLOOKUP($E44,'Løp 27'!$E$10:$E$94,'Løp 27'!$O$10:$O$94,0)</f>
        <v>0</v>
      </c>
      <c r="CU44" s="629">
        <f>_xlfn.XLOOKUP($E44,'Løp 27'!$E$10:$E$94,'Løp 27'!$L$10:$L$94,0)</f>
        <v>0</v>
      </c>
      <c r="CV44" s="628">
        <f>_xlfn.XLOOKUP($E44,'Løp 28'!$E$10:$E$95,'Løp 28'!$M$10:$M$95,0)</f>
        <v>0</v>
      </c>
      <c r="CW44" s="629">
        <f>_xlfn.XLOOKUP($E44,'Løp 28'!$E$10:$E$95,'Løp 28'!$O$10:$O$95,0)</f>
        <v>0</v>
      </c>
      <c r="CX44" s="629">
        <f>_xlfn.XLOOKUP($E44,'Løp 28'!$E$10:$E$95,'Løp 28'!$L$10:$L$95,0)</f>
        <v>0</v>
      </c>
      <c r="CY44" s="628">
        <f>_xlfn.XLOOKUP($E44,'Løp 29'!$E$10:$E$95,'Løp 29'!$M$10:$M$95,0)</f>
        <v>70</v>
      </c>
      <c r="CZ44" s="629">
        <f>_xlfn.XLOOKUP($E44,'Løp 29'!$E$10:$E$95,'Løp 29'!$O$10:$O$95,0)</f>
        <v>78</v>
      </c>
      <c r="DA44" s="629">
        <f>_xlfn.XLOOKUP($E44,'Løp 29'!$E$10:$E$95,'Løp 29'!$L$10:$L$95,0)</f>
        <v>1.0438368055555557E-2</v>
      </c>
    </row>
    <row r="45" spans="2:105" ht="26" thickBot="1" x14ac:dyDescent="0.3">
      <c r="B45" s="627">
        <f t="shared" si="0"/>
        <v>36</v>
      </c>
      <c r="C45" s="119" t="s">
        <v>72</v>
      </c>
      <c r="D45" s="620" t="s">
        <v>73</v>
      </c>
      <c r="E45" s="616" t="str">
        <f>_xlfn.CONCAT(C45:D45)</f>
        <v>KåreEggereide</v>
      </c>
      <c r="F45" s="610"/>
      <c r="G45" s="653">
        <f>COUNTIF(S45:DA45,"&gt;2")/2</f>
        <v>25</v>
      </c>
      <c r="H45" s="852">
        <f>COUNTIF(S45:DA45,"=Løype")+COUNTIF(S45:DA45,"Arr")</f>
        <v>2</v>
      </c>
      <c r="I45" s="610"/>
      <c r="J45" s="632">
        <f>S45+V45+Y45+AB45+AE45+AH45+AK45+AN45+AQ45+AT45+AW45+AZ45+BC45+BF45+BI45+BL45+BO45+BR45+BU45+BX45+CA45+CD45+CG45+CJ45+CM45+CP45+CS45+CV45+CY45</f>
        <v>1665</v>
      </c>
      <c r="K45" s="633">
        <f>T45+W45+Z45+AC45+AF45+AI45+AL45+AO45+AR45+AU45+AX45+BA45+BD45+BG45+BJ45+BM45+BP45+BS45+BV45+BY45+CB45+CE45+CH45+CK45+CN45+CQ45+CT45+CW45+CZ45</f>
        <v>1653</v>
      </c>
      <c r="L45" s="613"/>
      <c r="M45" s="658">
        <f>IF($G45&gt;0,J45/G45,0)</f>
        <v>66.599999999999994</v>
      </c>
      <c r="N45" s="659">
        <f>IF($G45&gt;0,K45/$G45,0)</f>
        <v>66.12</v>
      </c>
      <c r="O45" s="862"/>
      <c r="P45" s="874">
        <f>IF(AND($G45&gt;$Q$3-1,$G45-$H45&gt;0),M45,0)</f>
        <v>66.599999999999994</v>
      </c>
      <c r="Q45" s="875">
        <f>IF(AND($G45&gt;$Q$3-1,$G45-$H45&gt;0),N45,0)</f>
        <v>66.12</v>
      </c>
      <c r="R45" s="613"/>
      <c r="S45" s="628">
        <f>_xlfn.XLOOKUP($E45,'Løp 1'!$E$10:$E$90,'Løp 1'!$M$10:$M$90,0)</f>
        <v>56</v>
      </c>
      <c r="T45" s="629">
        <f>_xlfn.XLOOKUP($E45,'Løp 1'!$E$10:$E$90,'Løp 1'!$O$10:$O$90,0)</f>
        <v>57</v>
      </c>
      <c r="U45" s="629">
        <f>_xlfn.XLOOKUP($E45,'Løp 1'!$E$10:$E$90,'Løp 1'!$L$10:$L$90,0)</f>
        <v>1.4395753512132823E-2</v>
      </c>
      <c r="V45" s="628">
        <f>_xlfn.XLOOKUP($E45,'Løp 2'!$E$10:$E$90,'Løp 2'!$M$10:$M$90,0)</f>
        <v>63</v>
      </c>
      <c r="W45" s="629">
        <f>_xlfn.XLOOKUP($E45,'Løp 2'!$E$10:$E$90,'Løp 2'!$O$10:$O$90,0)</f>
        <v>54</v>
      </c>
      <c r="X45" s="629">
        <f>_xlfn.XLOOKUP($E45,'Løp 2'!$E$10:$E$90,'Løp 2'!$L$10:$L$90,0)</f>
        <v>1.4112103174603177E-2</v>
      </c>
      <c r="Y45" s="628">
        <f>_xlfn.XLOOKUP($E45,'Løp 3'!$E$10:$E$90,'Løp 3'!$M$10:$M$90,0)</f>
        <v>73</v>
      </c>
      <c r="Z45" s="629">
        <f>_xlfn.XLOOKUP($E45,'Løp 3'!$E$10:$E$90,'Løp 3'!$O$10:$O$90,0)</f>
        <v>69</v>
      </c>
      <c r="AA45" s="629">
        <f>_xlfn.XLOOKUP($E45,'Løp 3'!$E$10:$E$90,'Løp 3'!$L$10:$L$90,0)</f>
        <v>1.2314814814814815E-2</v>
      </c>
      <c r="AB45" s="628">
        <f>_xlfn.XLOOKUP($E45,'Løp 4'!$E$10:$E$90,'Løp 4'!$M$10:$M$90,0)</f>
        <v>55</v>
      </c>
      <c r="AC45" s="629">
        <f>_xlfn.XLOOKUP($E45,'Løp 4'!$E$10:$E$90,'Løp 4'!$O$10:$O$90,0)</f>
        <v>58</v>
      </c>
      <c r="AD45" s="629">
        <f>_xlfn.XLOOKUP($E45,'Løp 4'!$E$10:$E$90,'Løp 4'!$L$10:$L$90,0)</f>
        <v>1.2727623456790122E-2</v>
      </c>
      <c r="AE45" s="628">
        <f>_xlfn.XLOOKUP($E45,'Løp 5'!$E$10:$E$90,'Løp 5'!$M$10:$M$90,0)</f>
        <v>65</v>
      </c>
      <c r="AF45" s="629">
        <f>_xlfn.XLOOKUP($E45,'Løp 5'!$E$10:$E$90,'Løp 5'!$O$10:$O$90,0)</f>
        <v>63</v>
      </c>
      <c r="AG45" s="629">
        <f>_xlfn.XLOOKUP($E45,'Løp 5'!$E$10:$E$90,'Løp 5'!$L$10:$L$90,0)</f>
        <v>1.1063957475994512E-2</v>
      </c>
      <c r="AH45" s="628">
        <f>_xlfn.XLOOKUP($E45,'Løp 6'!$E$10:$E$90,'Løp 6'!$M$10:$M$90,0)</f>
        <v>0</v>
      </c>
      <c r="AI45" s="629">
        <f>_xlfn.XLOOKUP($E45,'Løp 6'!$E$10:$E$90,'Løp 6'!$O$10:$O$90,0)</f>
        <v>0</v>
      </c>
      <c r="AJ45" s="629">
        <f>_xlfn.XLOOKUP($E45,'Løp 6'!$E$10:$E$90,'Løp 6'!$L$10:$L$90,0)</f>
        <v>0</v>
      </c>
      <c r="AK45" s="628">
        <f>_xlfn.XLOOKUP($E45,'Løp 7'!$E$10:$E$90,'Løp 7'!$M$10:$M$90,0)</f>
        <v>0</v>
      </c>
      <c r="AL45" s="629">
        <f>_xlfn.XLOOKUP($E45,'Løp 7'!$E$10:$E$90,'Løp 7'!$O$10:$O$90,0)</f>
        <v>0</v>
      </c>
      <c r="AM45" s="629">
        <f>_xlfn.XLOOKUP($E45,'Løp 7'!$E$10:$E$90,'Løp 7'!$L$10:$L$90,0)</f>
        <v>0</v>
      </c>
      <c r="AN45" s="628">
        <f>_xlfn.XLOOKUP($E45,'Løp 8'!$E$10:$E$91,'Løp 8'!$M$10:$M$91,0)</f>
        <v>94</v>
      </c>
      <c r="AO45" s="629">
        <f>_xlfn.XLOOKUP($E45,'Løp 8'!$E$10:$E$91,'Løp 8'!$O$10:$O$91,0)</f>
        <v>94</v>
      </c>
      <c r="AP45" s="629" t="str">
        <f>_xlfn.XLOOKUP($E45,'Løp 8'!$E$10:$E$91,'Løp 8'!$L$10:$L$91,0)</f>
        <v>Arr</v>
      </c>
      <c r="AQ45" s="628">
        <f>_xlfn.XLOOKUP($E45,'Løp 9'!$E$10:$E$91,'Løp 9'!$M$10:$M$91,0)</f>
        <v>73</v>
      </c>
      <c r="AR45" s="629">
        <f>_xlfn.XLOOKUP($E45,'Løp 9'!$E$10:$E$91,'Løp 9'!$O$10:$O$91,0)</f>
        <v>65</v>
      </c>
      <c r="AS45" s="629">
        <f>_xlfn.XLOOKUP($E45,'Løp 9'!$E$10:$E$91,'Løp 9'!$L$10:$L$91,0)</f>
        <v>9.304062126642771E-3</v>
      </c>
      <c r="AT45" s="628">
        <f>_xlfn.XLOOKUP($E45,'Løp 10'!$E$10:$E$91,'Løp 10'!$M$10:$M$91,0)</f>
        <v>62</v>
      </c>
      <c r="AU45" s="629">
        <f>_xlfn.XLOOKUP($E45,'Løp 10'!$E$10:$E$91,'Løp 10'!$O$10:$O$91,0)</f>
        <v>62</v>
      </c>
      <c r="AV45" s="629">
        <f>_xlfn.XLOOKUP($E45,'Løp 10'!$E$10:$E$91,'Løp 10'!$L$10:$L$91,0)</f>
        <v>1.1895576131687241E-2</v>
      </c>
      <c r="AW45" s="628">
        <f>_xlfn.XLOOKUP($E45,'Løp 11'!$E$10:$E$91,'Løp 11'!$M$10:$M$91,0)</f>
        <v>72</v>
      </c>
      <c r="AX45" s="629">
        <f>_xlfn.XLOOKUP($E45,'Løp 11'!$E$10:$E$91,'Løp 11'!$O$10:$O$91,0)</f>
        <v>72</v>
      </c>
      <c r="AY45" s="629">
        <f>_xlfn.XLOOKUP($E45,'Løp 11'!$E$10:$E$91,'Løp 11'!$L$10:$L$91,0)</f>
        <v>1.015625E-2</v>
      </c>
      <c r="AZ45" s="628">
        <f>_xlfn.XLOOKUP($E45,'Løp 12'!$E$10:$E$91,'Løp 12'!$M$10:$M$91,0)</f>
        <v>56</v>
      </c>
      <c r="BA45" s="629">
        <f>_xlfn.XLOOKUP($E45,'Løp 12'!$E$10:$E$91,'Løp 12'!$O$10:$O$91,0)</f>
        <v>59</v>
      </c>
      <c r="BB45" s="629">
        <f>_xlfn.XLOOKUP($E45,'Løp 12'!$E$10:$E$91,'Løp 12'!$L$10:$L$91,0)</f>
        <v>9.9578373015873026E-3</v>
      </c>
      <c r="BC45" s="628">
        <f>_xlfn.XLOOKUP($E45,'Løp 13'!$E$10:$E$91,'Løp 13'!$M$10:$M$91,0)</f>
        <v>58</v>
      </c>
      <c r="BD45" s="629">
        <f>_xlfn.XLOOKUP($E45,'Løp 13'!$E$10:$E$91,'Løp 13'!$O$10:$O$91,0)</f>
        <v>68</v>
      </c>
      <c r="BE45" s="629">
        <f>_xlfn.XLOOKUP($E45,'Løp 13'!$E$10:$E$91,'Løp 13'!$L$10:$L$91,0)</f>
        <v>9.283205619412517E-3</v>
      </c>
      <c r="BF45" s="628">
        <f>_xlfn.XLOOKUP($E45,'Løp 14'!$E$10:$E$91,'Løp 14'!$M$10:$M$91,0)</f>
        <v>65</v>
      </c>
      <c r="BG45" s="629">
        <f>_xlfn.XLOOKUP($E45,'Løp 14'!$E$10:$E$91,'Løp 14'!$O$10:$O$91,0)</f>
        <v>65</v>
      </c>
      <c r="BH45" s="629">
        <f>_xlfn.XLOOKUP($E45,'Løp 14'!$E$10:$E$91,'Løp 14'!$L$10:$L$91,0)</f>
        <v>9.6390335648148147E-3</v>
      </c>
      <c r="BI45" s="628">
        <f>_xlfn.XLOOKUP($E45,'Løp 15'!$E$10:$E$91,'Løp 15'!$M$10:$M$91,0)</f>
        <v>67</v>
      </c>
      <c r="BJ45" s="629">
        <f>_xlfn.XLOOKUP($E45,'Løp 15'!$E$10:$E$91,'Løp 15'!$O$10:$O$91,0)</f>
        <v>59</v>
      </c>
      <c r="BK45" s="629">
        <f>_xlfn.XLOOKUP($E45,'Løp 15'!$E$10:$E$91,'Løp 15'!$L$10:$L$91,0)</f>
        <v>1.297348484848485E-2</v>
      </c>
      <c r="BL45" s="628">
        <f>_xlfn.XLOOKUP($E45,'Løp 16'!$E$10:$E$91,'Løp 16'!$M$10:$M$91,0)</f>
        <v>73</v>
      </c>
      <c r="BM45" s="629">
        <f>_xlfn.XLOOKUP($E45,'Løp 16'!$E$10:$E$91,'Løp 16'!$O$10:$O$91,0)</f>
        <v>75</v>
      </c>
      <c r="BN45" s="629">
        <f>_xlfn.XLOOKUP($E45,'Løp 16'!$E$10:$E$91,'Løp 16'!$L$10:$L$91,0)</f>
        <v>9.4219219219219223E-3</v>
      </c>
      <c r="BO45" s="628">
        <f>_xlfn.XLOOKUP($E45,'Løp 17'!$E$10:$E$91,'Løp 17'!$M$10:$M$91,0)</f>
        <v>61</v>
      </c>
      <c r="BP45" s="629">
        <f>_xlfn.XLOOKUP($E45,'Løp 17'!$E$10:$E$91,'Løp 17'!$O$10:$O$91,0)</f>
        <v>62</v>
      </c>
      <c r="BQ45" s="629">
        <f>_xlfn.XLOOKUP($E45,'Løp 17'!$E$10:$E$91,'Løp 17'!$L$10:$L$91,0)</f>
        <v>1.0472541507024266E-2</v>
      </c>
      <c r="BR45" s="628">
        <f>_xlfn.XLOOKUP($E45,'Løp 18'!$E$10:$E$91,'Løp 18'!$M$10:$M$91,0)</f>
        <v>0</v>
      </c>
      <c r="BS45" s="629">
        <f>_xlfn.XLOOKUP($E45,'Løp 18'!$E$10:$E$91,'Løp 18'!$O$10:$O$91,0)</f>
        <v>0</v>
      </c>
      <c r="BT45" s="629">
        <f>_xlfn.XLOOKUP($E45,'Løp 18'!$E$10:$E$91,'Løp 18'!$L$10:$L$91,0)</f>
        <v>0</v>
      </c>
      <c r="BU45" s="628">
        <f>_xlfn.XLOOKUP($E45,'Løp 19'!$E$10:$E$91,'Løp 19'!$M$10:$M$91,0)</f>
        <v>69</v>
      </c>
      <c r="BV45" s="629">
        <f>_xlfn.XLOOKUP($E45,'Løp 19'!$E$10:$E$91,'Løp 19'!$O$10:$O$91,0)</f>
        <v>65</v>
      </c>
      <c r="BW45" s="629">
        <f>_xlfn.XLOOKUP($E45,'Løp 19'!$E$10:$E$91,'Løp 19'!$L$10:$L$91,0)</f>
        <v>1.1959876543209876E-2</v>
      </c>
      <c r="BX45" s="628">
        <f>_xlfn.XLOOKUP($E45,'Løp 20'!$E$10:$E$92,'Løp 20'!$M$10:$M$92,0)</f>
        <v>62</v>
      </c>
      <c r="BY45" s="629">
        <f>_xlfn.XLOOKUP($E45,'Løp 20'!$E$10:$E$92,'Løp 20'!$O$10:$O$92,0)</f>
        <v>60</v>
      </c>
      <c r="BZ45" s="629">
        <f>_xlfn.XLOOKUP($E45,'Løp 20'!$E$10:$E$92,'Løp 20'!$L$10:$L$92,0)</f>
        <v>1.2555114638447972E-2</v>
      </c>
      <c r="CA45" s="628">
        <f>_xlfn.XLOOKUP($E45,'Løp 21'!$E$10:$E$93,'Løp 21'!$M$10:$M$93,0)</f>
        <v>0</v>
      </c>
      <c r="CB45" s="629">
        <f>_xlfn.XLOOKUP($E45,'Løp 21'!$E$10:$E$93,'Løp 21'!$O$10:$O$93,0)</f>
        <v>0</v>
      </c>
      <c r="CC45" s="629">
        <f>_xlfn.XLOOKUP($E45,'Løp 21'!$E$10:$E$93,'Løp 21'!$L$10:$L$93,0)</f>
        <v>0</v>
      </c>
      <c r="CD45" s="628">
        <f>_xlfn.XLOOKUP($E45,'Løp 22'!$E$10:$E$93,'Løp 22'!$M$10:$M$93,0)</f>
        <v>64</v>
      </c>
      <c r="CE45" s="629">
        <f>_xlfn.XLOOKUP($E45,'Løp 22'!$E$10:$E$93,'Løp 22'!$O$10:$O$93,0)</f>
        <v>63</v>
      </c>
      <c r="CF45" s="629">
        <f>_xlfn.XLOOKUP($E45,'Løp 22'!$E$10:$E$93,'Løp 22'!$L$10:$L$93,0)</f>
        <v>1.0946403133903134E-2</v>
      </c>
      <c r="CG45" s="628">
        <f>_xlfn.XLOOKUP($E45,'Løp 23'!$E$10:$E$93,'Løp 23'!$M$10:$M$93,0)</f>
        <v>68</v>
      </c>
      <c r="CH45" s="629">
        <f>_xlfn.XLOOKUP($E45,'Løp 23'!$E$10:$E$93,'Løp 23'!$O$10:$O$93,0)</f>
        <v>67</v>
      </c>
      <c r="CI45" s="629">
        <f>_xlfn.XLOOKUP($E45,'Løp 23'!$E$10:$E$93,'Løp 23'!$L$10:$L$93,0)</f>
        <v>7.6508620689655169E-3</v>
      </c>
      <c r="CJ45" s="628">
        <f>_xlfn.XLOOKUP($E45,'Løp 24'!$E$10:$E$93,'Løp 24'!$M$10:$M$93,0)</f>
        <v>94</v>
      </c>
      <c r="CK45" s="629">
        <f>_xlfn.XLOOKUP($E45,'Løp 24'!$E$10:$E$93,'Løp 24'!$O$10:$O$93,0)</f>
        <v>94</v>
      </c>
      <c r="CL45" s="629" t="str">
        <f>_xlfn.XLOOKUP($E45,'Løp 24'!$E$10:$E$93,'Løp 24'!$L$10:$L$93,0)</f>
        <v>Arr</v>
      </c>
      <c r="CM45" s="628">
        <f>_xlfn.XLOOKUP($E45,'Løp 25'!$E$10:$E$94,'Løp 25'!$M$10:$M$94,0)</f>
        <v>61</v>
      </c>
      <c r="CN45" s="629">
        <f>_xlfn.XLOOKUP($E45,'Løp 25'!$E$10:$E$94,'Løp 25'!$O$10:$O$94,0)</f>
        <v>60</v>
      </c>
      <c r="CO45" s="629">
        <f>_xlfn.XLOOKUP($E45,'Løp 25'!$E$10:$E$94,'Løp 25'!$L$10:$L$94,0)</f>
        <v>1.1863425925925925E-2</v>
      </c>
      <c r="CP45" s="628">
        <f>_xlfn.XLOOKUP($E45,'Løp 26'!$E$10:$E$94,'Løp 26'!$M$10:$M$94,0)</f>
        <v>66</v>
      </c>
      <c r="CQ45" s="629">
        <f>_xlfn.XLOOKUP($E45,'Løp 26'!$E$10:$E$94,'Løp 26'!$O$10:$O$94,0)</f>
        <v>68</v>
      </c>
      <c r="CR45" s="629">
        <f>_xlfn.XLOOKUP($E45,'Løp 26'!$E$10:$E$94,'Løp 26'!$L$10:$L$94,0)</f>
        <v>1.0763888888888891E-2</v>
      </c>
      <c r="CS45" s="628">
        <f>_xlfn.XLOOKUP($E45,'Løp 27'!$E$10:$E$94,'Løp 27'!$M$10:$M$94,0)</f>
        <v>52</v>
      </c>
      <c r="CT45" s="629">
        <f>_xlfn.XLOOKUP($E45,'Løp 27'!$E$10:$E$94,'Løp 27'!$O$10:$O$94,0)</f>
        <v>54</v>
      </c>
      <c r="CU45" s="629">
        <f>_xlfn.XLOOKUP($E45,'Løp 27'!$E$10:$E$94,'Løp 27'!$L$10:$L$94,0)</f>
        <v>1.3177297668038407E-2</v>
      </c>
      <c r="CV45" s="628">
        <f>_xlfn.XLOOKUP($E45,'Løp 28'!$E$10:$E$95,'Løp 28'!$M$10:$M$95,0)</f>
        <v>63</v>
      </c>
      <c r="CW45" s="629">
        <f>_xlfn.XLOOKUP($E45,'Løp 28'!$E$10:$E$95,'Løp 28'!$O$10:$O$95,0)</f>
        <v>67</v>
      </c>
      <c r="CX45" s="629">
        <f>_xlfn.XLOOKUP($E45,'Løp 28'!$E$10:$E$95,'Løp 28'!$L$10:$L$95,0)</f>
        <v>1.0567632850241548E-2</v>
      </c>
      <c r="CY45" s="628">
        <f>_xlfn.XLOOKUP($E45,'Løp 29'!$E$10:$E$95,'Løp 29'!$M$10:$M$95,0)</f>
        <v>73</v>
      </c>
      <c r="CZ45" s="629">
        <f>_xlfn.XLOOKUP($E45,'Løp 29'!$E$10:$E$95,'Løp 29'!$O$10:$O$95,0)</f>
        <v>73</v>
      </c>
      <c r="DA45" s="629">
        <f>_xlfn.XLOOKUP($E45,'Løp 29'!$E$10:$E$95,'Løp 29'!$L$10:$L$95,0)</f>
        <v>9.928902116402117E-3</v>
      </c>
    </row>
    <row r="46" spans="2:105" ht="26" thickBot="1" x14ac:dyDescent="0.3">
      <c r="B46" s="627">
        <f t="shared" si="0"/>
        <v>37</v>
      </c>
      <c r="C46" s="119" t="s">
        <v>78</v>
      </c>
      <c r="D46" s="620" t="s">
        <v>146</v>
      </c>
      <c r="E46" s="616" t="str">
        <f>_xlfn.CONCAT(C46:D46)</f>
        <v>LeifRøhjell</v>
      </c>
      <c r="F46" s="610"/>
      <c r="G46" s="653">
        <f>COUNTIF(S46:DA46,"&gt;2")/2</f>
        <v>21</v>
      </c>
      <c r="H46" s="852">
        <f>COUNTIF(S46:DA46,"=Løype")+COUNTIF(S46:DA46,"Arr")</f>
        <v>1</v>
      </c>
      <c r="I46" s="610"/>
      <c r="J46" s="632">
        <f>S46+V46+Y46+AB46+AE46+AH46+AK46+AN46+AQ46+AT46+AW46+AZ46+BC46+BF46+BI46+BL46+BO46+BR46+BU46+BX46+CA46+CD46+CG46+CJ46+CM46+CP46+CS46+CV46+CY46</f>
        <v>1229</v>
      </c>
      <c r="K46" s="633">
        <f>T46+W46+Z46+AC46+AF46+AI46+AL46+AO46+AR46+AU46+AX46+BA46+BD46+BG46+BJ46+BM46+BP46+BS46+BV46+BY46+CB46+CE46+CH46+CK46+CN46+CQ46+CT46+CW46+CZ46</f>
        <v>1359</v>
      </c>
      <c r="L46" s="613"/>
      <c r="M46" s="658">
        <f>IF($G46&gt;0,J46/G46,0)</f>
        <v>58.523809523809526</v>
      </c>
      <c r="N46" s="659">
        <f>IF($G46&gt;0,K46/$G46,0)</f>
        <v>64.714285714285708</v>
      </c>
      <c r="O46" s="862"/>
      <c r="P46" s="874">
        <f>IF(AND($G46&gt;$Q$3-1,$G46-$H46&gt;0),M46,0)</f>
        <v>58.523809523809526</v>
      </c>
      <c r="Q46" s="875">
        <f>IF(AND($G46&gt;$Q$3-1,$G46-$H46&gt;0),N46,0)</f>
        <v>64.714285714285708</v>
      </c>
      <c r="R46" s="613"/>
      <c r="S46" s="628">
        <f>_xlfn.XLOOKUP($E46,'Løp 1'!$E$10:$E$90,'Løp 1'!$M$10:$M$90,0)</f>
        <v>0</v>
      </c>
      <c r="T46" s="629">
        <f>_xlfn.XLOOKUP($E46,'Løp 1'!$E$10:$E$90,'Løp 1'!$O$10:$O$90,0)</f>
        <v>0</v>
      </c>
      <c r="U46" s="629">
        <f>_xlfn.XLOOKUP($E46,'Løp 1'!$E$10:$E$90,'Løp 1'!$L$10:$L$90,0)</f>
        <v>0</v>
      </c>
      <c r="V46" s="628">
        <f>_xlfn.XLOOKUP($E46,'Løp 2'!$E$10:$E$90,'Løp 2'!$M$10:$M$90,0)</f>
        <v>66</v>
      </c>
      <c r="W46" s="629">
        <f>_xlfn.XLOOKUP($E46,'Løp 2'!$E$10:$E$90,'Løp 2'!$O$10:$O$90,0)</f>
        <v>69</v>
      </c>
      <c r="X46" s="629">
        <f>_xlfn.XLOOKUP($E46,'Løp 2'!$E$10:$E$90,'Løp 2'!$L$10:$L$90,0)</f>
        <v>1.3449074074074073E-2</v>
      </c>
      <c r="Y46" s="628">
        <f>_xlfn.XLOOKUP($E46,'Løp 3'!$E$10:$E$90,'Løp 3'!$M$10:$M$90,0)</f>
        <v>50</v>
      </c>
      <c r="Z46" s="629">
        <f>_xlfn.XLOOKUP($E46,'Løp 3'!$E$10:$E$90,'Løp 3'!$O$10:$O$90,0)</f>
        <v>53</v>
      </c>
      <c r="AA46" s="629">
        <f>_xlfn.XLOOKUP($E46,'Løp 3'!$E$10:$E$90,'Løp 3'!$L$10:$L$90,0)</f>
        <v>1.978615520282187E-2</v>
      </c>
      <c r="AB46" s="628">
        <f>_xlfn.XLOOKUP($E46,'Løp 4'!$E$10:$E$90,'Løp 4'!$M$10:$M$90,0)</f>
        <v>50</v>
      </c>
      <c r="AC46" s="629">
        <f>_xlfn.XLOOKUP($E46,'Løp 4'!$E$10:$E$90,'Løp 4'!$O$10:$O$90,0)</f>
        <v>59</v>
      </c>
      <c r="AD46" s="629">
        <f>_xlfn.XLOOKUP($E46,'Løp 4'!$E$10:$E$90,'Løp 4'!$L$10:$L$90,0)</f>
        <v>1.5333132045088568E-2</v>
      </c>
      <c r="AE46" s="628">
        <f>_xlfn.XLOOKUP($E46,'Løp 5'!$E$10:$E$90,'Løp 5'!$M$10:$M$90,0)</f>
        <v>0</v>
      </c>
      <c r="AF46" s="629">
        <f>_xlfn.XLOOKUP($E46,'Løp 5'!$E$10:$E$90,'Løp 5'!$O$10:$O$90,0)</f>
        <v>0</v>
      </c>
      <c r="AG46" s="629">
        <f>_xlfn.XLOOKUP($E46,'Løp 5'!$E$10:$E$90,'Løp 5'!$L$10:$L$90,0)</f>
        <v>0</v>
      </c>
      <c r="AH46" s="628">
        <f>_xlfn.XLOOKUP($E46,'Løp 6'!$E$10:$E$90,'Løp 6'!$M$10:$M$90,0)</f>
        <v>64</v>
      </c>
      <c r="AI46" s="629">
        <f>_xlfn.XLOOKUP($E46,'Løp 6'!$E$10:$E$90,'Løp 6'!$O$10:$O$90,0)</f>
        <v>79</v>
      </c>
      <c r="AJ46" s="629">
        <f>_xlfn.XLOOKUP($E46,'Løp 6'!$E$10:$E$90,'Løp 6'!$L$10:$L$90,0)</f>
        <v>1.224128540305011E-2</v>
      </c>
      <c r="AK46" s="628">
        <f>_xlfn.XLOOKUP($E46,'Løp 7'!$E$10:$E$90,'Løp 7'!$M$10:$M$90,0)</f>
        <v>75</v>
      </c>
      <c r="AL46" s="629">
        <f>_xlfn.XLOOKUP($E46,'Løp 7'!$E$10:$E$90,'Løp 7'!$O$10:$O$90,0)</f>
        <v>75</v>
      </c>
      <c r="AM46" s="629">
        <f>_xlfn.XLOOKUP($E46,'Løp 7'!$E$10:$E$90,'Løp 7'!$L$10:$L$90,0)</f>
        <v>2.2564183501683498E-2</v>
      </c>
      <c r="AN46" s="628">
        <f>_xlfn.XLOOKUP($E46,'Løp 8'!$E$10:$E$91,'Løp 8'!$M$10:$M$91,0)</f>
        <v>0</v>
      </c>
      <c r="AO46" s="629">
        <f>_xlfn.XLOOKUP($E46,'Løp 8'!$E$10:$E$91,'Løp 8'!$O$10:$O$91,0)</f>
        <v>0</v>
      </c>
      <c r="AP46" s="629">
        <f>_xlfn.XLOOKUP($E46,'Løp 8'!$E$10:$E$91,'Løp 8'!$L$10:$L$91,0)</f>
        <v>0</v>
      </c>
      <c r="AQ46" s="628">
        <f>_xlfn.XLOOKUP($E46,'Løp 9'!$E$10:$E$91,'Løp 9'!$M$10:$M$91,0)</f>
        <v>73</v>
      </c>
      <c r="AR46" s="629">
        <f>_xlfn.XLOOKUP($E46,'Løp 9'!$E$10:$E$91,'Løp 9'!$O$10:$O$91,0)</f>
        <v>79</v>
      </c>
      <c r="AS46" s="629">
        <f>_xlfn.XLOOKUP($E46,'Løp 9'!$E$10:$E$91,'Løp 9'!$L$10:$L$91,0)</f>
        <v>9.3644781144781135E-3</v>
      </c>
      <c r="AT46" s="628">
        <f>_xlfn.XLOOKUP($E46,'Løp 10'!$E$10:$E$91,'Løp 10'!$M$10:$M$91,0)</f>
        <v>94</v>
      </c>
      <c r="AU46" s="629">
        <f>_xlfn.XLOOKUP($E46,'Løp 10'!$E$10:$E$91,'Løp 10'!$O$10:$O$91,0)</f>
        <v>94</v>
      </c>
      <c r="AV46" s="629" t="str">
        <f>_xlfn.XLOOKUP($E46,'Løp 10'!$E$10:$E$91,'Løp 10'!$L$10:$L$91,0)</f>
        <v>Arr</v>
      </c>
      <c r="AW46" s="628">
        <f>_xlfn.XLOOKUP($E46,'Løp 11'!$E$10:$E$91,'Løp 11'!$M$10:$M$91,0)</f>
        <v>71</v>
      </c>
      <c r="AX46" s="629">
        <f>_xlfn.XLOOKUP($E46,'Løp 11'!$E$10:$E$91,'Løp 11'!$O$10:$O$91,0)</f>
        <v>87</v>
      </c>
      <c r="AY46" s="629">
        <f>_xlfn.XLOOKUP($E46,'Løp 11'!$E$10:$E$91,'Løp 11'!$L$10:$L$91,0)</f>
        <v>1.0374579124579123E-2</v>
      </c>
      <c r="AZ46" s="628">
        <f>_xlfn.XLOOKUP($E46,'Løp 12'!$E$10:$E$91,'Løp 12'!$M$10:$M$91,0)</f>
        <v>0</v>
      </c>
      <c r="BA46" s="629">
        <f>_xlfn.XLOOKUP($E46,'Løp 12'!$E$10:$E$91,'Løp 12'!$O$10:$O$91,0)</f>
        <v>0</v>
      </c>
      <c r="BB46" s="629">
        <f>_xlfn.XLOOKUP($E46,'Løp 12'!$E$10:$E$91,'Løp 12'!$L$10:$L$91,0)</f>
        <v>0</v>
      </c>
      <c r="BC46" s="628">
        <f>_xlfn.XLOOKUP($E46,'Løp 13'!$E$10:$E$91,'Løp 13'!$M$10:$M$91,0)</f>
        <v>50</v>
      </c>
      <c r="BD46" s="629">
        <f>_xlfn.XLOOKUP($E46,'Løp 13'!$E$10:$E$91,'Løp 13'!$O$10:$O$91,0)</f>
        <v>71</v>
      </c>
      <c r="BE46" s="629">
        <f>_xlfn.XLOOKUP($E46,'Løp 13'!$E$10:$E$91,'Løp 13'!$L$10:$L$91,0)</f>
        <v>1.0850694444444444E-2</v>
      </c>
      <c r="BF46" s="628">
        <f>_xlfn.XLOOKUP($E46,'Løp 14'!$E$10:$E$91,'Løp 14'!$M$10:$M$91,0)</f>
        <v>0</v>
      </c>
      <c r="BG46" s="629">
        <f>_xlfn.XLOOKUP($E46,'Løp 14'!$E$10:$E$91,'Løp 14'!$O$10:$O$91,0)</f>
        <v>0</v>
      </c>
      <c r="BH46" s="629">
        <f>_xlfn.XLOOKUP($E46,'Løp 14'!$E$10:$E$91,'Løp 14'!$L$10:$L$91,0)</f>
        <v>0</v>
      </c>
      <c r="BI46" s="628">
        <f>_xlfn.XLOOKUP($E46,'Løp 15'!$E$10:$E$91,'Løp 15'!$M$10:$M$91,0)</f>
        <v>50</v>
      </c>
      <c r="BJ46" s="629">
        <f>_xlfn.XLOOKUP($E46,'Løp 15'!$E$10:$E$91,'Løp 15'!$O$10:$O$91,0)</f>
        <v>50</v>
      </c>
      <c r="BK46" s="629" t="str">
        <f>_xlfn.XLOOKUP($E46,'Løp 15'!$E$10:$E$91,'Løp 15'!$L$10:$L$91,0)</f>
        <v>Brutt</v>
      </c>
      <c r="BL46" s="628">
        <f>_xlfn.XLOOKUP($E46,'Løp 16'!$E$10:$E$91,'Løp 16'!$M$10:$M$91,0)</f>
        <v>0</v>
      </c>
      <c r="BM46" s="629">
        <f>_xlfn.XLOOKUP($E46,'Løp 16'!$E$10:$E$91,'Løp 16'!$O$10:$O$91,0)</f>
        <v>0</v>
      </c>
      <c r="BN46" s="629">
        <f>_xlfn.XLOOKUP($E46,'Løp 16'!$E$10:$E$91,'Løp 16'!$L$10:$L$91,0)</f>
        <v>0</v>
      </c>
      <c r="BO46" s="628">
        <f>_xlfn.XLOOKUP($E46,'Løp 17'!$E$10:$E$91,'Løp 17'!$M$10:$M$91,0)</f>
        <v>0</v>
      </c>
      <c r="BP46" s="629">
        <f>_xlfn.XLOOKUP($E46,'Løp 17'!$E$10:$E$91,'Løp 17'!$O$10:$O$91,0)</f>
        <v>0</v>
      </c>
      <c r="BQ46" s="629">
        <f>_xlfn.XLOOKUP($E46,'Løp 17'!$E$10:$E$91,'Løp 17'!$L$10:$L$91,0)</f>
        <v>0</v>
      </c>
      <c r="BR46" s="628">
        <f>_xlfn.XLOOKUP($E46,'Løp 18'!$E$10:$E$91,'Løp 18'!$M$10:$M$91,0)</f>
        <v>0</v>
      </c>
      <c r="BS46" s="629">
        <f>_xlfn.XLOOKUP($E46,'Løp 18'!$E$10:$E$91,'Løp 18'!$O$10:$O$91,0)</f>
        <v>0</v>
      </c>
      <c r="BT46" s="629">
        <f>_xlfn.XLOOKUP($E46,'Løp 18'!$E$10:$E$91,'Løp 18'!$L$10:$L$91,0)</f>
        <v>0</v>
      </c>
      <c r="BU46" s="628">
        <f>_xlfn.XLOOKUP($E46,'Løp 19'!$E$10:$E$91,'Løp 19'!$M$10:$M$91,0)</f>
        <v>50</v>
      </c>
      <c r="BV46" s="629">
        <f>_xlfn.XLOOKUP($E46,'Løp 19'!$E$10:$E$91,'Løp 19'!$O$10:$O$91,0)</f>
        <v>58</v>
      </c>
      <c r="BW46" s="629">
        <f>_xlfn.XLOOKUP($E46,'Løp 19'!$E$10:$E$91,'Løp 19'!$L$10:$L$91,0)</f>
        <v>1.6795267489711933E-2</v>
      </c>
      <c r="BX46" s="628">
        <f>_xlfn.XLOOKUP($E46,'Løp 20'!$E$10:$E$92,'Løp 20'!$M$10:$M$92,0)</f>
        <v>50</v>
      </c>
      <c r="BY46" s="629">
        <f>_xlfn.XLOOKUP($E46,'Løp 20'!$E$10:$E$92,'Løp 20'!$O$10:$O$92,0)</f>
        <v>50</v>
      </c>
      <c r="BZ46" s="629" t="str">
        <f>_xlfn.XLOOKUP($E46,'Løp 20'!$E$10:$E$92,'Løp 20'!$L$10:$L$92,0)</f>
        <v>Disk</v>
      </c>
      <c r="CA46" s="628">
        <f>_xlfn.XLOOKUP($E46,'Løp 21'!$E$10:$E$93,'Løp 21'!$M$10:$M$93,0)</f>
        <v>62</v>
      </c>
      <c r="CB46" s="629">
        <f>_xlfn.XLOOKUP($E46,'Løp 21'!$E$10:$E$93,'Løp 21'!$O$10:$O$93,0)</f>
        <v>78</v>
      </c>
      <c r="CC46" s="629">
        <f>_xlfn.XLOOKUP($E46,'Løp 21'!$E$10:$E$93,'Løp 21'!$L$10:$L$93,0)</f>
        <v>9.772544283413849E-3</v>
      </c>
      <c r="CD46" s="628">
        <f>_xlfn.XLOOKUP($E46,'Løp 22'!$E$10:$E$93,'Løp 22'!$M$10:$M$93,0)</f>
        <v>62</v>
      </c>
      <c r="CE46" s="629">
        <f>_xlfn.XLOOKUP($E46,'Løp 22'!$E$10:$E$93,'Løp 22'!$O$10:$O$93,0)</f>
        <v>77</v>
      </c>
      <c r="CF46" s="629">
        <f>_xlfn.XLOOKUP($E46,'Løp 22'!$E$10:$E$93,'Løp 22'!$L$10:$L$93,0)</f>
        <v>1.1210317460317459E-2</v>
      </c>
      <c r="CG46" s="628">
        <f>_xlfn.XLOOKUP($E46,'Løp 23'!$E$10:$E$93,'Løp 23'!$M$10:$M$93,0)</f>
        <v>50</v>
      </c>
      <c r="CH46" s="629">
        <f>_xlfn.XLOOKUP($E46,'Løp 23'!$E$10:$E$93,'Løp 23'!$O$10:$O$93,0)</f>
        <v>50</v>
      </c>
      <c r="CI46" s="629" t="str">
        <f>_xlfn.XLOOKUP($E46,'Løp 23'!$E$10:$E$93,'Løp 23'!$L$10:$L$93,0)</f>
        <v>Disk</v>
      </c>
      <c r="CJ46" s="628">
        <f>_xlfn.XLOOKUP($E46,'Løp 24'!$E$10:$E$93,'Løp 24'!$M$10:$M$93,0)</f>
        <v>59</v>
      </c>
      <c r="CK46" s="629">
        <f>_xlfn.XLOOKUP($E46,'Løp 24'!$E$10:$E$93,'Løp 24'!$O$10:$O$93,0)</f>
        <v>62</v>
      </c>
      <c r="CL46" s="629">
        <f>_xlfn.XLOOKUP($E46,'Løp 24'!$E$10:$E$93,'Løp 24'!$L$10:$L$93,0)</f>
        <v>8.9751683501683496E-3</v>
      </c>
      <c r="CM46" s="628">
        <f>_xlfn.XLOOKUP($E46,'Løp 25'!$E$10:$E$94,'Løp 25'!$M$10:$M$94,0)</f>
        <v>50</v>
      </c>
      <c r="CN46" s="629">
        <f>_xlfn.XLOOKUP($E46,'Løp 25'!$E$10:$E$94,'Løp 25'!$O$10:$O$94,0)</f>
        <v>50</v>
      </c>
      <c r="CO46" s="629" t="str">
        <f>_xlfn.XLOOKUP($E46,'Løp 25'!$E$10:$E$94,'Løp 25'!$L$10:$L$94,0)</f>
        <v>Disk</v>
      </c>
      <c r="CP46" s="628">
        <f>_xlfn.XLOOKUP($E46,'Løp 26'!$E$10:$E$94,'Løp 26'!$M$10:$M$94,0)</f>
        <v>53</v>
      </c>
      <c r="CQ46" s="629">
        <f>_xlfn.XLOOKUP($E46,'Løp 26'!$E$10:$E$94,'Løp 26'!$O$10:$O$94,0)</f>
        <v>68</v>
      </c>
      <c r="CR46" s="629">
        <f>_xlfn.XLOOKUP($E46,'Løp 26'!$E$10:$E$94,'Løp 26'!$L$10:$L$94,0)</f>
        <v>1.3421474358974358E-2</v>
      </c>
      <c r="CS46" s="628">
        <f>_xlfn.XLOOKUP($E46,'Løp 27'!$E$10:$E$94,'Løp 27'!$M$10:$M$94,0)</f>
        <v>50</v>
      </c>
      <c r="CT46" s="629">
        <f>_xlfn.XLOOKUP($E46,'Løp 27'!$E$10:$E$94,'Løp 27'!$O$10:$O$94,0)</f>
        <v>50</v>
      </c>
      <c r="CU46" s="629">
        <f>_xlfn.XLOOKUP($E46,'Løp 27'!$E$10:$E$94,'Løp 27'!$L$10:$L$94,0)</f>
        <v>1.8036265432098766E-2</v>
      </c>
      <c r="CV46" s="628">
        <f>_xlfn.XLOOKUP($E46,'Løp 28'!$E$10:$E$95,'Løp 28'!$M$10:$M$95,0)</f>
        <v>50</v>
      </c>
      <c r="CW46" s="629">
        <f>_xlfn.XLOOKUP($E46,'Løp 28'!$E$10:$E$95,'Løp 28'!$O$10:$O$95,0)</f>
        <v>50</v>
      </c>
      <c r="CX46" s="629">
        <f>_xlfn.XLOOKUP($E46,'Løp 28'!$E$10:$E$95,'Løp 28'!$L$10:$L$95,0)</f>
        <v>1.759837962962963E-2</v>
      </c>
      <c r="CY46" s="628">
        <f>_xlfn.XLOOKUP($E46,'Løp 29'!$E$10:$E$95,'Løp 29'!$M$10:$M$95,0)</f>
        <v>50</v>
      </c>
      <c r="CZ46" s="629">
        <f>_xlfn.XLOOKUP($E46,'Løp 29'!$E$10:$E$95,'Løp 29'!$O$10:$O$95,0)</f>
        <v>50</v>
      </c>
      <c r="DA46" s="629" t="str">
        <f>_xlfn.XLOOKUP($E46,'Løp 29'!$E$10:$E$95,'Løp 29'!$L$10:$L$95,0)</f>
        <v>Disk</v>
      </c>
    </row>
    <row r="47" spans="2:105" ht="26" thickBot="1" x14ac:dyDescent="0.3">
      <c r="B47" s="627">
        <f t="shared" si="0"/>
        <v>38</v>
      </c>
      <c r="C47" s="119" t="s">
        <v>103</v>
      </c>
      <c r="D47" s="620" t="s">
        <v>104</v>
      </c>
      <c r="E47" s="616" t="str">
        <f>_xlfn.CONCAT(C47:D47)</f>
        <v>SveinHove</v>
      </c>
      <c r="F47" s="610"/>
      <c r="G47" s="653">
        <f>COUNTIF(S47:DA47,"&gt;2")/2</f>
        <v>16</v>
      </c>
      <c r="H47" s="852">
        <f>COUNTIF(S47:DA47,"=Løype")+COUNTIF(S47:DA47,"Arr")</f>
        <v>0</v>
      </c>
      <c r="I47" s="610"/>
      <c r="J47" s="632">
        <f>S47+V47+Y47+AB47+AE47+AH47+AK47+AN47+AQ47+AT47+AW47+AZ47+BC47+BF47+BI47+BL47+BO47+BR47+BU47+BX47+CA47+CD47+CG47+CJ47+CM47+CP47+CS47+CV47+CY47</f>
        <v>955</v>
      </c>
      <c r="K47" s="633">
        <f>T47+W47+Z47+AC47+AF47+AI47+AL47+AO47+AR47+AU47+AX47+BA47+BD47+BG47+BJ47+BM47+BP47+BS47+BV47+BY47+CB47+CE47+CH47+CK47+CN47+CQ47+CT47+CW47+CZ47</f>
        <v>1035</v>
      </c>
      <c r="L47" s="613"/>
      <c r="M47" s="658">
        <f>IF($G47&gt;0,J47/G47,0)</f>
        <v>59.6875</v>
      </c>
      <c r="N47" s="659">
        <f>IF($G47&gt;0,K47/$G47,0)</f>
        <v>64.6875</v>
      </c>
      <c r="O47" s="862"/>
      <c r="P47" s="874">
        <f>IF(AND($G47&gt;$Q$3-1,$G47-$H47&gt;0),M47,0)</f>
        <v>59.6875</v>
      </c>
      <c r="Q47" s="875">
        <f>IF(AND($G47&gt;$Q$3-1,$G47-$H47&gt;0),N47,0)</f>
        <v>64.6875</v>
      </c>
      <c r="R47" s="613"/>
      <c r="S47" s="628">
        <f>_xlfn.XLOOKUP($E47,'Løp 1'!$E$10:$E$90,'Løp 1'!$M$10:$M$90,0)</f>
        <v>0</v>
      </c>
      <c r="T47" s="629">
        <f>_xlfn.XLOOKUP($E47,'Løp 1'!$E$10:$E$90,'Løp 1'!$O$10:$O$90,0)</f>
        <v>0</v>
      </c>
      <c r="U47" s="629">
        <f>_xlfn.XLOOKUP($E47,'Løp 1'!$E$10:$E$90,'Løp 1'!$L$10:$L$90,0)</f>
        <v>0</v>
      </c>
      <c r="V47" s="628">
        <f>_xlfn.XLOOKUP($E47,'Løp 2'!$E$10:$E$90,'Løp 2'!$M$10:$M$90,0)</f>
        <v>0</v>
      </c>
      <c r="W47" s="629">
        <f>_xlfn.XLOOKUP($E47,'Løp 2'!$E$10:$E$90,'Løp 2'!$O$10:$O$90,0)</f>
        <v>0</v>
      </c>
      <c r="X47" s="629">
        <f>_xlfn.XLOOKUP($E47,'Løp 2'!$E$10:$E$90,'Løp 2'!$L$10:$L$90,0)</f>
        <v>0</v>
      </c>
      <c r="Y47" s="628">
        <f>_xlfn.XLOOKUP($E47,'Løp 3'!$E$10:$E$90,'Løp 3'!$M$10:$M$90,0)</f>
        <v>0</v>
      </c>
      <c r="Z47" s="629">
        <f>_xlfn.XLOOKUP($E47,'Løp 3'!$E$10:$E$90,'Løp 3'!$O$10:$O$90,0)</f>
        <v>0</v>
      </c>
      <c r="AA47" s="629">
        <f>_xlfn.XLOOKUP($E47,'Løp 3'!$E$10:$E$90,'Løp 3'!$L$10:$L$90,0)</f>
        <v>0</v>
      </c>
      <c r="AB47" s="628">
        <f>_xlfn.XLOOKUP($E47,'Løp 4'!$E$10:$E$90,'Løp 4'!$M$10:$M$90,0)</f>
        <v>0</v>
      </c>
      <c r="AC47" s="629">
        <f>_xlfn.XLOOKUP($E47,'Løp 4'!$E$10:$E$90,'Løp 4'!$O$10:$O$90,0)</f>
        <v>0</v>
      </c>
      <c r="AD47" s="629">
        <f>_xlfn.XLOOKUP($E47,'Løp 4'!$E$10:$E$90,'Løp 4'!$L$10:$L$90,0)</f>
        <v>0</v>
      </c>
      <c r="AE47" s="628">
        <f>_xlfn.XLOOKUP($E47,'Løp 5'!$E$10:$E$90,'Løp 5'!$M$10:$M$90,0)</f>
        <v>0</v>
      </c>
      <c r="AF47" s="629">
        <f>_xlfn.XLOOKUP($E47,'Løp 5'!$E$10:$E$90,'Løp 5'!$O$10:$O$90,0)</f>
        <v>0</v>
      </c>
      <c r="AG47" s="629">
        <f>_xlfn.XLOOKUP($E47,'Løp 5'!$E$10:$E$90,'Løp 5'!$L$10:$L$90,0)</f>
        <v>0</v>
      </c>
      <c r="AH47" s="628">
        <f>_xlfn.XLOOKUP($E47,'Løp 6'!$E$10:$E$90,'Løp 6'!$M$10:$M$90,0)</f>
        <v>0</v>
      </c>
      <c r="AI47" s="629">
        <f>_xlfn.XLOOKUP($E47,'Løp 6'!$E$10:$E$90,'Løp 6'!$O$10:$O$90,0)</f>
        <v>0</v>
      </c>
      <c r="AJ47" s="629">
        <f>_xlfn.XLOOKUP($E47,'Løp 6'!$E$10:$E$90,'Løp 6'!$L$10:$L$90,0)</f>
        <v>0</v>
      </c>
      <c r="AK47" s="628">
        <f>_xlfn.XLOOKUP($E47,'Løp 7'!$E$10:$E$90,'Løp 7'!$M$10:$M$90,0)</f>
        <v>0</v>
      </c>
      <c r="AL47" s="629">
        <f>_xlfn.XLOOKUP($E47,'Løp 7'!$E$10:$E$90,'Løp 7'!$O$10:$O$90,0)</f>
        <v>0</v>
      </c>
      <c r="AM47" s="629">
        <f>_xlfn.XLOOKUP($E47,'Løp 7'!$E$10:$E$90,'Løp 7'!$L$10:$L$90,0)</f>
        <v>0</v>
      </c>
      <c r="AN47" s="628">
        <f>_xlfn.XLOOKUP($E47,'Løp 8'!$E$10:$E$91,'Løp 8'!$M$10:$M$91,0)</f>
        <v>51</v>
      </c>
      <c r="AO47" s="629">
        <f>_xlfn.XLOOKUP($E47,'Løp 8'!$E$10:$E$91,'Løp 8'!$O$10:$O$91,0)</f>
        <v>50</v>
      </c>
      <c r="AP47" s="629">
        <f>_xlfn.XLOOKUP($E47,'Løp 8'!$E$10:$E$91,'Løp 8'!$L$10:$L$91,0)</f>
        <v>1.6666666666666666E-2</v>
      </c>
      <c r="AQ47" s="628">
        <f>_xlfn.XLOOKUP($E47,'Løp 9'!$E$10:$E$91,'Løp 9'!$M$10:$M$91,0)</f>
        <v>0</v>
      </c>
      <c r="AR47" s="629">
        <f>_xlfn.XLOOKUP($E47,'Løp 9'!$E$10:$E$91,'Løp 9'!$O$10:$O$91,0)</f>
        <v>0</v>
      </c>
      <c r="AS47" s="629">
        <f>_xlfn.XLOOKUP($E47,'Løp 9'!$E$10:$E$91,'Løp 9'!$L$10:$L$91,0)</f>
        <v>0</v>
      </c>
      <c r="AT47" s="628">
        <f>_xlfn.XLOOKUP($E47,'Løp 10'!$E$10:$E$91,'Løp 10'!$M$10:$M$91,0)</f>
        <v>0</v>
      </c>
      <c r="AU47" s="629">
        <f>_xlfn.XLOOKUP($E47,'Løp 10'!$E$10:$E$91,'Løp 10'!$O$10:$O$91,0)</f>
        <v>0</v>
      </c>
      <c r="AV47" s="629">
        <f>_xlfn.XLOOKUP($E47,'Løp 10'!$E$10:$E$91,'Løp 10'!$L$10:$L$91,0)</f>
        <v>0</v>
      </c>
      <c r="AW47" s="628">
        <f>_xlfn.XLOOKUP($E47,'Løp 11'!$E$10:$E$91,'Løp 11'!$M$10:$M$91,0)</f>
        <v>59</v>
      </c>
      <c r="AX47" s="629">
        <f>_xlfn.XLOOKUP($E47,'Løp 11'!$E$10:$E$91,'Løp 11'!$O$10:$O$91,0)</f>
        <v>65</v>
      </c>
      <c r="AY47" s="629">
        <f>_xlfn.XLOOKUP($E47,'Løp 11'!$E$10:$E$91,'Løp 11'!$L$10:$L$91,0)</f>
        <v>1.2494739057239057E-2</v>
      </c>
      <c r="AZ47" s="628">
        <f>_xlfn.XLOOKUP($E47,'Løp 12'!$E$10:$E$91,'Løp 12'!$M$10:$M$91,0)</f>
        <v>65</v>
      </c>
      <c r="BA47" s="629">
        <f>_xlfn.XLOOKUP($E47,'Løp 12'!$E$10:$E$91,'Løp 12'!$O$10:$O$91,0)</f>
        <v>76</v>
      </c>
      <c r="BB47" s="629">
        <f>_xlfn.XLOOKUP($E47,'Løp 12'!$E$10:$E$91,'Løp 12'!$L$10:$L$91,0)</f>
        <v>8.5905349794238688E-3</v>
      </c>
      <c r="BC47" s="628">
        <f>_xlfn.XLOOKUP($E47,'Løp 13'!$E$10:$E$91,'Løp 13'!$M$10:$M$91,0)</f>
        <v>0</v>
      </c>
      <c r="BD47" s="629">
        <f>_xlfn.XLOOKUP($E47,'Løp 13'!$E$10:$E$91,'Løp 13'!$O$10:$O$91,0)</f>
        <v>0</v>
      </c>
      <c r="BE47" s="629">
        <f>_xlfn.XLOOKUP($E47,'Løp 13'!$E$10:$E$91,'Løp 13'!$L$10:$L$91,0)</f>
        <v>0</v>
      </c>
      <c r="BF47" s="628">
        <f>_xlfn.XLOOKUP($E47,'Løp 14'!$E$10:$E$91,'Løp 14'!$M$10:$M$91,0)</f>
        <v>0</v>
      </c>
      <c r="BG47" s="629">
        <f>_xlfn.XLOOKUP($E47,'Løp 14'!$E$10:$E$91,'Løp 14'!$O$10:$O$91,0)</f>
        <v>0</v>
      </c>
      <c r="BH47" s="629">
        <f>_xlfn.XLOOKUP($E47,'Løp 14'!$E$10:$E$91,'Løp 14'!$L$10:$L$91,0)</f>
        <v>0</v>
      </c>
      <c r="BI47" s="628">
        <f>_xlfn.XLOOKUP($E47,'Løp 15'!$E$10:$E$91,'Løp 15'!$M$10:$M$91,0)</f>
        <v>63</v>
      </c>
      <c r="BJ47" s="629">
        <f>_xlfn.XLOOKUP($E47,'Løp 15'!$E$10:$E$91,'Løp 15'!$O$10:$O$91,0)</f>
        <v>63</v>
      </c>
      <c r="BK47" s="629">
        <f>_xlfn.XLOOKUP($E47,'Løp 15'!$E$10:$E$91,'Løp 15'!$L$10:$L$91,0)</f>
        <v>1.3751102292768958E-2</v>
      </c>
      <c r="BL47" s="628">
        <f>_xlfn.XLOOKUP($E47,'Løp 16'!$E$10:$E$91,'Løp 16'!$M$10:$M$91,0)</f>
        <v>62</v>
      </c>
      <c r="BM47" s="629">
        <f>_xlfn.XLOOKUP($E47,'Løp 16'!$E$10:$E$91,'Løp 16'!$O$10:$O$91,0)</f>
        <v>72</v>
      </c>
      <c r="BN47" s="629">
        <f>_xlfn.XLOOKUP($E47,'Løp 16'!$E$10:$E$91,'Løp 16'!$L$10:$L$91,0)</f>
        <v>1.0945048309178746E-2</v>
      </c>
      <c r="BO47" s="628">
        <f>_xlfn.XLOOKUP($E47,'Løp 17'!$E$10:$E$91,'Løp 17'!$M$10:$M$91,0)</f>
        <v>56</v>
      </c>
      <c r="BP47" s="629">
        <f>_xlfn.XLOOKUP($E47,'Løp 17'!$E$10:$E$91,'Løp 17'!$O$10:$O$91,0)</f>
        <v>64</v>
      </c>
      <c r="BQ47" s="629">
        <f>_xlfn.XLOOKUP($E47,'Løp 17'!$E$10:$E$91,'Løp 17'!$L$10:$L$91,0)</f>
        <v>1.1409600389863548E-2</v>
      </c>
      <c r="BR47" s="628">
        <f>_xlfn.XLOOKUP($E47,'Løp 18'!$E$10:$E$91,'Løp 18'!$M$10:$M$91,0)</f>
        <v>74</v>
      </c>
      <c r="BS47" s="629">
        <f>_xlfn.XLOOKUP($E47,'Løp 18'!$E$10:$E$91,'Løp 18'!$O$10:$O$91,0)</f>
        <v>79</v>
      </c>
      <c r="BT47" s="629">
        <f>_xlfn.XLOOKUP($E47,'Løp 18'!$E$10:$E$91,'Løp 18'!$L$10:$L$91,0)</f>
        <v>9.6527777777777775E-3</v>
      </c>
      <c r="BU47" s="628">
        <f>_xlfn.XLOOKUP($E47,'Løp 19'!$E$10:$E$91,'Løp 19'!$M$10:$M$91,0)</f>
        <v>50</v>
      </c>
      <c r="BV47" s="629">
        <f>_xlfn.XLOOKUP($E47,'Løp 19'!$E$10:$E$91,'Løp 19'!$O$10:$O$91,0)</f>
        <v>50</v>
      </c>
      <c r="BW47" s="629">
        <f>_xlfn.XLOOKUP($E47,'Løp 19'!$E$10:$E$91,'Løp 19'!$L$10:$L$91,0)</f>
        <v>1.7708333333333333E-2</v>
      </c>
      <c r="BX47" s="628">
        <f>_xlfn.XLOOKUP($E47,'Løp 20'!$E$10:$E$92,'Løp 20'!$M$10:$M$92,0)</f>
        <v>69</v>
      </c>
      <c r="BY47" s="629">
        <f>_xlfn.XLOOKUP($E47,'Løp 20'!$E$10:$E$92,'Løp 20'!$O$10:$O$92,0)</f>
        <v>75</v>
      </c>
      <c r="BZ47" s="629">
        <f>_xlfn.XLOOKUP($E47,'Løp 20'!$E$10:$E$92,'Løp 20'!$L$10:$L$92,0)</f>
        <v>1.127094356261023E-2</v>
      </c>
      <c r="CA47" s="628">
        <f>_xlfn.XLOOKUP($E47,'Løp 21'!$E$10:$E$93,'Løp 21'!$M$10:$M$93,0)</f>
        <v>0</v>
      </c>
      <c r="CB47" s="629">
        <f>_xlfn.XLOOKUP($E47,'Løp 21'!$E$10:$E$93,'Løp 21'!$O$10:$O$93,0)</f>
        <v>0</v>
      </c>
      <c r="CC47" s="629">
        <f>_xlfn.XLOOKUP($E47,'Løp 21'!$E$10:$E$93,'Løp 21'!$L$10:$L$93,0)</f>
        <v>0</v>
      </c>
      <c r="CD47" s="628">
        <f>_xlfn.XLOOKUP($E47,'Løp 22'!$E$10:$E$93,'Løp 22'!$M$10:$M$93,0)</f>
        <v>69</v>
      </c>
      <c r="CE47" s="629">
        <f>_xlfn.XLOOKUP($E47,'Løp 22'!$E$10:$E$93,'Løp 22'!$O$10:$O$93,0)</f>
        <v>77</v>
      </c>
      <c r="CF47" s="629">
        <f>_xlfn.XLOOKUP($E47,'Løp 22'!$E$10:$E$93,'Løp 22'!$L$10:$L$93,0)</f>
        <v>1.008046737213404E-2</v>
      </c>
      <c r="CG47" s="628">
        <f>_xlfn.XLOOKUP($E47,'Løp 23'!$E$10:$E$93,'Løp 23'!$M$10:$M$93,0)</f>
        <v>50</v>
      </c>
      <c r="CH47" s="629">
        <f>_xlfn.XLOOKUP($E47,'Løp 23'!$E$10:$E$93,'Løp 23'!$O$10:$O$93,0)</f>
        <v>56</v>
      </c>
      <c r="CI47" s="629">
        <f>_xlfn.XLOOKUP($E47,'Løp 23'!$E$10:$E$93,'Løp 23'!$L$10:$L$93,0)</f>
        <v>1.0339506172839505E-2</v>
      </c>
      <c r="CJ47" s="628">
        <f>_xlfn.XLOOKUP($E47,'Løp 24'!$E$10:$E$93,'Løp 24'!$M$10:$M$93,0)</f>
        <v>65</v>
      </c>
      <c r="CK47" s="629">
        <f>_xlfn.XLOOKUP($E47,'Løp 24'!$E$10:$E$93,'Løp 24'!$O$10:$O$93,0)</f>
        <v>61</v>
      </c>
      <c r="CL47" s="629">
        <f>_xlfn.XLOOKUP($E47,'Løp 24'!$E$10:$E$93,'Løp 24'!$L$10:$L$93,0)</f>
        <v>8.2228535353535345E-3</v>
      </c>
      <c r="CM47" s="628">
        <f>_xlfn.XLOOKUP($E47,'Løp 25'!$E$10:$E$94,'Løp 25'!$M$10:$M$94,0)</f>
        <v>58</v>
      </c>
      <c r="CN47" s="629">
        <f>_xlfn.XLOOKUP($E47,'Løp 25'!$E$10:$E$94,'Løp 25'!$O$10:$O$94,0)</f>
        <v>65</v>
      </c>
      <c r="CO47" s="629">
        <f>_xlfn.XLOOKUP($E47,'Løp 25'!$E$10:$E$94,'Løp 25'!$L$10:$L$94,0)</f>
        <v>1.2377829218106994E-2</v>
      </c>
      <c r="CP47" s="628">
        <f>_xlfn.XLOOKUP($E47,'Løp 26'!$E$10:$E$94,'Løp 26'!$M$10:$M$94,0)</f>
        <v>64</v>
      </c>
      <c r="CQ47" s="629">
        <f>_xlfn.XLOOKUP($E47,'Løp 26'!$E$10:$E$94,'Løp 26'!$O$10:$O$94,0)</f>
        <v>74</v>
      </c>
      <c r="CR47" s="629">
        <f>_xlfn.XLOOKUP($E47,'Løp 26'!$E$10:$E$94,'Løp 26'!$L$10:$L$94,0)</f>
        <v>1.1128917378917379E-2</v>
      </c>
      <c r="CS47" s="628">
        <f>_xlfn.XLOOKUP($E47,'Løp 27'!$E$10:$E$94,'Løp 27'!$M$10:$M$94,0)</f>
        <v>50</v>
      </c>
      <c r="CT47" s="629">
        <f>_xlfn.XLOOKUP($E47,'Løp 27'!$E$10:$E$94,'Løp 27'!$O$10:$O$94,0)</f>
        <v>58</v>
      </c>
      <c r="CU47" s="629">
        <f>_xlfn.XLOOKUP($E47,'Løp 27'!$E$10:$E$94,'Løp 27'!$L$10:$L$94,0)</f>
        <v>1.3663837448559672E-2</v>
      </c>
      <c r="CV47" s="628">
        <f>_xlfn.XLOOKUP($E47,'Løp 28'!$E$10:$E$95,'Løp 28'!$M$10:$M$95,0)</f>
        <v>0</v>
      </c>
      <c r="CW47" s="629">
        <f>_xlfn.XLOOKUP($E47,'Løp 28'!$E$10:$E$95,'Løp 28'!$O$10:$O$95,0)</f>
        <v>0</v>
      </c>
      <c r="CX47" s="629">
        <f>_xlfn.XLOOKUP($E47,'Løp 28'!$E$10:$E$95,'Løp 28'!$L$10:$L$95,0)</f>
        <v>0</v>
      </c>
      <c r="CY47" s="628">
        <f>_xlfn.XLOOKUP($E47,'Løp 29'!$E$10:$E$95,'Løp 29'!$M$10:$M$95,0)</f>
        <v>50</v>
      </c>
      <c r="CZ47" s="629">
        <f>_xlfn.XLOOKUP($E47,'Løp 29'!$E$10:$E$95,'Løp 29'!$O$10:$O$95,0)</f>
        <v>50</v>
      </c>
      <c r="DA47" s="629" t="str">
        <f>_xlfn.XLOOKUP($E47,'Løp 29'!$E$10:$E$95,'Løp 29'!$L$10:$L$95,0)</f>
        <v>Disk</v>
      </c>
    </row>
    <row r="48" spans="2:105" ht="26" thickBot="1" x14ac:dyDescent="0.3">
      <c r="B48" s="627">
        <f t="shared" si="0"/>
        <v>39</v>
      </c>
      <c r="C48" s="119" t="s">
        <v>116</v>
      </c>
      <c r="D48" s="620" t="s">
        <v>117</v>
      </c>
      <c r="E48" s="616" t="str">
        <f>_xlfn.CONCAT(C48:D48)</f>
        <v>AndersLauglo</v>
      </c>
      <c r="F48" s="610"/>
      <c r="G48" s="653">
        <f>COUNTIF(S48:DA48,"&gt;2")/2</f>
        <v>15</v>
      </c>
      <c r="H48" s="852">
        <f>COUNTIF(S48:DA48,"=Løype")+COUNTIF(S48:DA48,"Arr")</f>
        <v>0</v>
      </c>
      <c r="I48" s="610"/>
      <c r="J48" s="632">
        <f>S48+V48+Y48+AB48+AE48+AH48+AK48+AN48+AQ48+AT48+AW48+AZ48+BC48+BF48+BI48+BL48+BO48+BR48+BU48+BX48+CA48+CD48+CG48+CJ48+CM48+CP48+CS48+CV48+CY48</f>
        <v>774</v>
      </c>
      <c r="K48" s="633">
        <f>T48+W48+Z48+AC48+AF48+AI48+AL48+AO48+AR48+AU48+AX48+BA48+BD48+BG48+BJ48+BM48+BP48+BS48+BV48+BY48+CB48+CE48+CH48+CK48+CN48+CQ48+CT48+CW48+CZ48</f>
        <v>967</v>
      </c>
      <c r="L48" s="613"/>
      <c r="M48" s="658">
        <f>IF($G48&gt;0,J48/G48,0)</f>
        <v>51.6</v>
      </c>
      <c r="N48" s="659">
        <f>IF($G48&gt;0,K48/$G48,0)</f>
        <v>64.466666666666669</v>
      </c>
      <c r="O48" s="862"/>
      <c r="P48" s="874">
        <f>IF(AND($G48&gt;$Q$3-1,$G48-$H48&gt;0),M48,0)</f>
        <v>51.6</v>
      </c>
      <c r="Q48" s="875">
        <f>IF(AND($G48&gt;$Q$3-1,$G48-$H48&gt;0),N48,0)</f>
        <v>64.466666666666669</v>
      </c>
      <c r="R48" s="613"/>
      <c r="S48" s="628">
        <f>_xlfn.XLOOKUP($E48,'Løp 1'!$E$10:$E$90,'Løp 1'!$M$10:$M$90,0)</f>
        <v>54</v>
      </c>
      <c r="T48" s="629">
        <f>_xlfn.XLOOKUP($E48,'Løp 1'!$E$10:$E$90,'Løp 1'!$O$10:$O$90,0)</f>
        <v>81</v>
      </c>
      <c r="U48" s="629">
        <f>_xlfn.XLOOKUP($E48,'Løp 1'!$E$10:$E$90,'Løp 1'!$L$10:$L$90,0)</f>
        <v>1.5040204678362572E-2</v>
      </c>
      <c r="V48" s="628">
        <f>_xlfn.XLOOKUP($E48,'Løp 2'!$E$10:$E$90,'Løp 2'!$M$10:$M$90,0)</f>
        <v>50</v>
      </c>
      <c r="W48" s="629">
        <f>_xlfn.XLOOKUP($E48,'Løp 2'!$E$10:$E$90,'Løp 2'!$O$10:$O$90,0)</f>
        <v>50</v>
      </c>
      <c r="X48" s="629" t="str">
        <f>_xlfn.XLOOKUP($E48,'Løp 2'!$E$10:$E$90,'Løp 2'!$L$10:$L$90,0)</f>
        <v>Brutt</v>
      </c>
      <c r="Y48" s="628">
        <f>_xlfn.XLOOKUP($E48,'Løp 3'!$E$10:$E$90,'Løp 3'!$M$10:$M$90,0)</f>
        <v>60</v>
      </c>
      <c r="Z48" s="629">
        <f>_xlfn.XLOOKUP($E48,'Løp 3'!$E$10:$E$90,'Løp 3'!$O$10:$O$90,0)</f>
        <v>84</v>
      </c>
      <c r="AA48" s="629">
        <f>_xlfn.XLOOKUP($E48,'Løp 3'!$E$10:$E$90,'Løp 3'!$L$10:$L$90,0)</f>
        <v>1.4969135802469134E-2</v>
      </c>
      <c r="AB48" s="628">
        <f>_xlfn.XLOOKUP($E48,'Løp 4'!$E$10:$E$90,'Løp 4'!$M$10:$M$90,0)</f>
        <v>50</v>
      </c>
      <c r="AC48" s="629">
        <f>_xlfn.XLOOKUP($E48,'Løp 4'!$E$10:$E$90,'Løp 4'!$O$10:$O$90,0)</f>
        <v>72</v>
      </c>
      <c r="AD48" s="629">
        <f>_xlfn.XLOOKUP($E48,'Løp 4'!$E$10:$E$90,'Løp 4'!$L$10:$L$90,0)</f>
        <v>1.5091586151368762E-2</v>
      </c>
      <c r="AE48" s="628">
        <f>_xlfn.XLOOKUP($E48,'Løp 5'!$E$10:$E$90,'Løp 5'!$M$10:$M$90,0)</f>
        <v>50</v>
      </c>
      <c r="AF48" s="629">
        <f>_xlfn.XLOOKUP($E48,'Løp 5'!$E$10:$E$90,'Løp 5'!$O$10:$O$90,0)</f>
        <v>50</v>
      </c>
      <c r="AG48" s="629">
        <f>_xlfn.XLOOKUP($E48,'Løp 5'!$E$10:$E$90,'Løp 5'!$L$10:$L$90,0)</f>
        <v>2.05078125E-2</v>
      </c>
      <c r="AH48" s="628">
        <f>_xlfn.XLOOKUP($E48,'Løp 6'!$E$10:$E$90,'Løp 6'!$M$10:$M$90,0)</f>
        <v>56</v>
      </c>
      <c r="AI48" s="629">
        <f>_xlfn.XLOOKUP($E48,'Løp 6'!$E$10:$E$90,'Løp 6'!$O$10:$O$90,0)</f>
        <v>83</v>
      </c>
      <c r="AJ48" s="629">
        <f>_xlfn.XLOOKUP($E48,'Løp 6'!$E$10:$E$90,'Løp 6'!$L$10:$L$90,0)</f>
        <v>1.3929738562091504E-2</v>
      </c>
      <c r="AK48" s="628">
        <f>_xlfn.XLOOKUP($E48,'Løp 7'!$E$10:$E$90,'Løp 7'!$M$10:$M$90,0)</f>
        <v>0</v>
      </c>
      <c r="AL48" s="629">
        <f>_xlfn.XLOOKUP($E48,'Løp 7'!$E$10:$E$90,'Løp 7'!$O$10:$O$90,0)</f>
        <v>0</v>
      </c>
      <c r="AM48" s="629">
        <f>_xlfn.XLOOKUP($E48,'Løp 7'!$E$10:$E$90,'Løp 7'!$L$10:$L$90,0)</f>
        <v>0</v>
      </c>
      <c r="AN48" s="628">
        <f>_xlfn.XLOOKUP($E48,'Løp 8'!$E$10:$E$91,'Løp 8'!$M$10:$M$91,0)</f>
        <v>0</v>
      </c>
      <c r="AO48" s="629">
        <f>_xlfn.XLOOKUP($E48,'Løp 8'!$E$10:$E$91,'Løp 8'!$O$10:$O$91,0)</f>
        <v>0</v>
      </c>
      <c r="AP48" s="629">
        <f>_xlfn.XLOOKUP($E48,'Løp 8'!$E$10:$E$91,'Løp 8'!$L$10:$L$91,0)</f>
        <v>0</v>
      </c>
      <c r="AQ48" s="628">
        <f>_xlfn.XLOOKUP($E48,'Løp 9'!$E$10:$E$91,'Løp 9'!$M$10:$M$91,0)</f>
        <v>0</v>
      </c>
      <c r="AR48" s="629">
        <f>_xlfn.XLOOKUP($E48,'Løp 9'!$E$10:$E$91,'Løp 9'!$O$10:$O$91,0)</f>
        <v>0</v>
      </c>
      <c r="AS48" s="629">
        <f>_xlfn.XLOOKUP($E48,'Løp 9'!$E$10:$E$91,'Løp 9'!$L$10:$L$91,0)</f>
        <v>0</v>
      </c>
      <c r="AT48" s="628">
        <f>_xlfn.XLOOKUP($E48,'Løp 10'!$E$10:$E$91,'Løp 10'!$M$10:$M$91,0)</f>
        <v>50</v>
      </c>
      <c r="AU48" s="629">
        <f>_xlfn.XLOOKUP($E48,'Løp 10'!$E$10:$E$91,'Løp 10'!$O$10:$O$91,0)</f>
        <v>50</v>
      </c>
      <c r="AV48" s="629" t="str">
        <f>_xlfn.XLOOKUP($E48,'Løp 10'!$E$10:$E$91,'Løp 10'!$L$10:$L$91,0)</f>
        <v>Brutt</v>
      </c>
      <c r="AW48" s="628">
        <f>_xlfn.XLOOKUP($E48,'Løp 11'!$E$10:$E$91,'Løp 11'!$M$10:$M$91,0)</f>
        <v>50</v>
      </c>
      <c r="AX48" s="629">
        <f>_xlfn.XLOOKUP($E48,'Løp 11'!$E$10:$E$91,'Løp 11'!$O$10:$O$91,0)</f>
        <v>69</v>
      </c>
      <c r="AY48" s="629">
        <f>_xlfn.XLOOKUP($E48,'Løp 11'!$E$10:$E$91,'Løp 11'!$L$10:$L$91,0)</f>
        <v>1.5630260942760942E-2</v>
      </c>
      <c r="AZ48" s="628">
        <f>_xlfn.XLOOKUP($E48,'Løp 12'!$E$10:$E$91,'Løp 12'!$M$10:$M$91,0)</f>
        <v>0</v>
      </c>
      <c r="BA48" s="629">
        <f>_xlfn.XLOOKUP($E48,'Løp 12'!$E$10:$E$91,'Løp 12'!$O$10:$O$91,0)</f>
        <v>0</v>
      </c>
      <c r="BB48" s="629">
        <f>_xlfn.XLOOKUP($E48,'Løp 12'!$E$10:$E$91,'Løp 12'!$L$10:$L$91,0)</f>
        <v>0</v>
      </c>
      <c r="BC48" s="628">
        <f>_xlfn.XLOOKUP($E48,'Løp 13'!$E$10:$E$91,'Løp 13'!$M$10:$M$91,0)</f>
        <v>0</v>
      </c>
      <c r="BD48" s="629">
        <f>_xlfn.XLOOKUP($E48,'Løp 13'!$E$10:$E$91,'Løp 13'!$O$10:$O$91,0)</f>
        <v>0</v>
      </c>
      <c r="BE48" s="629">
        <f>_xlfn.XLOOKUP($E48,'Løp 13'!$E$10:$E$91,'Løp 13'!$L$10:$L$91,0)</f>
        <v>0</v>
      </c>
      <c r="BF48" s="628">
        <f>_xlfn.XLOOKUP($E48,'Løp 14'!$E$10:$E$91,'Løp 14'!$M$10:$M$91,0)</f>
        <v>0</v>
      </c>
      <c r="BG48" s="629">
        <f>_xlfn.XLOOKUP($E48,'Løp 14'!$E$10:$E$91,'Løp 14'!$O$10:$O$91,0)</f>
        <v>0</v>
      </c>
      <c r="BH48" s="629">
        <f>_xlfn.XLOOKUP($E48,'Løp 14'!$E$10:$E$91,'Løp 14'!$L$10:$L$91,0)</f>
        <v>0</v>
      </c>
      <c r="BI48" s="628">
        <f>_xlfn.XLOOKUP($E48,'Løp 15'!$E$10:$E$91,'Løp 15'!$M$10:$M$91,0)</f>
        <v>0</v>
      </c>
      <c r="BJ48" s="629">
        <f>_xlfn.XLOOKUP($E48,'Løp 15'!$E$10:$E$91,'Løp 15'!$O$10:$O$91,0)</f>
        <v>0</v>
      </c>
      <c r="BK48" s="629">
        <f>_xlfn.XLOOKUP($E48,'Løp 15'!$E$10:$E$91,'Løp 15'!$L$10:$L$91,0)</f>
        <v>0</v>
      </c>
      <c r="BL48" s="628">
        <f>_xlfn.XLOOKUP($E48,'Løp 16'!$E$10:$E$91,'Løp 16'!$M$10:$M$91,0)</f>
        <v>0</v>
      </c>
      <c r="BM48" s="629">
        <f>_xlfn.XLOOKUP($E48,'Løp 16'!$E$10:$E$91,'Løp 16'!$O$10:$O$91,0)</f>
        <v>0</v>
      </c>
      <c r="BN48" s="629">
        <f>_xlfn.XLOOKUP($E48,'Løp 16'!$E$10:$E$91,'Løp 16'!$L$10:$L$91,0)</f>
        <v>0</v>
      </c>
      <c r="BO48" s="628">
        <f>_xlfn.XLOOKUP($E48,'Løp 17'!$E$10:$E$91,'Løp 17'!$M$10:$M$91,0)</f>
        <v>0</v>
      </c>
      <c r="BP48" s="629">
        <f>_xlfn.XLOOKUP($E48,'Løp 17'!$E$10:$E$91,'Løp 17'!$O$10:$O$91,0)</f>
        <v>0</v>
      </c>
      <c r="BQ48" s="629">
        <f>_xlfn.XLOOKUP($E48,'Løp 17'!$E$10:$E$91,'Løp 17'!$L$10:$L$91,0)</f>
        <v>0</v>
      </c>
      <c r="BR48" s="628">
        <f>_xlfn.XLOOKUP($E48,'Løp 18'!$E$10:$E$91,'Løp 18'!$M$10:$M$91,0)</f>
        <v>0</v>
      </c>
      <c r="BS48" s="629">
        <f>_xlfn.XLOOKUP($E48,'Løp 18'!$E$10:$E$91,'Løp 18'!$O$10:$O$91,0)</f>
        <v>0</v>
      </c>
      <c r="BT48" s="629">
        <f>_xlfn.XLOOKUP($E48,'Løp 18'!$E$10:$E$91,'Løp 18'!$L$10:$L$91,0)</f>
        <v>0</v>
      </c>
      <c r="BU48" s="628">
        <f>_xlfn.XLOOKUP($E48,'Løp 19'!$E$10:$E$91,'Løp 19'!$M$10:$M$91,0)</f>
        <v>0</v>
      </c>
      <c r="BV48" s="629">
        <f>_xlfn.XLOOKUP($E48,'Løp 19'!$E$10:$E$91,'Løp 19'!$O$10:$O$91,0)</f>
        <v>0</v>
      </c>
      <c r="BW48" s="629">
        <f>_xlfn.XLOOKUP($E48,'Løp 19'!$E$10:$E$91,'Løp 19'!$L$10:$L$91,0)</f>
        <v>0</v>
      </c>
      <c r="BX48" s="628">
        <f>_xlfn.XLOOKUP($E48,'Løp 20'!$E$10:$E$92,'Løp 20'!$M$10:$M$92,0)</f>
        <v>54</v>
      </c>
      <c r="BY48" s="629">
        <f>_xlfn.XLOOKUP($E48,'Løp 20'!$E$10:$E$92,'Løp 20'!$O$10:$O$92,0)</f>
        <v>77</v>
      </c>
      <c r="BZ48" s="629">
        <f>_xlfn.XLOOKUP($E48,'Løp 20'!$E$10:$E$92,'Løp 20'!$L$10:$L$92,0)</f>
        <v>1.4462081128747795E-2</v>
      </c>
      <c r="CA48" s="628">
        <f>_xlfn.XLOOKUP($E48,'Løp 21'!$E$10:$E$93,'Løp 21'!$M$10:$M$93,0)</f>
        <v>50</v>
      </c>
      <c r="CB48" s="629">
        <f>_xlfn.XLOOKUP($E48,'Løp 21'!$E$10:$E$93,'Løp 21'!$O$10:$O$93,0)</f>
        <v>51</v>
      </c>
      <c r="CC48" s="629">
        <f>_xlfn.XLOOKUP($E48,'Løp 21'!$E$10:$E$93,'Løp 21'!$L$10:$L$93,0)</f>
        <v>1.797000805152979E-2</v>
      </c>
      <c r="CD48" s="628">
        <f>_xlfn.XLOOKUP($E48,'Løp 22'!$E$10:$E$93,'Løp 22'!$M$10:$M$93,0)</f>
        <v>0</v>
      </c>
      <c r="CE48" s="629">
        <f>_xlfn.XLOOKUP($E48,'Løp 22'!$E$10:$E$93,'Løp 22'!$O$10:$O$93,0)</f>
        <v>0</v>
      </c>
      <c r="CF48" s="629">
        <f>_xlfn.XLOOKUP($E48,'Løp 22'!$E$10:$E$93,'Løp 22'!$L$10:$L$93,0)</f>
        <v>0</v>
      </c>
      <c r="CG48" s="628">
        <f>_xlfn.XLOOKUP($E48,'Løp 23'!$E$10:$E$93,'Løp 23'!$M$10:$M$93,0)</f>
        <v>0</v>
      </c>
      <c r="CH48" s="629">
        <f>_xlfn.XLOOKUP($E48,'Løp 23'!$E$10:$E$93,'Løp 23'!$O$10:$O$93,0)</f>
        <v>0</v>
      </c>
      <c r="CI48" s="629">
        <f>_xlfn.XLOOKUP($E48,'Løp 23'!$E$10:$E$93,'Løp 23'!$L$10:$L$93,0)</f>
        <v>0</v>
      </c>
      <c r="CJ48" s="628">
        <f>_xlfn.XLOOKUP($E48,'Løp 24'!$E$10:$E$93,'Løp 24'!$M$10:$M$93,0)</f>
        <v>0</v>
      </c>
      <c r="CK48" s="629">
        <f>_xlfn.XLOOKUP($E48,'Løp 24'!$E$10:$E$93,'Løp 24'!$O$10:$O$93,0)</f>
        <v>0</v>
      </c>
      <c r="CL48" s="629">
        <f>_xlfn.XLOOKUP($E48,'Løp 24'!$E$10:$E$93,'Løp 24'!$L$10:$L$93,0)</f>
        <v>0</v>
      </c>
      <c r="CM48" s="628">
        <f>_xlfn.XLOOKUP($E48,'Løp 25'!$E$10:$E$94,'Løp 25'!$M$10:$M$94,0)</f>
        <v>50</v>
      </c>
      <c r="CN48" s="629">
        <f>_xlfn.XLOOKUP($E48,'Løp 25'!$E$10:$E$94,'Løp 25'!$O$10:$O$94,0)</f>
        <v>56</v>
      </c>
      <c r="CO48" s="629">
        <f>_xlfn.XLOOKUP($E48,'Løp 25'!$E$10:$E$94,'Løp 25'!$L$10:$L$94,0)</f>
        <v>1.8949331275720165E-2</v>
      </c>
      <c r="CP48" s="628">
        <f>_xlfn.XLOOKUP($E48,'Løp 26'!$E$10:$E$94,'Løp 26'!$M$10:$M$94,0)</f>
        <v>50</v>
      </c>
      <c r="CQ48" s="629">
        <f>_xlfn.XLOOKUP($E48,'Løp 26'!$E$10:$E$94,'Løp 26'!$O$10:$O$94,0)</f>
        <v>57</v>
      </c>
      <c r="CR48" s="629">
        <f>_xlfn.XLOOKUP($E48,'Løp 26'!$E$10:$E$94,'Løp 26'!$L$10:$L$94,0)</f>
        <v>1.9267429193899781E-2</v>
      </c>
      <c r="CS48" s="628">
        <f>_xlfn.XLOOKUP($E48,'Løp 27'!$E$10:$E$94,'Løp 27'!$M$10:$M$94,0)</f>
        <v>50</v>
      </c>
      <c r="CT48" s="629">
        <f>_xlfn.XLOOKUP($E48,'Løp 27'!$E$10:$E$94,'Løp 27'!$O$10:$O$94,0)</f>
        <v>66</v>
      </c>
      <c r="CU48" s="629">
        <f>_xlfn.XLOOKUP($E48,'Løp 27'!$E$10:$E$94,'Løp 27'!$L$10:$L$94,0)</f>
        <v>1.6004372427983537E-2</v>
      </c>
      <c r="CV48" s="628">
        <f>_xlfn.XLOOKUP($E48,'Løp 28'!$E$10:$E$95,'Løp 28'!$M$10:$M$95,0)</f>
        <v>50</v>
      </c>
      <c r="CW48" s="629">
        <f>_xlfn.XLOOKUP($E48,'Løp 28'!$E$10:$E$95,'Løp 28'!$O$10:$O$95,0)</f>
        <v>71</v>
      </c>
      <c r="CX48" s="629">
        <f>_xlfn.XLOOKUP($E48,'Løp 28'!$E$10:$E$95,'Løp 28'!$L$10:$L$95,0)</f>
        <v>1.4799718196457326E-2</v>
      </c>
      <c r="CY48" s="628">
        <f>_xlfn.XLOOKUP($E48,'Løp 29'!$E$10:$E$95,'Løp 29'!$M$10:$M$95,0)</f>
        <v>50</v>
      </c>
      <c r="CZ48" s="629">
        <f>_xlfn.XLOOKUP($E48,'Løp 29'!$E$10:$E$95,'Løp 29'!$O$10:$O$95,0)</f>
        <v>50</v>
      </c>
      <c r="DA48" s="629" t="str">
        <f>_xlfn.XLOOKUP($E48,'Løp 29'!$E$10:$E$95,'Løp 29'!$L$10:$L$95,0)</f>
        <v>Disk</v>
      </c>
    </row>
    <row r="49" spans="2:105" ht="26" thickBot="1" x14ac:dyDescent="0.3">
      <c r="B49" s="627">
        <f t="shared" si="0"/>
        <v>40</v>
      </c>
      <c r="C49" s="119" t="s">
        <v>153</v>
      </c>
      <c r="D49" s="620" t="s">
        <v>154</v>
      </c>
      <c r="E49" s="616" t="str">
        <f>_xlfn.CONCAT(C49:D49)</f>
        <v>ReidunSmaavik</v>
      </c>
      <c r="F49" s="610"/>
      <c r="G49" s="653">
        <f>COUNTIF(S49:DA49,"&gt;2")/2</f>
        <v>9</v>
      </c>
      <c r="H49" s="852">
        <f>COUNTIF(S49:DA49,"=Løype")+COUNTIF(S49:DA49,"Arr")</f>
        <v>1</v>
      </c>
      <c r="I49" s="610"/>
      <c r="J49" s="632">
        <f>S49+V49+Y49+AB49+AE49+AH49+AK49+AN49+AQ49+AT49+AW49+AZ49+BC49+BF49+BI49+BL49+BO49+BR49+BU49+BX49+CA49+CD49+CG49+CJ49+CM49+CP49+CS49+CV49+CY49</f>
        <v>525</v>
      </c>
      <c r="K49" s="633">
        <f>T49+W49+Z49+AC49+AF49+AI49+AL49+AO49+AR49+AU49+AX49+BA49+BD49+BG49+BJ49+BM49+BP49+BS49+BV49+BY49+CB49+CE49+CH49+CK49+CN49+CQ49+CT49+CW49+CZ49</f>
        <v>580</v>
      </c>
      <c r="L49" s="613"/>
      <c r="M49" s="658">
        <f>IF($G49&gt;0,J49/G49,0)</f>
        <v>58.333333333333336</v>
      </c>
      <c r="N49" s="659">
        <f>IF($G49&gt;0,K49/$G49,0)</f>
        <v>64.444444444444443</v>
      </c>
      <c r="O49" s="862"/>
      <c r="P49" s="874">
        <f>IF(AND($G49&gt;$Q$3-1,$G49-$H49&gt;0),M49,0)</f>
        <v>58.333333333333336</v>
      </c>
      <c r="Q49" s="875">
        <f>IF(AND($G49&gt;$Q$3-1,$G49-$H49&gt;0),N49,0)</f>
        <v>64.444444444444443</v>
      </c>
      <c r="R49" s="613"/>
      <c r="S49" s="628">
        <f>_xlfn.XLOOKUP($E49,'Løp 1'!$E$10:$E$90,'Løp 1'!$M$10:$M$90,0)</f>
        <v>0</v>
      </c>
      <c r="T49" s="629">
        <f>_xlfn.XLOOKUP($E49,'Løp 1'!$E$10:$E$90,'Løp 1'!$O$10:$O$90,0)</f>
        <v>0</v>
      </c>
      <c r="U49" s="629">
        <f>_xlfn.XLOOKUP($E49,'Løp 1'!$E$10:$E$90,'Løp 1'!$L$10:$L$90,0)</f>
        <v>0</v>
      </c>
      <c r="V49" s="628">
        <f>_xlfn.XLOOKUP($E49,'Løp 2'!$E$10:$E$90,'Løp 2'!$M$10:$M$90,0)</f>
        <v>0</v>
      </c>
      <c r="W49" s="629">
        <f>_xlfn.XLOOKUP($E49,'Løp 2'!$E$10:$E$90,'Løp 2'!$O$10:$O$90,0)</f>
        <v>0</v>
      </c>
      <c r="X49" s="629">
        <f>_xlfn.XLOOKUP($E49,'Løp 2'!$E$10:$E$90,'Løp 2'!$L$10:$L$90,0)</f>
        <v>0</v>
      </c>
      <c r="Y49" s="628">
        <f>_xlfn.XLOOKUP($E49,'Løp 3'!$E$10:$E$90,'Løp 3'!$M$10:$M$90,0)</f>
        <v>0</v>
      </c>
      <c r="Z49" s="629">
        <f>_xlfn.XLOOKUP($E49,'Løp 3'!$E$10:$E$90,'Løp 3'!$O$10:$O$90,0)</f>
        <v>0</v>
      </c>
      <c r="AA49" s="629">
        <f>_xlfn.XLOOKUP($E49,'Løp 3'!$E$10:$E$90,'Løp 3'!$L$10:$L$90,0)</f>
        <v>0</v>
      </c>
      <c r="AB49" s="628">
        <f>_xlfn.XLOOKUP($E49,'Løp 4'!$E$10:$E$90,'Løp 4'!$M$10:$M$90,0)</f>
        <v>50</v>
      </c>
      <c r="AC49" s="629">
        <f>_xlfn.XLOOKUP($E49,'Løp 4'!$E$10:$E$90,'Løp 4'!$O$10:$O$90,0)</f>
        <v>60</v>
      </c>
      <c r="AD49" s="629">
        <f>_xlfn.XLOOKUP($E49,'Løp 4'!$E$10:$E$90,'Løp 4'!$L$10:$L$90,0)</f>
        <v>1.5368357487922707E-2</v>
      </c>
      <c r="AE49" s="628">
        <f>_xlfn.XLOOKUP($E49,'Løp 5'!$E$10:$E$90,'Løp 5'!$M$10:$M$90,0)</f>
        <v>0</v>
      </c>
      <c r="AF49" s="629">
        <f>_xlfn.XLOOKUP($E49,'Løp 5'!$E$10:$E$90,'Løp 5'!$O$10:$O$90,0)</f>
        <v>0</v>
      </c>
      <c r="AG49" s="629">
        <f>_xlfn.XLOOKUP($E49,'Løp 5'!$E$10:$E$90,'Løp 5'!$L$10:$L$90,0)</f>
        <v>0</v>
      </c>
      <c r="AH49" s="628">
        <f>_xlfn.XLOOKUP($E49,'Løp 6'!$E$10:$E$90,'Løp 6'!$M$10:$M$90,0)</f>
        <v>65</v>
      </c>
      <c r="AI49" s="629">
        <f>_xlfn.XLOOKUP($E49,'Løp 6'!$E$10:$E$90,'Løp 6'!$O$10:$O$90,0)</f>
        <v>81</v>
      </c>
      <c r="AJ49" s="629">
        <f>_xlfn.XLOOKUP($E49,'Løp 6'!$E$10:$E$90,'Løp 6'!$L$10:$L$90,0)</f>
        <v>1.2084694989106755E-2</v>
      </c>
      <c r="AK49" s="628">
        <f>_xlfn.XLOOKUP($E49,'Løp 7'!$E$10:$E$90,'Løp 7'!$M$10:$M$90,0)</f>
        <v>0</v>
      </c>
      <c r="AL49" s="629">
        <f>_xlfn.XLOOKUP($E49,'Løp 7'!$E$10:$E$90,'Løp 7'!$O$10:$O$90,0)</f>
        <v>0</v>
      </c>
      <c r="AM49" s="629">
        <f>_xlfn.XLOOKUP($E49,'Løp 7'!$E$10:$E$90,'Løp 7'!$L$10:$L$90,0)</f>
        <v>0</v>
      </c>
      <c r="AN49" s="628">
        <f>_xlfn.XLOOKUP($E49,'Løp 8'!$E$10:$E$91,'Løp 8'!$M$10:$M$91,0)</f>
        <v>0</v>
      </c>
      <c r="AO49" s="629">
        <f>_xlfn.XLOOKUP($E49,'Løp 8'!$E$10:$E$91,'Løp 8'!$O$10:$O$91,0)</f>
        <v>0</v>
      </c>
      <c r="AP49" s="629">
        <f>_xlfn.XLOOKUP($E49,'Løp 8'!$E$10:$E$91,'Løp 8'!$L$10:$L$91,0)</f>
        <v>0</v>
      </c>
      <c r="AQ49" s="628">
        <f>_xlfn.XLOOKUP($E49,'Løp 9'!$E$10:$E$91,'Løp 9'!$M$10:$M$91,0)</f>
        <v>0</v>
      </c>
      <c r="AR49" s="629">
        <f>_xlfn.XLOOKUP($E49,'Løp 9'!$E$10:$E$91,'Løp 9'!$O$10:$O$91,0)</f>
        <v>0</v>
      </c>
      <c r="AS49" s="629">
        <f>_xlfn.XLOOKUP($E49,'Løp 9'!$E$10:$E$91,'Løp 9'!$L$10:$L$91,0)</f>
        <v>0</v>
      </c>
      <c r="AT49" s="628">
        <f>_xlfn.XLOOKUP($E49,'Løp 10'!$E$10:$E$91,'Løp 10'!$M$10:$M$91,0)</f>
        <v>53</v>
      </c>
      <c r="AU49" s="629">
        <f>_xlfn.XLOOKUP($E49,'Løp 10'!$E$10:$E$91,'Løp 10'!$O$10:$O$91,0)</f>
        <v>66</v>
      </c>
      <c r="AV49" s="629">
        <f>_xlfn.XLOOKUP($E49,'Løp 10'!$E$10:$E$91,'Løp 10'!$L$10:$L$91,0)</f>
        <v>1.3917824074074072E-2</v>
      </c>
      <c r="AW49" s="628">
        <f>_xlfn.XLOOKUP($E49,'Løp 11'!$E$10:$E$91,'Løp 11'!$M$10:$M$91,0)</f>
        <v>0</v>
      </c>
      <c r="AX49" s="629">
        <f>_xlfn.XLOOKUP($E49,'Løp 11'!$E$10:$E$91,'Løp 11'!$O$10:$O$91,0)</f>
        <v>0</v>
      </c>
      <c r="AY49" s="629">
        <f>_xlfn.XLOOKUP($E49,'Løp 11'!$E$10:$E$91,'Løp 11'!$L$10:$L$91,0)</f>
        <v>0</v>
      </c>
      <c r="AZ49" s="628">
        <f>_xlfn.XLOOKUP($E49,'Løp 12'!$E$10:$E$91,'Løp 12'!$M$10:$M$91,0)</f>
        <v>0</v>
      </c>
      <c r="BA49" s="629">
        <f>_xlfn.XLOOKUP($E49,'Løp 12'!$E$10:$E$91,'Løp 12'!$O$10:$O$91,0)</f>
        <v>0</v>
      </c>
      <c r="BB49" s="629">
        <f>_xlfn.XLOOKUP($E49,'Løp 12'!$E$10:$E$91,'Løp 12'!$L$10:$L$91,0)</f>
        <v>0</v>
      </c>
      <c r="BC49" s="628">
        <f>_xlfn.XLOOKUP($E49,'Løp 13'!$E$10:$E$91,'Løp 13'!$M$10:$M$91,0)</f>
        <v>0</v>
      </c>
      <c r="BD49" s="629">
        <f>_xlfn.XLOOKUP($E49,'Løp 13'!$E$10:$E$91,'Løp 13'!$O$10:$O$91,0)</f>
        <v>0</v>
      </c>
      <c r="BE49" s="629">
        <f>_xlfn.XLOOKUP($E49,'Løp 13'!$E$10:$E$91,'Løp 13'!$L$10:$L$91,0)</f>
        <v>0</v>
      </c>
      <c r="BF49" s="628">
        <f>_xlfn.XLOOKUP($E49,'Løp 14'!$E$10:$E$91,'Løp 14'!$M$10:$M$91,0)</f>
        <v>0</v>
      </c>
      <c r="BG49" s="629">
        <f>_xlfn.XLOOKUP($E49,'Løp 14'!$E$10:$E$91,'Løp 14'!$O$10:$O$91,0)</f>
        <v>0</v>
      </c>
      <c r="BH49" s="629">
        <f>_xlfn.XLOOKUP($E49,'Løp 14'!$E$10:$E$91,'Løp 14'!$L$10:$L$91,0)</f>
        <v>0</v>
      </c>
      <c r="BI49" s="628">
        <f>_xlfn.XLOOKUP($E49,'Løp 15'!$E$10:$E$91,'Løp 15'!$M$10:$M$91,0)</f>
        <v>0</v>
      </c>
      <c r="BJ49" s="629">
        <f>_xlfn.XLOOKUP($E49,'Løp 15'!$E$10:$E$91,'Løp 15'!$O$10:$O$91,0)</f>
        <v>0</v>
      </c>
      <c r="BK49" s="629">
        <f>_xlfn.XLOOKUP($E49,'Løp 15'!$E$10:$E$91,'Løp 15'!$L$10:$L$91,0)</f>
        <v>0</v>
      </c>
      <c r="BL49" s="628">
        <f>_xlfn.XLOOKUP($E49,'Løp 16'!$E$10:$E$91,'Løp 16'!$M$10:$M$91,0)</f>
        <v>50</v>
      </c>
      <c r="BM49" s="629">
        <f>_xlfn.XLOOKUP($E49,'Løp 16'!$E$10:$E$91,'Løp 16'!$O$10:$O$91,0)</f>
        <v>50</v>
      </c>
      <c r="BN49" s="629" t="str">
        <f>_xlfn.XLOOKUP($E49,'Løp 16'!$E$10:$E$91,'Løp 16'!$L$10:$L$91,0)</f>
        <v>Disk</v>
      </c>
      <c r="BO49" s="628">
        <f>_xlfn.XLOOKUP($E49,'Løp 17'!$E$10:$E$91,'Løp 17'!$M$10:$M$91,0)</f>
        <v>50</v>
      </c>
      <c r="BP49" s="629">
        <f>_xlfn.XLOOKUP($E49,'Løp 17'!$E$10:$E$91,'Løp 17'!$O$10:$O$91,0)</f>
        <v>50</v>
      </c>
      <c r="BQ49" s="629" t="str">
        <f>_xlfn.XLOOKUP($E49,'Løp 17'!$E$10:$E$91,'Løp 17'!$L$10:$L$91,0)</f>
        <v>Brutt</v>
      </c>
      <c r="BR49" s="628">
        <f>_xlfn.XLOOKUP($E49,'Løp 18'!$E$10:$E$91,'Løp 18'!$M$10:$M$91,0)</f>
        <v>0</v>
      </c>
      <c r="BS49" s="629">
        <f>_xlfn.XLOOKUP($E49,'Løp 18'!$E$10:$E$91,'Løp 18'!$O$10:$O$91,0)</f>
        <v>0</v>
      </c>
      <c r="BT49" s="629">
        <f>_xlfn.XLOOKUP($E49,'Løp 18'!$E$10:$E$91,'Løp 18'!$L$10:$L$91,0)</f>
        <v>0</v>
      </c>
      <c r="BU49" s="628">
        <f>_xlfn.XLOOKUP($E49,'Løp 19'!$E$10:$E$91,'Løp 19'!$M$10:$M$91,0)</f>
        <v>0</v>
      </c>
      <c r="BV49" s="629">
        <f>_xlfn.XLOOKUP($E49,'Løp 19'!$E$10:$E$91,'Løp 19'!$O$10:$O$91,0)</f>
        <v>0</v>
      </c>
      <c r="BW49" s="629">
        <f>_xlfn.XLOOKUP($E49,'Løp 19'!$E$10:$E$91,'Løp 19'!$L$10:$L$91,0)</f>
        <v>0</v>
      </c>
      <c r="BX49" s="628">
        <f>_xlfn.XLOOKUP($E49,'Løp 20'!$E$10:$E$92,'Løp 20'!$M$10:$M$92,0)</f>
        <v>0</v>
      </c>
      <c r="BY49" s="629">
        <f>_xlfn.XLOOKUP($E49,'Løp 20'!$E$10:$E$92,'Løp 20'!$O$10:$O$92,0)</f>
        <v>0</v>
      </c>
      <c r="BZ49" s="629">
        <f>_xlfn.XLOOKUP($E49,'Løp 20'!$E$10:$E$92,'Løp 20'!$L$10:$L$92,0)</f>
        <v>0</v>
      </c>
      <c r="CA49" s="628">
        <f>_xlfn.XLOOKUP($E49,'Løp 21'!$E$10:$E$93,'Løp 21'!$M$10:$M$93,0)</f>
        <v>0</v>
      </c>
      <c r="CB49" s="629">
        <f>_xlfn.XLOOKUP($E49,'Løp 21'!$E$10:$E$93,'Løp 21'!$O$10:$O$93,0)</f>
        <v>0</v>
      </c>
      <c r="CC49" s="629">
        <f>_xlfn.XLOOKUP($E49,'Løp 21'!$E$10:$E$93,'Løp 21'!$L$10:$L$93,0)</f>
        <v>0</v>
      </c>
      <c r="CD49" s="628">
        <f>_xlfn.XLOOKUP($E49,'Løp 22'!$E$10:$E$93,'Løp 22'!$M$10:$M$93,0)</f>
        <v>0</v>
      </c>
      <c r="CE49" s="629">
        <f>_xlfn.XLOOKUP($E49,'Løp 22'!$E$10:$E$93,'Løp 22'!$O$10:$O$93,0)</f>
        <v>0</v>
      </c>
      <c r="CF49" s="629">
        <f>_xlfn.XLOOKUP($E49,'Løp 22'!$E$10:$E$93,'Løp 22'!$L$10:$L$93,0)</f>
        <v>0</v>
      </c>
      <c r="CG49" s="628">
        <f>_xlfn.XLOOKUP($E49,'Løp 23'!$E$10:$E$93,'Løp 23'!$M$10:$M$93,0)</f>
        <v>50</v>
      </c>
      <c r="CH49" s="629">
        <f>_xlfn.XLOOKUP($E49,'Løp 23'!$E$10:$E$93,'Løp 23'!$O$10:$O$93,0)</f>
        <v>50</v>
      </c>
      <c r="CI49" s="629">
        <f>_xlfn.XLOOKUP($E49,'Løp 23'!$E$10:$E$93,'Løp 23'!$L$10:$L$93,0)</f>
        <v>1.413966049382716E-2</v>
      </c>
      <c r="CJ49" s="628">
        <f>_xlfn.XLOOKUP($E49,'Løp 24'!$E$10:$E$93,'Løp 24'!$M$10:$M$93,0)</f>
        <v>0</v>
      </c>
      <c r="CK49" s="629">
        <f>_xlfn.XLOOKUP($E49,'Løp 24'!$E$10:$E$93,'Løp 24'!$O$10:$O$93,0)</f>
        <v>0</v>
      </c>
      <c r="CL49" s="629">
        <f>_xlfn.XLOOKUP($E49,'Løp 24'!$E$10:$E$93,'Løp 24'!$L$10:$L$93,0)</f>
        <v>0</v>
      </c>
      <c r="CM49" s="628">
        <f>_xlfn.XLOOKUP($E49,'Løp 25'!$E$10:$E$94,'Løp 25'!$M$10:$M$94,0)</f>
        <v>0</v>
      </c>
      <c r="CN49" s="629">
        <f>_xlfn.XLOOKUP($E49,'Løp 25'!$E$10:$E$94,'Løp 25'!$O$10:$O$94,0)</f>
        <v>0</v>
      </c>
      <c r="CO49" s="629">
        <f>_xlfn.XLOOKUP($E49,'Løp 25'!$E$10:$E$94,'Løp 25'!$L$10:$L$94,0)</f>
        <v>0</v>
      </c>
      <c r="CP49" s="628">
        <f>_xlfn.XLOOKUP($E49,'Løp 26'!$E$10:$E$94,'Løp 26'!$M$10:$M$94,0)</f>
        <v>94</v>
      </c>
      <c r="CQ49" s="629">
        <f>_xlfn.XLOOKUP($E49,'Løp 26'!$E$10:$E$94,'Løp 26'!$O$10:$O$94,0)</f>
        <v>94</v>
      </c>
      <c r="CR49" s="629" t="str">
        <f>_xlfn.XLOOKUP($E49,'Løp 26'!$E$10:$E$94,'Løp 26'!$L$10:$L$94,0)</f>
        <v>Arr</v>
      </c>
      <c r="CS49" s="628">
        <f>_xlfn.XLOOKUP($E49,'Løp 27'!$E$10:$E$94,'Løp 27'!$M$10:$M$94,0)</f>
        <v>0</v>
      </c>
      <c r="CT49" s="629">
        <f>_xlfn.XLOOKUP($E49,'Løp 27'!$E$10:$E$94,'Løp 27'!$O$10:$O$94,0)</f>
        <v>0</v>
      </c>
      <c r="CU49" s="629">
        <f>_xlfn.XLOOKUP($E49,'Løp 27'!$E$10:$E$94,'Løp 27'!$L$10:$L$94,0)</f>
        <v>0</v>
      </c>
      <c r="CV49" s="628">
        <f>_xlfn.XLOOKUP($E49,'Løp 28'!$E$10:$E$95,'Løp 28'!$M$10:$M$95,0)</f>
        <v>50</v>
      </c>
      <c r="CW49" s="629">
        <f>_xlfn.XLOOKUP($E49,'Løp 28'!$E$10:$E$95,'Løp 28'!$O$10:$O$95,0)</f>
        <v>51</v>
      </c>
      <c r="CX49" s="629">
        <f>_xlfn.XLOOKUP($E49,'Løp 28'!$E$10:$E$95,'Løp 28'!$L$10:$L$95,0)</f>
        <v>1.7199074074074075E-2</v>
      </c>
      <c r="CY49" s="628">
        <f>_xlfn.XLOOKUP($E49,'Løp 29'!$E$10:$E$95,'Løp 29'!$M$10:$M$95,0)</f>
        <v>63</v>
      </c>
      <c r="CZ49" s="629">
        <f>_xlfn.XLOOKUP($E49,'Løp 29'!$E$10:$E$95,'Løp 29'!$O$10:$O$95,0)</f>
        <v>78</v>
      </c>
      <c r="DA49" s="629">
        <f>_xlfn.XLOOKUP($E49,'Løp 29'!$E$10:$E$95,'Løp 29'!$L$10:$L$95,0)</f>
        <v>1.1559606481481481E-2</v>
      </c>
    </row>
    <row r="50" spans="2:105" ht="26" thickBot="1" x14ac:dyDescent="0.3">
      <c r="B50" s="627">
        <f t="shared" si="0"/>
        <v>41</v>
      </c>
      <c r="C50" s="119" t="s">
        <v>63</v>
      </c>
      <c r="D50" s="620" t="s">
        <v>336</v>
      </c>
      <c r="E50" s="616" t="str">
        <f>_xlfn.CONCAT(C50:D50)</f>
        <v>ToreFornes</v>
      </c>
      <c r="F50" s="610"/>
      <c r="G50" s="653">
        <f>COUNTIF(S50:DA50,"&gt;2")/2</f>
        <v>25</v>
      </c>
      <c r="H50" s="852">
        <f>COUNTIF(S50:DA50,"=Løype")+COUNTIF(S50:DA50,"Arr")</f>
        <v>1</v>
      </c>
      <c r="I50" s="610"/>
      <c r="J50" s="632">
        <f>S50+V50+Y50+AB50+AE50+AH50+AK50+AN50+AQ50+AT50+AW50+AZ50+BC50+BF50+BI50+BL50+BO50+BR50+BU50+BX50+CA50+CD50+CG50+CJ50+CM50+CP50+CS50+CV50+CY50</f>
        <v>1945</v>
      </c>
      <c r="K50" s="633">
        <f>T50+W50+Z50+AC50+AF50+AI50+AL50+AO50+AR50+AU50+AX50+BA50+BD50+BG50+BJ50+BM50+BP50+BS50+BV50+BY50+CB50+CE50+CH50+CK50+CN50+CQ50+CT50+CW50+CZ50</f>
        <v>1601</v>
      </c>
      <c r="L50" s="613"/>
      <c r="M50" s="658">
        <f>IF($G50&gt;0,J50/G50,0)</f>
        <v>77.8</v>
      </c>
      <c r="N50" s="659">
        <f>IF($G50&gt;0,K50/$G50,0)</f>
        <v>64.040000000000006</v>
      </c>
      <c r="O50" s="862"/>
      <c r="P50" s="874">
        <f>IF(AND($G50&gt;$Q$3-1,$G50-$H50&gt;0),M50,0)</f>
        <v>77.8</v>
      </c>
      <c r="Q50" s="875">
        <f>IF(AND($G50&gt;$Q$3-1,$G50-$H50&gt;0),N50,0)</f>
        <v>64.040000000000006</v>
      </c>
      <c r="R50" s="613"/>
      <c r="S50" s="628">
        <f>_xlfn.XLOOKUP($E50,'Løp 1'!$E$10:$E$90,'Løp 1'!$M$10:$M$90,0)</f>
        <v>0</v>
      </c>
      <c r="T50" s="629">
        <f>_xlfn.XLOOKUP($E50,'Løp 1'!$E$10:$E$90,'Løp 1'!$O$10:$O$90,0)</f>
        <v>0</v>
      </c>
      <c r="U50" s="629">
        <f>_xlfn.XLOOKUP($E50,'Løp 1'!$E$10:$E$90,'Løp 1'!$L$10:$L$90,0)</f>
        <v>0</v>
      </c>
      <c r="V50" s="628">
        <f>_xlfn.XLOOKUP($E50,'Løp 2'!$E$10:$E$90,'Løp 2'!$M$10:$M$90,0)</f>
        <v>81</v>
      </c>
      <c r="W50" s="629">
        <f>_xlfn.XLOOKUP($E50,'Løp 2'!$E$10:$E$90,'Løp 2'!$O$10:$O$90,0)</f>
        <v>58</v>
      </c>
      <c r="X50" s="629">
        <f>_xlfn.XLOOKUP($E50,'Løp 2'!$E$10:$E$90,'Løp 2'!$L$10:$L$90,0)</f>
        <v>1.1061507936507937E-2</v>
      </c>
      <c r="Y50" s="628">
        <f>_xlfn.XLOOKUP($E50,'Løp 3'!$E$10:$E$90,'Løp 3'!$M$10:$M$90,0)</f>
        <v>73</v>
      </c>
      <c r="Z50" s="629">
        <f>_xlfn.XLOOKUP($E50,'Løp 3'!$E$10:$E$90,'Løp 3'!$O$10:$O$90,0)</f>
        <v>58</v>
      </c>
      <c r="AA50" s="629">
        <f>_xlfn.XLOOKUP($E50,'Løp 3'!$E$10:$E$90,'Løp 3'!$L$10:$L$90,0)</f>
        <v>1.2364417989417989E-2</v>
      </c>
      <c r="AB50" s="628">
        <f>_xlfn.XLOOKUP($E50,'Løp 4'!$E$10:$E$90,'Løp 4'!$M$10:$M$90,0)</f>
        <v>73</v>
      </c>
      <c r="AC50" s="629">
        <f>_xlfn.XLOOKUP($E50,'Løp 4'!$E$10:$E$90,'Løp 4'!$O$10:$O$90,0)</f>
        <v>65</v>
      </c>
      <c r="AD50" s="629">
        <f>_xlfn.XLOOKUP($E50,'Løp 4'!$E$10:$E$90,'Løp 4'!$L$10:$L$90,0)</f>
        <v>9.5756172839506163E-3</v>
      </c>
      <c r="AE50" s="628">
        <f>_xlfn.XLOOKUP($E50,'Løp 5'!$E$10:$E$90,'Løp 5'!$M$10:$M$90,0)</f>
        <v>72</v>
      </c>
      <c r="AF50" s="629">
        <f>_xlfn.XLOOKUP($E50,'Løp 5'!$E$10:$E$90,'Løp 5'!$O$10:$O$90,0)</f>
        <v>59</v>
      </c>
      <c r="AG50" s="629">
        <f>_xlfn.XLOOKUP($E50,'Løp 5'!$E$10:$E$90,'Løp 5'!$L$10:$L$90,0)</f>
        <v>1.0026577503429356E-2</v>
      </c>
      <c r="AH50" s="628">
        <f>_xlfn.XLOOKUP($E50,'Løp 6'!$E$10:$E$90,'Løp 6'!$M$10:$M$90,0)</f>
        <v>80</v>
      </c>
      <c r="AI50" s="629">
        <f>_xlfn.XLOOKUP($E50,'Løp 6'!$E$10:$E$90,'Løp 6'!$O$10:$O$90,0)</f>
        <v>68</v>
      </c>
      <c r="AJ50" s="629">
        <f>_xlfn.XLOOKUP($E50,'Løp 6'!$E$10:$E$90,'Løp 6'!$L$10:$L$90,0)</f>
        <v>9.7337962962962959E-3</v>
      </c>
      <c r="AK50" s="628">
        <f>_xlfn.XLOOKUP($E50,'Løp 7'!$E$10:$E$90,'Løp 7'!$M$10:$M$90,0)</f>
        <v>87</v>
      </c>
      <c r="AL50" s="629">
        <f>_xlfn.XLOOKUP($E50,'Løp 7'!$E$10:$E$90,'Løp 7'!$O$10:$O$90,0)</f>
        <v>60</v>
      </c>
      <c r="AM50" s="629">
        <f>_xlfn.XLOOKUP($E50,'Løp 7'!$E$10:$E$90,'Løp 7'!$L$10:$L$90,0)</f>
        <v>1.9388440860215052E-2</v>
      </c>
      <c r="AN50" s="628">
        <f>_xlfn.XLOOKUP($E50,'Løp 8'!$E$10:$E$91,'Løp 8'!$M$10:$M$91,0)</f>
        <v>82</v>
      </c>
      <c r="AO50" s="629">
        <f>_xlfn.XLOOKUP($E50,'Løp 8'!$E$10:$E$91,'Løp 8'!$O$10:$O$91,0)</f>
        <v>57</v>
      </c>
      <c r="AP50" s="629">
        <f>_xlfn.XLOOKUP($E50,'Løp 8'!$E$10:$E$91,'Løp 8'!$L$10:$L$91,0)</f>
        <v>1.0432449494949494E-2</v>
      </c>
      <c r="AQ50" s="628">
        <f>_xlfn.XLOOKUP($E50,'Løp 9'!$E$10:$E$91,'Løp 9'!$M$10:$M$91,0)</f>
        <v>76</v>
      </c>
      <c r="AR50" s="629">
        <f>_xlfn.XLOOKUP($E50,'Løp 9'!$E$10:$E$91,'Løp 9'!$O$10:$O$91,0)</f>
        <v>56</v>
      </c>
      <c r="AS50" s="629">
        <f>_xlfn.XLOOKUP($E50,'Løp 9'!$E$10:$E$91,'Løp 9'!$L$10:$L$91,0)</f>
        <v>8.9904420549581834E-3</v>
      </c>
      <c r="AT50" s="628">
        <f>_xlfn.XLOOKUP($E50,'Løp 10'!$E$10:$E$91,'Løp 10'!$M$10:$M$91,0)</f>
        <v>78</v>
      </c>
      <c r="AU50" s="629">
        <f>_xlfn.XLOOKUP($E50,'Løp 10'!$E$10:$E$91,'Løp 10'!$O$10:$O$91,0)</f>
        <v>65</v>
      </c>
      <c r="AV50" s="629">
        <f>_xlfn.XLOOKUP($E50,'Løp 10'!$E$10:$E$91,'Løp 10'!$L$10:$L$91,0)</f>
        <v>9.5078875171467764E-3</v>
      </c>
      <c r="AW50" s="628">
        <f>_xlfn.XLOOKUP($E50,'Løp 11'!$E$10:$E$91,'Løp 11'!$M$10:$M$91,0)</f>
        <v>72</v>
      </c>
      <c r="AX50" s="629">
        <f>_xlfn.XLOOKUP($E50,'Løp 11'!$E$10:$E$91,'Løp 11'!$O$10:$O$91,0)</f>
        <v>61</v>
      </c>
      <c r="AY50" s="629">
        <f>_xlfn.XLOOKUP($E50,'Løp 11'!$E$10:$E$91,'Løp 11'!$L$10:$L$91,0)</f>
        <v>1.0127314814814813E-2</v>
      </c>
      <c r="AZ50" s="628">
        <f>_xlfn.XLOOKUP($E50,'Løp 12'!$E$10:$E$91,'Løp 12'!$M$10:$M$91,0)</f>
        <v>0</v>
      </c>
      <c r="BA50" s="629">
        <f>_xlfn.XLOOKUP($E50,'Løp 12'!$E$10:$E$91,'Løp 12'!$O$10:$O$91,0)</f>
        <v>0</v>
      </c>
      <c r="BB50" s="629">
        <f>_xlfn.XLOOKUP($E50,'Løp 12'!$E$10:$E$91,'Løp 12'!$L$10:$L$91,0)</f>
        <v>0</v>
      </c>
      <c r="BC50" s="628">
        <f>_xlfn.XLOOKUP($E50,'Løp 13'!$E$10:$E$91,'Løp 13'!$M$10:$M$91,0)</f>
        <v>71</v>
      </c>
      <c r="BD50" s="629">
        <f>_xlfn.XLOOKUP($E50,'Løp 13'!$E$10:$E$91,'Løp 13'!$O$10:$O$91,0)</f>
        <v>69</v>
      </c>
      <c r="BE50" s="629">
        <f>_xlfn.XLOOKUP($E50,'Løp 13'!$E$10:$E$91,'Løp 13'!$L$10:$L$91,0)</f>
        <v>7.6787994891443162E-3</v>
      </c>
      <c r="BF50" s="628">
        <f>_xlfn.XLOOKUP($E50,'Løp 14'!$E$10:$E$91,'Løp 14'!$M$10:$M$91,0)</f>
        <v>74</v>
      </c>
      <c r="BG50" s="629">
        <f>_xlfn.XLOOKUP($E50,'Løp 14'!$E$10:$E$91,'Løp 14'!$O$10:$O$91,0)</f>
        <v>62</v>
      </c>
      <c r="BH50" s="629">
        <f>_xlfn.XLOOKUP($E50,'Løp 14'!$E$10:$E$91,'Løp 14'!$L$10:$L$91,0)</f>
        <v>8.4526909722222217E-3</v>
      </c>
      <c r="BI50" s="628">
        <f>_xlfn.XLOOKUP($E50,'Løp 15'!$E$10:$E$91,'Løp 15'!$M$10:$M$91,0)</f>
        <v>100</v>
      </c>
      <c r="BJ50" s="629">
        <f>_xlfn.XLOOKUP($E50,'Løp 15'!$E$10:$E$91,'Løp 15'!$O$10:$O$91,0)</f>
        <v>100</v>
      </c>
      <c r="BK50" s="629" t="str">
        <f>_xlfn.XLOOKUP($E50,'Løp 15'!$E$10:$E$91,'Løp 15'!$L$10:$L$91,0)</f>
        <v>Løype</v>
      </c>
      <c r="BL50" s="628">
        <f>_xlfn.XLOOKUP($E50,'Løp 16'!$E$10:$E$91,'Løp 16'!$M$10:$M$91,0)</f>
        <v>74</v>
      </c>
      <c r="BM50" s="629">
        <f>_xlfn.XLOOKUP($E50,'Løp 16'!$E$10:$E$91,'Løp 16'!$O$10:$O$91,0)</f>
        <v>64</v>
      </c>
      <c r="BN50" s="629">
        <f>_xlfn.XLOOKUP($E50,'Løp 16'!$E$10:$E$91,'Løp 16'!$L$10:$L$91,0)</f>
        <v>9.1935685685685681E-3</v>
      </c>
      <c r="BO50" s="628">
        <f>_xlfn.XLOOKUP($E50,'Løp 17'!$E$10:$E$91,'Løp 17'!$M$10:$M$91,0)</f>
        <v>75</v>
      </c>
      <c r="BP50" s="629">
        <f>_xlfn.XLOOKUP($E50,'Løp 17'!$E$10:$E$91,'Løp 17'!$O$10:$O$91,0)</f>
        <v>64</v>
      </c>
      <c r="BQ50" s="629">
        <f>_xlfn.XLOOKUP($E50,'Løp 17'!$E$10:$E$91,'Løp 17'!$L$10:$L$91,0)</f>
        <v>8.4650383141762452E-3</v>
      </c>
      <c r="BR50" s="628">
        <f>_xlfn.XLOOKUP($E50,'Løp 18'!$E$10:$E$91,'Løp 18'!$M$10:$M$91,0)</f>
        <v>77</v>
      </c>
      <c r="BS50" s="629">
        <f>_xlfn.XLOOKUP($E50,'Løp 18'!$E$10:$E$91,'Løp 18'!$O$10:$O$91,0)</f>
        <v>61</v>
      </c>
      <c r="BT50" s="629">
        <f>_xlfn.XLOOKUP($E50,'Løp 18'!$E$10:$E$91,'Løp 18'!$L$10:$L$91,0)</f>
        <v>9.3243634259259252E-3</v>
      </c>
      <c r="BU50" s="628">
        <f>_xlfn.XLOOKUP($E50,'Løp 19'!$E$10:$E$91,'Løp 19'!$M$10:$M$91,0)</f>
        <v>83</v>
      </c>
      <c r="BV50" s="629">
        <f>_xlfn.XLOOKUP($E50,'Løp 19'!$E$10:$E$91,'Løp 19'!$O$10:$O$91,0)</f>
        <v>66</v>
      </c>
      <c r="BW50" s="629">
        <f>_xlfn.XLOOKUP($E50,'Løp 19'!$E$10:$E$91,'Løp 19'!$L$10:$L$91,0)</f>
        <v>9.8808299039780511E-3</v>
      </c>
      <c r="BX50" s="628">
        <f>_xlfn.XLOOKUP($E50,'Løp 20'!$E$10:$E$92,'Løp 20'!$M$10:$M$92,0)</f>
        <v>84</v>
      </c>
      <c r="BY50" s="629">
        <f>_xlfn.XLOOKUP($E50,'Løp 20'!$E$10:$E$92,'Løp 20'!$O$10:$O$92,0)</f>
        <v>68</v>
      </c>
      <c r="BZ50" s="629">
        <f>_xlfn.XLOOKUP($E50,'Løp 20'!$E$10:$E$92,'Løp 20'!$L$10:$L$92,0)</f>
        <v>9.2294973544973548E-3</v>
      </c>
      <c r="CA50" s="628">
        <f>_xlfn.XLOOKUP($E50,'Løp 21'!$E$10:$E$93,'Løp 21'!$M$10:$M$93,0)</f>
        <v>81</v>
      </c>
      <c r="CB50" s="629">
        <f>_xlfn.XLOOKUP($E50,'Løp 21'!$E$10:$E$93,'Løp 21'!$O$10:$O$93,0)</f>
        <v>68</v>
      </c>
      <c r="CC50" s="629">
        <f>_xlfn.XLOOKUP($E50,'Løp 21'!$E$10:$E$93,'Løp 21'!$L$10:$L$93,0)</f>
        <v>7.5418160095579445E-3</v>
      </c>
      <c r="CD50" s="628">
        <f>_xlfn.XLOOKUP($E50,'Løp 22'!$E$10:$E$93,'Løp 22'!$M$10:$M$93,0)</f>
        <v>72</v>
      </c>
      <c r="CE50" s="629">
        <f>_xlfn.XLOOKUP($E50,'Løp 22'!$E$10:$E$93,'Løp 22'!$O$10:$O$93,0)</f>
        <v>60</v>
      </c>
      <c r="CF50" s="629">
        <f>_xlfn.XLOOKUP($E50,'Løp 22'!$E$10:$E$93,'Løp 22'!$L$10:$L$93,0)</f>
        <v>9.6866096866096863E-3</v>
      </c>
      <c r="CG50" s="628">
        <f>_xlfn.XLOOKUP($E50,'Løp 23'!$E$10:$E$93,'Løp 23'!$M$10:$M$93,0)</f>
        <v>80</v>
      </c>
      <c r="CH50" s="629">
        <f>_xlfn.XLOOKUP($E50,'Løp 23'!$E$10:$E$93,'Løp 23'!$O$10:$O$93,0)</f>
        <v>67</v>
      </c>
      <c r="CI50" s="629">
        <f>_xlfn.XLOOKUP($E50,'Løp 23'!$E$10:$E$93,'Løp 23'!$L$10:$L$93,0)</f>
        <v>6.4415708812260537E-3</v>
      </c>
      <c r="CJ50" s="628">
        <f>_xlfn.XLOOKUP($E50,'Løp 24'!$E$10:$E$93,'Løp 24'!$M$10:$M$93,0)</f>
        <v>80</v>
      </c>
      <c r="CK50" s="629">
        <f>_xlfn.XLOOKUP($E50,'Løp 24'!$E$10:$E$93,'Løp 24'!$O$10:$O$93,0)</f>
        <v>56</v>
      </c>
      <c r="CL50" s="629">
        <f>_xlfn.XLOOKUP($E50,'Løp 24'!$E$10:$E$93,'Løp 24'!$L$10:$L$93,0)</f>
        <v>6.6718936678614093E-3</v>
      </c>
      <c r="CM50" s="628">
        <f>_xlfn.XLOOKUP($E50,'Løp 25'!$E$10:$E$94,'Løp 25'!$M$10:$M$94,0)</f>
        <v>78</v>
      </c>
      <c r="CN50" s="629">
        <f>_xlfn.XLOOKUP($E50,'Løp 25'!$E$10:$E$94,'Løp 25'!$O$10:$O$94,0)</f>
        <v>65</v>
      </c>
      <c r="CO50" s="629">
        <f>_xlfn.XLOOKUP($E50,'Løp 25'!$E$10:$E$94,'Løp 25'!$L$10:$L$94,0)</f>
        <v>9.291811342592592E-3</v>
      </c>
      <c r="CP50" s="628">
        <f>_xlfn.XLOOKUP($E50,'Løp 26'!$E$10:$E$94,'Løp 26'!$M$10:$M$94,0)</f>
        <v>0</v>
      </c>
      <c r="CQ50" s="629">
        <f>_xlfn.XLOOKUP($E50,'Løp 26'!$E$10:$E$94,'Løp 26'!$O$10:$O$94,0)</f>
        <v>0</v>
      </c>
      <c r="CR50" s="629">
        <f>_xlfn.XLOOKUP($E50,'Løp 26'!$E$10:$E$94,'Løp 26'!$L$10:$L$94,0)</f>
        <v>0</v>
      </c>
      <c r="CS50" s="628">
        <f>_xlfn.XLOOKUP($E50,'Løp 27'!$E$10:$E$94,'Løp 27'!$M$10:$M$94,0)</f>
        <v>78</v>
      </c>
      <c r="CT50" s="629">
        <f>_xlfn.XLOOKUP($E50,'Løp 27'!$E$10:$E$94,'Løp 27'!$O$10:$O$94,0)</f>
        <v>67</v>
      </c>
      <c r="CU50" s="629">
        <f>_xlfn.XLOOKUP($E50,'Løp 27'!$E$10:$E$94,'Løp 27'!$L$10:$L$94,0)</f>
        <v>8.8348765432098748E-3</v>
      </c>
      <c r="CV50" s="628">
        <f>_xlfn.XLOOKUP($E50,'Løp 28'!$E$10:$E$95,'Løp 28'!$M$10:$M$95,0)</f>
        <v>64</v>
      </c>
      <c r="CW50" s="629">
        <f>_xlfn.XLOOKUP($E50,'Løp 28'!$E$10:$E$95,'Løp 28'!$O$10:$O$95,0)</f>
        <v>57</v>
      </c>
      <c r="CX50" s="629">
        <f>_xlfn.XLOOKUP($E50,'Løp 28'!$E$10:$E$95,'Løp 28'!$L$10:$L$95,0)</f>
        <v>1.0371376811594203E-2</v>
      </c>
      <c r="CY50" s="628">
        <f>_xlfn.XLOOKUP($E50,'Løp 29'!$E$10:$E$95,'Løp 29'!$M$10:$M$95,0)</f>
        <v>0</v>
      </c>
      <c r="CZ50" s="629">
        <f>_xlfn.XLOOKUP($E50,'Løp 29'!$E$10:$E$95,'Løp 29'!$O$10:$O$95,0)</f>
        <v>0</v>
      </c>
      <c r="DA50" s="629">
        <f>_xlfn.XLOOKUP($E50,'Løp 29'!$E$10:$E$95,'Løp 29'!$L$10:$L$95,0)</f>
        <v>0</v>
      </c>
    </row>
    <row r="51" spans="2:105" ht="26" customHeight="1" thickBot="1" x14ac:dyDescent="0.3">
      <c r="B51" s="627">
        <f t="shared" si="0"/>
        <v>42</v>
      </c>
      <c r="C51" s="119" t="s">
        <v>309</v>
      </c>
      <c r="D51" s="620" t="s">
        <v>310</v>
      </c>
      <c r="E51" s="616" t="str">
        <f>_xlfn.CONCAT(C51:D51)</f>
        <v>VigdisHeimly</v>
      </c>
      <c r="F51" s="610"/>
      <c r="G51" s="653">
        <f>COUNTIF(S51:DA51,"&gt;2")/2</f>
        <v>8</v>
      </c>
      <c r="H51" s="852">
        <f>COUNTIF(S51:DA51,"=Løype")+COUNTIF(S51:DA51,"Arr")</f>
        <v>0</v>
      </c>
      <c r="I51" s="610"/>
      <c r="J51" s="632">
        <f>S51+V51+Y51+AB51+AE51+AH51+AK51+AN51+AQ51+AT51+AW51+AZ51+BC51+BF51+BI51+BL51+BO51+BR51+BU51+BX51+CA51+CD51+CG51+CJ51+CM51+CP51+CS51+CV51+CY51</f>
        <v>476</v>
      </c>
      <c r="K51" s="633">
        <f>T51+W51+Z51+AC51+AF51+AI51+AL51+AO51+AR51+AU51+AX51+BA51+BD51+BG51+BJ51+BM51+BP51+BS51+BV51+BY51+CB51+CE51+CH51+CK51+CN51+CQ51+CT51+CW51+CZ51</f>
        <v>507</v>
      </c>
      <c r="L51" s="613"/>
      <c r="M51" s="658">
        <f>IF($G51&gt;0,J51/G51,0)</f>
        <v>59.5</v>
      </c>
      <c r="N51" s="659">
        <f>IF($G51&gt;0,K51/$G51,0)</f>
        <v>63.375</v>
      </c>
      <c r="O51" s="862"/>
      <c r="P51" s="874">
        <f>IF(AND($G51&gt;$Q$3-1,$G51-$H51&gt;0),M51,0)</f>
        <v>59.5</v>
      </c>
      <c r="Q51" s="875">
        <f>IF(AND($G51&gt;$Q$3-1,$G51-$H51&gt;0),N51,0)</f>
        <v>63.375</v>
      </c>
      <c r="R51" s="613"/>
      <c r="S51" s="628">
        <f>_xlfn.XLOOKUP($E51,'Løp 1'!$E$10:$E$90,'Løp 1'!$M$10:$M$90,0)</f>
        <v>50</v>
      </c>
      <c r="T51" s="629">
        <f>_xlfn.XLOOKUP($E51,'Løp 1'!$E$10:$E$90,'Løp 1'!$O$10:$O$90,0)</f>
        <v>54</v>
      </c>
      <c r="U51" s="629">
        <f>_xlfn.XLOOKUP($E51,'Løp 1'!$E$10:$E$90,'Løp 1'!$L$10:$L$90,0)</f>
        <v>1.7543859649122806E-2</v>
      </c>
      <c r="V51" s="628">
        <f>_xlfn.XLOOKUP($E51,'Løp 2'!$E$10:$E$90,'Løp 2'!$M$10:$M$90,0)</f>
        <v>52</v>
      </c>
      <c r="W51" s="629">
        <f>_xlfn.XLOOKUP($E51,'Løp 2'!$E$10:$E$90,'Løp 2'!$O$10:$O$90,0)</f>
        <v>50</v>
      </c>
      <c r="X51" s="629">
        <f>_xlfn.XLOOKUP($E51,'Løp 2'!$E$10:$E$90,'Løp 2'!$L$10:$L$90,0)</f>
        <v>1.7314814814814814E-2</v>
      </c>
      <c r="Y51" s="628">
        <f>_xlfn.XLOOKUP($E51,'Løp 3'!$E$10:$E$90,'Løp 3'!$M$10:$M$90,0)</f>
        <v>69</v>
      </c>
      <c r="Z51" s="629">
        <f>_xlfn.XLOOKUP($E51,'Løp 3'!$E$10:$E$90,'Løp 3'!$O$10:$O$90,0)</f>
        <v>75</v>
      </c>
      <c r="AA51" s="629">
        <f>_xlfn.XLOOKUP($E51,'Løp 3'!$E$10:$E$90,'Løp 3'!$L$10:$L$90,0)</f>
        <v>1.3078703703703703E-2</v>
      </c>
      <c r="AB51" s="628">
        <f>_xlfn.XLOOKUP($E51,'Løp 4'!$E$10:$E$90,'Løp 4'!$M$10:$M$90,0)</f>
        <v>53</v>
      </c>
      <c r="AC51" s="629">
        <f>_xlfn.XLOOKUP($E51,'Løp 4'!$E$10:$E$90,'Løp 4'!$O$10:$O$90,0)</f>
        <v>65</v>
      </c>
      <c r="AD51" s="629">
        <f>_xlfn.XLOOKUP($E51,'Løp 4'!$E$10:$E$90,'Løp 4'!$L$10:$L$90,0)</f>
        <v>1.3018317230273753E-2</v>
      </c>
      <c r="AE51" s="628">
        <f>_xlfn.XLOOKUP($E51,'Løp 5'!$E$10:$E$90,'Løp 5'!$M$10:$M$90,0)</f>
        <v>58</v>
      </c>
      <c r="AF51" s="629">
        <f>_xlfn.XLOOKUP($E51,'Løp 5'!$E$10:$E$90,'Løp 5'!$O$10:$O$90,0)</f>
        <v>65</v>
      </c>
      <c r="AG51" s="629">
        <f>_xlfn.XLOOKUP($E51,'Løp 5'!$E$10:$E$90,'Løp 5'!$L$10:$L$90,0)</f>
        <v>1.2452846364883401E-2</v>
      </c>
      <c r="AH51" s="628">
        <f>_xlfn.XLOOKUP($E51,'Løp 6'!$E$10:$E$90,'Løp 6'!$M$10:$M$90,0)</f>
        <v>65</v>
      </c>
      <c r="AI51" s="629">
        <f>_xlfn.XLOOKUP($E51,'Løp 6'!$E$10:$E$90,'Løp 6'!$O$10:$O$90,0)</f>
        <v>75</v>
      </c>
      <c r="AJ51" s="629">
        <f>_xlfn.XLOOKUP($E51,'Løp 6'!$E$10:$E$90,'Løp 6'!$L$10:$L$90,0)</f>
        <v>1.2057461873638344E-2</v>
      </c>
      <c r="AK51" s="628">
        <f>_xlfn.XLOOKUP($E51,'Løp 7'!$E$10:$E$90,'Løp 7'!$M$10:$M$90,0)</f>
        <v>69</v>
      </c>
      <c r="AL51" s="629">
        <f>_xlfn.XLOOKUP($E51,'Løp 7'!$E$10:$E$90,'Løp 7'!$O$10:$O$90,0)</f>
        <v>65</v>
      </c>
      <c r="AM51" s="629">
        <f>_xlfn.XLOOKUP($E51,'Løp 7'!$E$10:$E$90,'Løp 7'!$L$10:$L$90,0)</f>
        <v>2.4305555555555552E-2</v>
      </c>
      <c r="AN51" s="628">
        <f>_xlfn.XLOOKUP($E51,'Løp 8'!$E$10:$E$91,'Løp 8'!$M$10:$M$91,0)</f>
        <v>60</v>
      </c>
      <c r="AO51" s="629">
        <f>_xlfn.XLOOKUP($E51,'Løp 8'!$E$10:$E$91,'Løp 8'!$O$10:$O$91,0)</f>
        <v>58</v>
      </c>
      <c r="AP51" s="629">
        <f>_xlfn.XLOOKUP($E51,'Løp 8'!$E$10:$E$91,'Løp 8'!$L$10:$L$91,0)</f>
        <v>1.4151234567901233E-2</v>
      </c>
      <c r="AQ51" s="628">
        <f>_xlfn.XLOOKUP($E51,'Løp 9'!$E$10:$E$91,'Løp 9'!$M$10:$M$91,0)</f>
        <v>0</v>
      </c>
      <c r="AR51" s="629">
        <f>_xlfn.XLOOKUP($E51,'Løp 9'!$E$10:$E$91,'Løp 9'!$O$10:$O$91,0)</f>
        <v>0</v>
      </c>
      <c r="AS51" s="629">
        <f>_xlfn.XLOOKUP($E51,'Løp 9'!$E$10:$E$91,'Løp 9'!$L$10:$L$91,0)</f>
        <v>0</v>
      </c>
      <c r="AT51" s="628">
        <f>_xlfn.XLOOKUP($E51,'Løp 10'!$E$10:$E$91,'Løp 10'!$M$10:$M$91,0)</f>
        <v>0</v>
      </c>
      <c r="AU51" s="629">
        <f>_xlfn.XLOOKUP($E51,'Løp 10'!$E$10:$E$91,'Løp 10'!$O$10:$O$91,0)</f>
        <v>0</v>
      </c>
      <c r="AV51" s="629">
        <f>_xlfn.XLOOKUP($E51,'Løp 10'!$E$10:$E$91,'Løp 10'!$L$10:$L$91,0)</f>
        <v>0</v>
      </c>
      <c r="AW51" s="628">
        <f>_xlfn.XLOOKUP($E51,'Løp 11'!$E$10:$E$91,'Løp 11'!$M$10:$M$91,0)</f>
        <v>0</v>
      </c>
      <c r="AX51" s="629">
        <f>_xlfn.XLOOKUP($E51,'Løp 11'!$E$10:$E$91,'Løp 11'!$O$10:$O$91,0)</f>
        <v>0</v>
      </c>
      <c r="AY51" s="629">
        <f>_xlfn.XLOOKUP($E51,'Løp 11'!$E$10:$E$91,'Løp 11'!$L$10:$L$91,0)</f>
        <v>0</v>
      </c>
      <c r="AZ51" s="628">
        <f>_xlfn.XLOOKUP($E51,'Løp 12'!$E$10:$E$91,'Løp 12'!$M$10:$M$91,0)</f>
        <v>0</v>
      </c>
      <c r="BA51" s="629">
        <f>_xlfn.XLOOKUP($E51,'Løp 12'!$E$10:$E$91,'Løp 12'!$O$10:$O$91,0)</f>
        <v>0</v>
      </c>
      <c r="BB51" s="629">
        <f>_xlfn.XLOOKUP($E51,'Løp 12'!$E$10:$E$91,'Løp 12'!$L$10:$L$91,0)</f>
        <v>0</v>
      </c>
      <c r="BC51" s="628">
        <f>_xlfn.XLOOKUP($E51,'Løp 13'!$E$10:$E$91,'Løp 13'!$M$10:$M$91,0)</f>
        <v>0</v>
      </c>
      <c r="BD51" s="629">
        <f>_xlfn.XLOOKUP($E51,'Løp 13'!$E$10:$E$91,'Løp 13'!$O$10:$O$91,0)</f>
        <v>0</v>
      </c>
      <c r="BE51" s="629">
        <f>_xlfn.XLOOKUP($E51,'Løp 13'!$E$10:$E$91,'Løp 13'!$L$10:$L$91,0)</f>
        <v>0</v>
      </c>
      <c r="BF51" s="628">
        <f>_xlfn.XLOOKUP($E51,'Løp 14'!$E$10:$E$91,'Løp 14'!$M$10:$M$91,0)</f>
        <v>0</v>
      </c>
      <c r="BG51" s="629">
        <f>_xlfn.XLOOKUP($E51,'Løp 14'!$E$10:$E$91,'Løp 14'!$O$10:$O$91,0)</f>
        <v>0</v>
      </c>
      <c r="BH51" s="629">
        <f>_xlfn.XLOOKUP($E51,'Løp 14'!$E$10:$E$91,'Løp 14'!$L$10:$L$91,0)</f>
        <v>0</v>
      </c>
      <c r="BI51" s="628">
        <f>_xlfn.XLOOKUP($E51,'Løp 15'!$E$10:$E$91,'Løp 15'!$M$10:$M$91,0)</f>
        <v>0</v>
      </c>
      <c r="BJ51" s="629">
        <f>_xlfn.XLOOKUP($E51,'Løp 15'!$E$10:$E$91,'Løp 15'!$O$10:$O$91,0)</f>
        <v>0</v>
      </c>
      <c r="BK51" s="629">
        <f>_xlfn.XLOOKUP($E51,'Løp 15'!$E$10:$E$91,'Løp 15'!$L$10:$L$91,0)</f>
        <v>0</v>
      </c>
      <c r="BL51" s="628">
        <f>_xlfn.XLOOKUP($E51,'Løp 16'!$E$10:$E$91,'Løp 16'!$M$10:$M$91,0)</f>
        <v>0</v>
      </c>
      <c r="BM51" s="629">
        <f>_xlfn.XLOOKUP($E51,'Løp 16'!$E$10:$E$91,'Løp 16'!$O$10:$O$91,0)</f>
        <v>0</v>
      </c>
      <c r="BN51" s="629">
        <f>_xlfn.XLOOKUP($E51,'Løp 16'!$E$10:$E$91,'Løp 16'!$L$10:$L$91,0)</f>
        <v>0</v>
      </c>
      <c r="BO51" s="628">
        <f>_xlfn.XLOOKUP($E51,'Løp 17'!$E$10:$E$91,'Løp 17'!$M$10:$M$91,0)</f>
        <v>0</v>
      </c>
      <c r="BP51" s="629">
        <f>_xlfn.XLOOKUP($E51,'Løp 17'!$E$10:$E$91,'Løp 17'!$O$10:$O$91,0)</f>
        <v>0</v>
      </c>
      <c r="BQ51" s="629">
        <f>_xlfn.XLOOKUP($E51,'Løp 17'!$E$10:$E$91,'Løp 17'!$L$10:$L$91,0)</f>
        <v>0</v>
      </c>
      <c r="BR51" s="628">
        <f>_xlfn.XLOOKUP($E51,'Løp 18'!$E$10:$E$91,'Løp 18'!$M$10:$M$91,0)</f>
        <v>0</v>
      </c>
      <c r="BS51" s="629">
        <f>_xlfn.XLOOKUP($E51,'Løp 18'!$E$10:$E$91,'Løp 18'!$O$10:$O$91,0)</f>
        <v>0</v>
      </c>
      <c r="BT51" s="629">
        <f>_xlfn.XLOOKUP($E51,'Løp 18'!$E$10:$E$91,'Løp 18'!$L$10:$L$91,0)</f>
        <v>0</v>
      </c>
      <c r="BU51" s="628">
        <f>_xlfn.XLOOKUP($E51,'Løp 19'!$E$10:$E$91,'Løp 19'!$M$10:$M$91,0)</f>
        <v>0</v>
      </c>
      <c r="BV51" s="629">
        <f>_xlfn.XLOOKUP($E51,'Løp 19'!$E$10:$E$91,'Løp 19'!$O$10:$O$91,0)</f>
        <v>0</v>
      </c>
      <c r="BW51" s="629">
        <f>_xlfn.XLOOKUP($E51,'Løp 19'!$E$10:$E$91,'Løp 19'!$L$10:$L$91,0)</f>
        <v>0</v>
      </c>
      <c r="BX51" s="628">
        <f>_xlfn.XLOOKUP($E51,'Løp 20'!$E$10:$E$92,'Løp 20'!$M$10:$M$92,0)</f>
        <v>0</v>
      </c>
      <c r="BY51" s="629">
        <f>_xlfn.XLOOKUP($E51,'Løp 20'!$E$10:$E$92,'Løp 20'!$O$10:$O$92,0)</f>
        <v>0</v>
      </c>
      <c r="BZ51" s="629">
        <f>_xlfn.XLOOKUP($E51,'Løp 20'!$E$10:$E$92,'Løp 20'!$L$10:$L$92,0)</f>
        <v>0</v>
      </c>
      <c r="CA51" s="628">
        <f>_xlfn.XLOOKUP($E51,'Løp 21'!$E$10:$E$93,'Løp 21'!$M$10:$M$93,0)</f>
        <v>0</v>
      </c>
      <c r="CB51" s="629">
        <f>_xlfn.XLOOKUP($E51,'Løp 21'!$E$10:$E$93,'Løp 21'!$O$10:$O$93,0)</f>
        <v>0</v>
      </c>
      <c r="CC51" s="629">
        <f>_xlfn.XLOOKUP($E51,'Løp 21'!$E$10:$E$93,'Løp 21'!$L$10:$L$93,0)</f>
        <v>0</v>
      </c>
      <c r="CD51" s="628">
        <f>_xlfn.XLOOKUP($E51,'Løp 22'!$E$10:$E$93,'Løp 22'!$M$10:$M$93,0)</f>
        <v>0</v>
      </c>
      <c r="CE51" s="629">
        <f>_xlfn.XLOOKUP($E51,'Løp 22'!$E$10:$E$93,'Løp 22'!$O$10:$O$93,0)</f>
        <v>0</v>
      </c>
      <c r="CF51" s="629">
        <f>_xlfn.XLOOKUP($E51,'Løp 22'!$E$10:$E$93,'Løp 22'!$L$10:$L$93,0)</f>
        <v>0</v>
      </c>
      <c r="CG51" s="628">
        <f>_xlfn.XLOOKUP($E51,'Løp 23'!$E$10:$E$93,'Løp 23'!$M$10:$M$93,0)</f>
        <v>0</v>
      </c>
      <c r="CH51" s="629">
        <f>_xlfn.XLOOKUP($E51,'Løp 23'!$E$10:$E$93,'Løp 23'!$O$10:$O$93,0)</f>
        <v>0</v>
      </c>
      <c r="CI51" s="629">
        <f>_xlfn.XLOOKUP($E51,'Løp 23'!$E$10:$E$93,'Løp 23'!$L$10:$L$93,0)</f>
        <v>0</v>
      </c>
      <c r="CJ51" s="628">
        <f>_xlfn.XLOOKUP($E51,'Løp 24'!$E$10:$E$93,'Løp 24'!$M$10:$M$93,0)</f>
        <v>0</v>
      </c>
      <c r="CK51" s="629">
        <f>_xlfn.XLOOKUP($E51,'Løp 24'!$E$10:$E$93,'Løp 24'!$O$10:$O$93,0)</f>
        <v>0</v>
      </c>
      <c r="CL51" s="629">
        <f>_xlfn.XLOOKUP($E51,'Løp 24'!$E$10:$E$93,'Løp 24'!$L$10:$L$93,0)</f>
        <v>0</v>
      </c>
      <c r="CM51" s="628">
        <f>_xlfn.XLOOKUP($E51,'Løp 25'!$E$10:$E$94,'Løp 25'!$M$10:$M$94,0)</f>
        <v>0</v>
      </c>
      <c r="CN51" s="629">
        <f>_xlfn.XLOOKUP($E51,'Løp 25'!$E$10:$E$94,'Løp 25'!$O$10:$O$94,0)</f>
        <v>0</v>
      </c>
      <c r="CO51" s="629">
        <f>_xlfn.XLOOKUP($E51,'Løp 25'!$E$10:$E$94,'Løp 25'!$L$10:$L$94,0)</f>
        <v>0</v>
      </c>
      <c r="CP51" s="628">
        <f>_xlfn.XLOOKUP($E51,'Løp 26'!$E$10:$E$94,'Løp 26'!$M$10:$M$94,0)</f>
        <v>0</v>
      </c>
      <c r="CQ51" s="629">
        <f>_xlfn.XLOOKUP($E51,'Løp 26'!$E$10:$E$94,'Løp 26'!$O$10:$O$94,0)</f>
        <v>0</v>
      </c>
      <c r="CR51" s="629">
        <f>_xlfn.XLOOKUP($E51,'Løp 26'!$E$10:$E$94,'Løp 26'!$L$10:$L$94,0)</f>
        <v>0</v>
      </c>
      <c r="CS51" s="628">
        <f>_xlfn.XLOOKUP($E51,'Løp 27'!$E$10:$E$94,'Løp 27'!$M$10:$M$94,0)</f>
        <v>0</v>
      </c>
      <c r="CT51" s="629">
        <f>_xlfn.XLOOKUP($E51,'Løp 27'!$E$10:$E$94,'Løp 27'!$O$10:$O$94,0)</f>
        <v>0</v>
      </c>
      <c r="CU51" s="629">
        <f>_xlfn.XLOOKUP($E51,'Løp 27'!$E$10:$E$94,'Løp 27'!$L$10:$L$94,0)</f>
        <v>0</v>
      </c>
      <c r="CV51" s="628">
        <f>_xlfn.XLOOKUP($E51,'Løp 28'!$E$10:$E$95,'Løp 28'!$M$10:$M$95,0)</f>
        <v>0</v>
      </c>
      <c r="CW51" s="629">
        <f>_xlfn.XLOOKUP($E51,'Løp 28'!$E$10:$E$95,'Løp 28'!$O$10:$O$95,0)</f>
        <v>0</v>
      </c>
      <c r="CX51" s="629">
        <f>_xlfn.XLOOKUP($E51,'Løp 28'!$E$10:$E$95,'Løp 28'!$L$10:$L$95,0)</f>
        <v>0</v>
      </c>
      <c r="CY51" s="628">
        <f>_xlfn.XLOOKUP($E51,'Løp 29'!$E$10:$E$95,'Løp 29'!$M$10:$M$95,0)</f>
        <v>0</v>
      </c>
      <c r="CZ51" s="629">
        <f>_xlfn.XLOOKUP($E51,'Løp 29'!$E$10:$E$95,'Løp 29'!$O$10:$O$95,0)</f>
        <v>0</v>
      </c>
      <c r="DA51" s="629">
        <f>_xlfn.XLOOKUP($E51,'Løp 29'!$E$10:$E$95,'Løp 29'!$L$10:$L$95,0)</f>
        <v>0</v>
      </c>
    </row>
    <row r="52" spans="2:105" ht="26" customHeight="1" thickBot="1" x14ac:dyDescent="0.3">
      <c r="B52" s="627">
        <f t="shared" si="0"/>
        <v>43</v>
      </c>
      <c r="C52" s="119" t="s">
        <v>265</v>
      </c>
      <c r="D52" s="620" t="s">
        <v>344</v>
      </c>
      <c r="E52" s="616" t="str">
        <f>_xlfn.CONCAT(C52:D52)</f>
        <v>ØysteinNytrø</v>
      </c>
      <c r="F52" s="610"/>
      <c r="G52" s="653">
        <f>COUNTIF(S52:DA52,"&gt;2")/2</f>
        <v>11</v>
      </c>
      <c r="H52" s="852">
        <f>COUNTIF(S52:DA52,"=Løype")+COUNTIF(S52:DA52,"Arr")</f>
        <v>0</v>
      </c>
      <c r="I52" s="610"/>
      <c r="J52" s="632">
        <f>S52+V52+Y52+AB52+AE52+AH52+AK52+AN52+AQ52+AT52+AW52+AZ52+BC52+BF52+BI52+BL52+BO52+BR52+BU52+BX52+CA52+CD52+CG52+CJ52+CM52+CP52+CS52+CV52+CY52</f>
        <v>810</v>
      </c>
      <c r="K52" s="633">
        <f>T52+W52+Z52+AC52+AF52+AI52+AL52+AO52+AR52+AU52+AX52+BA52+BD52+BG52+BJ52+BM52+BP52+BS52+BV52+BY52+CB52+CE52+CH52+CK52+CN52+CQ52+CT52+CW52+CZ52</f>
        <v>695</v>
      </c>
      <c r="L52" s="613"/>
      <c r="M52" s="658">
        <f>IF($G52&gt;0,J52/G52,0)</f>
        <v>73.63636363636364</v>
      </c>
      <c r="N52" s="659">
        <f>IF($G52&gt;0,K52/$G52,0)</f>
        <v>63.18181818181818</v>
      </c>
      <c r="O52" s="862"/>
      <c r="P52" s="874">
        <f>IF(AND($G52&gt;$Q$3-1,$G52-$H52&gt;0),M52,0)</f>
        <v>73.63636363636364</v>
      </c>
      <c r="Q52" s="875">
        <f>IF(AND($G52&gt;$Q$3-1,$G52-$H52&gt;0),N52,0)</f>
        <v>63.18181818181818</v>
      </c>
      <c r="R52" s="613"/>
      <c r="S52" s="628">
        <f>_xlfn.XLOOKUP($E52,'Løp 1'!$E$10:$E$90,'Løp 1'!$M$10:$M$90,0)</f>
        <v>0</v>
      </c>
      <c r="T52" s="629">
        <f>_xlfn.XLOOKUP($E52,'Løp 1'!$E$10:$E$90,'Løp 1'!$O$10:$O$90,0)</f>
        <v>0</v>
      </c>
      <c r="U52" s="629">
        <f>_xlfn.XLOOKUP($E52,'Løp 1'!$E$10:$E$90,'Løp 1'!$L$10:$L$90,0)</f>
        <v>0</v>
      </c>
      <c r="V52" s="628">
        <f>_xlfn.XLOOKUP($E52,'Løp 2'!$E$10:$E$90,'Løp 2'!$M$10:$M$90,0)</f>
        <v>0</v>
      </c>
      <c r="W52" s="629">
        <f>_xlfn.XLOOKUP($E52,'Løp 2'!$E$10:$E$90,'Løp 2'!$O$10:$O$90,0)</f>
        <v>0</v>
      </c>
      <c r="X52" s="629">
        <f>_xlfn.XLOOKUP($E52,'Løp 2'!$E$10:$E$90,'Løp 2'!$L$10:$L$90,0)</f>
        <v>0</v>
      </c>
      <c r="Y52" s="628">
        <f>_xlfn.XLOOKUP($E52,'Løp 3'!$E$10:$E$90,'Løp 3'!$M$10:$M$90,0)</f>
        <v>85</v>
      </c>
      <c r="Z52" s="629">
        <f>_xlfn.XLOOKUP($E52,'Løp 3'!$E$10:$E$90,'Løp 3'!$O$10:$O$90,0)</f>
        <v>66</v>
      </c>
      <c r="AA52" s="629">
        <f>_xlfn.XLOOKUP($E52,'Løp 3'!$E$10:$E$90,'Løp 3'!$L$10:$L$90,0)</f>
        <v>1.0621693121693121E-2</v>
      </c>
      <c r="AB52" s="628">
        <f>_xlfn.XLOOKUP($E52,'Løp 4'!$E$10:$E$90,'Løp 4'!$M$10:$M$90,0)</f>
        <v>79</v>
      </c>
      <c r="AC52" s="629">
        <f>_xlfn.XLOOKUP($E52,'Løp 4'!$E$10:$E$90,'Løp 4'!$O$10:$O$90,0)</f>
        <v>69</v>
      </c>
      <c r="AD52" s="629">
        <f>_xlfn.XLOOKUP($E52,'Løp 4'!$E$10:$E$90,'Løp 4'!$L$10:$L$90,0)</f>
        <v>8.8040123456790114E-3</v>
      </c>
      <c r="AE52" s="628">
        <f>_xlfn.XLOOKUP($E52,'Løp 5'!$E$10:$E$90,'Løp 5'!$M$10:$M$90,0)</f>
        <v>80</v>
      </c>
      <c r="AF52" s="629">
        <f>_xlfn.XLOOKUP($E52,'Løp 5'!$E$10:$E$90,'Løp 5'!$O$10:$O$90,0)</f>
        <v>64</v>
      </c>
      <c r="AG52" s="629">
        <f>_xlfn.XLOOKUP($E52,'Løp 5'!$E$10:$E$90,'Løp 5'!$L$10:$L$90,0)</f>
        <v>8.9977709190672151E-3</v>
      </c>
      <c r="AH52" s="628">
        <f>_xlfn.XLOOKUP($E52,'Løp 6'!$E$10:$E$90,'Løp 6'!$M$10:$M$90,0)</f>
        <v>0</v>
      </c>
      <c r="AI52" s="629">
        <f>_xlfn.XLOOKUP($E52,'Løp 6'!$E$10:$E$90,'Løp 6'!$O$10:$O$90,0)</f>
        <v>0</v>
      </c>
      <c r="AJ52" s="629">
        <f>_xlfn.XLOOKUP($E52,'Løp 6'!$E$10:$E$90,'Løp 6'!$L$10:$L$90,0)</f>
        <v>0</v>
      </c>
      <c r="AK52" s="628">
        <f>_xlfn.XLOOKUP($E52,'Løp 7'!$E$10:$E$90,'Løp 7'!$M$10:$M$90,0)</f>
        <v>0</v>
      </c>
      <c r="AL52" s="629">
        <f>_xlfn.XLOOKUP($E52,'Løp 7'!$E$10:$E$90,'Løp 7'!$O$10:$O$90,0)</f>
        <v>0</v>
      </c>
      <c r="AM52" s="629">
        <f>_xlfn.XLOOKUP($E52,'Løp 7'!$E$10:$E$90,'Løp 7'!$L$10:$L$90,0)</f>
        <v>0</v>
      </c>
      <c r="AN52" s="628">
        <f>_xlfn.XLOOKUP($E52,'Løp 8'!$E$10:$E$91,'Løp 8'!$M$10:$M$91,0)</f>
        <v>0</v>
      </c>
      <c r="AO52" s="629">
        <f>_xlfn.XLOOKUP($E52,'Løp 8'!$E$10:$E$91,'Løp 8'!$O$10:$O$91,0)</f>
        <v>0</v>
      </c>
      <c r="AP52" s="629">
        <f>_xlfn.XLOOKUP($E52,'Løp 8'!$E$10:$E$91,'Løp 8'!$L$10:$L$91,0)</f>
        <v>0</v>
      </c>
      <c r="AQ52" s="628">
        <f>_xlfn.XLOOKUP($E52,'Løp 9'!$E$10:$E$91,'Løp 9'!$M$10:$M$91,0)</f>
        <v>0</v>
      </c>
      <c r="AR52" s="629">
        <f>_xlfn.XLOOKUP($E52,'Løp 9'!$E$10:$E$91,'Løp 9'!$O$10:$O$91,0)</f>
        <v>0</v>
      </c>
      <c r="AS52" s="629">
        <f>_xlfn.XLOOKUP($E52,'Løp 9'!$E$10:$E$91,'Løp 9'!$L$10:$L$91,0)</f>
        <v>0</v>
      </c>
      <c r="AT52" s="628">
        <f>_xlfn.XLOOKUP($E52,'Løp 10'!$E$10:$E$91,'Løp 10'!$M$10:$M$91,0)</f>
        <v>0</v>
      </c>
      <c r="AU52" s="629">
        <f>_xlfn.XLOOKUP($E52,'Løp 10'!$E$10:$E$91,'Løp 10'!$O$10:$O$91,0)</f>
        <v>0</v>
      </c>
      <c r="AV52" s="629">
        <f>_xlfn.XLOOKUP($E52,'Løp 10'!$E$10:$E$91,'Løp 10'!$L$10:$L$91,0)</f>
        <v>0</v>
      </c>
      <c r="AW52" s="628">
        <f>_xlfn.XLOOKUP($E52,'Løp 11'!$E$10:$E$91,'Løp 11'!$M$10:$M$91,0)</f>
        <v>50</v>
      </c>
      <c r="AX52" s="629">
        <f>_xlfn.XLOOKUP($E52,'Løp 11'!$E$10:$E$91,'Løp 11'!$O$10:$O$91,0)</f>
        <v>50</v>
      </c>
      <c r="AY52" s="629" t="str">
        <f>_xlfn.XLOOKUP($E52,'Løp 11'!$E$10:$E$91,'Løp 11'!$L$10:$L$91,0)</f>
        <v>Brutt</v>
      </c>
      <c r="AZ52" s="628">
        <f>_xlfn.XLOOKUP($E52,'Løp 12'!$E$10:$E$91,'Løp 12'!$M$10:$M$91,0)</f>
        <v>65</v>
      </c>
      <c r="BA52" s="629">
        <f>_xlfn.XLOOKUP($E52,'Løp 12'!$E$10:$E$91,'Løp 12'!$O$10:$O$91,0)</f>
        <v>56</v>
      </c>
      <c r="BB52" s="629">
        <f>_xlfn.XLOOKUP($E52,'Løp 12'!$E$10:$E$91,'Løp 12'!$L$10:$L$91,0)</f>
        <v>8.5854828042328055E-3</v>
      </c>
      <c r="BC52" s="628">
        <f>_xlfn.XLOOKUP($E52,'Løp 13'!$E$10:$E$91,'Løp 13'!$M$10:$M$91,0)</f>
        <v>70</v>
      </c>
      <c r="BD52" s="629">
        <f>_xlfn.XLOOKUP($E52,'Løp 13'!$E$10:$E$91,'Løp 13'!$O$10:$O$91,0)</f>
        <v>67</v>
      </c>
      <c r="BE52" s="629">
        <f>_xlfn.XLOOKUP($E52,'Løp 13'!$E$10:$E$91,'Løp 13'!$L$10:$L$91,0)</f>
        <v>7.6907726692209454E-3</v>
      </c>
      <c r="BF52" s="628">
        <f>_xlfn.XLOOKUP($E52,'Løp 14'!$E$10:$E$91,'Løp 14'!$M$10:$M$91,0)</f>
        <v>0</v>
      </c>
      <c r="BG52" s="629">
        <f>_xlfn.XLOOKUP($E52,'Løp 14'!$E$10:$E$91,'Løp 14'!$O$10:$O$91,0)</f>
        <v>0</v>
      </c>
      <c r="BH52" s="629">
        <f>_xlfn.XLOOKUP($E52,'Løp 14'!$E$10:$E$91,'Løp 14'!$L$10:$L$91,0)</f>
        <v>0</v>
      </c>
      <c r="BI52" s="628">
        <f>_xlfn.XLOOKUP($E52,'Løp 15'!$E$10:$E$91,'Løp 15'!$M$10:$M$91,0)</f>
        <v>0</v>
      </c>
      <c r="BJ52" s="629">
        <f>_xlfn.XLOOKUP($E52,'Løp 15'!$E$10:$E$91,'Løp 15'!$O$10:$O$91,0)</f>
        <v>0</v>
      </c>
      <c r="BK52" s="629">
        <f>_xlfn.XLOOKUP($E52,'Løp 15'!$E$10:$E$91,'Løp 15'!$L$10:$L$91,0)</f>
        <v>0</v>
      </c>
      <c r="BL52" s="628">
        <f>_xlfn.XLOOKUP($E52,'Løp 16'!$E$10:$E$91,'Løp 16'!$M$10:$M$91,0)</f>
        <v>0</v>
      </c>
      <c r="BM52" s="629">
        <f>_xlfn.XLOOKUP($E52,'Løp 16'!$E$10:$E$91,'Løp 16'!$O$10:$O$91,0)</f>
        <v>0</v>
      </c>
      <c r="BN52" s="629">
        <f>_xlfn.XLOOKUP($E52,'Løp 16'!$E$10:$E$91,'Løp 16'!$L$10:$L$91,0)</f>
        <v>0</v>
      </c>
      <c r="BO52" s="628">
        <f>_xlfn.XLOOKUP($E52,'Løp 17'!$E$10:$E$91,'Løp 17'!$M$10:$M$91,0)</f>
        <v>50</v>
      </c>
      <c r="BP52" s="629">
        <f>_xlfn.XLOOKUP($E52,'Løp 17'!$E$10:$E$91,'Løp 17'!$O$10:$O$91,0)</f>
        <v>50</v>
      </c>
      <c r="BQ52" s="629" t="str">
        <f>_xlfn.XLOOKUP($E52,'Løp 17'!$E$10:$E$91,'Løp 17'!$L$10:$L$91,0)</f>
        <v>Disk</v>
      </c>
      <c r="BR52" s="628">
        <f>_xlfn.XLOOKUP($E52,'Løp 18'!$E$10:$E$91,'Løp 18'!$M$10:$M$91,0)</f>
        <v>0</v>
      </c>
      <c r="BS52" s="629">
        <f>_xlfn.XLOOKUP($E52,'Løp 18'!$E$10:$E$91,'Løp 18'!$O$10:$O$91,0)</f>
        <v>0</v>
      </c>
      <c r="BT52" s="629">
        <f>_xlfn.XLOOKUP($E52,'Løp 18'!$E$10:$E$91,'Løp 18'!$L$10:$L$91,0)</f>
        <v>0</v>
      </c>
      <c r="BU52" s="628">
        <f>_xlfn.XLOOKUP($E52,'Løp 19'!$E$10:$E$91,'Løp 19'!$M$10:$M$91,0)</f>
        <v>0</v>
      </c>
      <c r="BV52" s="629">
        <f>_xlfn.XLOOKUP($E52,'Løp 19'!$E$10:$E$91,'Løp 19'!$O$10:$O$91,0)</f>
        <v>0</v>
      </c>
      <c r="BW52" s="629">
        <f>_xlfn.XLOOKUP($E52,'Løp 19'!$E$10:$E$91,'Løp 19'!$L$10:$L$91,0)</f>
        <v>0</v>
      </c>
      <c r="BX52" s="628">
        <f>_xlfn.XLOOKUP($E52,'Løp 20'!$E$10:$E$92,'Løp 20'!$M$10:$M$92,0)</f>
        <v>82</v>
      </c>
      <c r="BY52" s="629">
        <f>_xlfn.XLOOKUP($E52,'Løp 20'!$E$10:$E$92,'Løp 20'!$O$10:$O$92,0)</f>
        <v>65</v>
      </c>
      <c r="BZ52" s="629">
        <f>_xlfn.XLOOKUP($E52,'Løp 20'!$E$10:$E$92,'Løp 20'!$L$10:$L$92,0)</f>
        <v>9.4411375661375661E-3</v>
      </c>
      <c r="CA52" s="628">
        <f>_xlfn.XLOOKUP($E52,'Løp 21'!$E$10:$E$93,'Løp 21'!$M$10:$M$93,0)</f>
        <v>0</v>
      </c>
      <c r="CB52" s="629">
        <f>_xlfn.XLOOKUP($E52,'Løp 21'!$E$10:$E$93,'Løp 21'!$O$10:$O$93,0)</f>
        <v>0</v>
      </c>
      <c r="CC52" s="629">
        <f>_xlfn.XLOOKUP($E52,'Løp 21'!$E$10:$E$93,'Løp 21'!$L$10:$L$93,0)</f>
        <v>0</v>
      </c>
      <c r="CD52" s="628">
        <f>_xlfn.XLOOKUP($E52,'Løp 22'!$E$10:$E$93,'Løp 22'!$M$10:$M$93,0)</f>
        <v>0</v>
      </c>
      <c r="CE52" s="629">
        <f>_xlfn.XLOOKUP($E52,'Løp 22'!$E$10:$E$93,'Løp 22'!$O$10:$O$93,0)</f>
        <v>0</v>
      </c>
      <c r="CF52" s="629">
        <f>_xlfn.XLOOKUP($E52,'Løp 22'!$E$10:$E$93,'Løp 22'!$L$10:$L$93,0)</f>
        <v>0</v>
      </c>
      <c r="CG52" s="628">
        <f>_xlfn.XLOOKUP($E52,'Løp 23'!$E$10:$E$93,'Løp 23'!$M$10:$M$93,0)</f>
        <v>0</v>
      </c>
      <c r="CH52" s="629">
        <f>_xlfn.XLOOKUP($E52,'Løp 23'!$E$10:$E$93,'Løp 23'!$O$10:$O$93,0)</f>
        <v>0</v>
      </c>
      <c r="CI52" s="629">
        <f>_xlfn.XLOOKUP($E52,'Løp 23'!$E$10:$E$93,'Løp 23'!$L$10:$L$93,0)</f>
        <v>0</v>
      </c>
      <c r="CJ52" s="628">
        <f>_xlfn.XLOOKUP($E52,'Løp 24'!$E$10:$E$93,'Løp 24'!$M$10:$M$93,0)</f>
        <v>0</v>
      </c>
      <c r="CK52" s="629">
        <f>_xlfn.XLOOKUP($E52,'Løp 24'!$E$10:$E$93,'Løp 24'!$O$10:$O$93,0)</f>
        <v>0</v>
      </c>
      <c r="CL52" s="629">
        <f>_xlfn.XLOOKUP($E52,'Løp 24'!$E$10:$E$93,'Løp 24'!$L$10:$L$93,0)</f>
        <v>0</v>
      </c>
      <c r="CM52" s="628">
        <f>_xlfn.XLOOKUP($E52,'Løp 25'!$E$10:$E$94,'Løp 25'!$M$10:$M$94,0)</f>
        <v>0</v>
      </c>
      <c r="CN52" s="629">
        <f>_xlfn.XLOOKUP($E52,'Løp 25'!$E$10:$E$94,'Løp 25'!$O$10:$O$94,0)</f>
        <v>0</v>
      </c>
      <c r="CO52" s="629">
        <f>_xlfn.XLOOKUP($E52,'Løp 25'!$E$10:$E$94,'Løp 25'!$L$10:$L$94,0)</f>
        <v>0</v>
      </c>
      <c r="CP52" s="628">
        <f>_xlfn.XLOOKUP($E52,'Løp 26'!$E$10:$E$94,'Løp 26'!$M$10:$M$94,0)</f>
        <v>85</v>
      </c>
      <c r="CQ52" s="629">
        <f>_xlfn.XLOOKUP($E52,'Løp 26'!$E$10:$E$94,'Løp 26'!$O$10:$O$94,0)</f>
        <v>72</v>
      </c>
      <c r="CR52" s="629">
        <f>_xlfn.XLOOKUP($E52,'Løp 26'!$E$10:$E$94,'Løp 26'!$L$10:$L$94,0)</f>
        <v>8.3605664488017439E-3</v>
      </c>
      <c r="CS52" s="628">
        <f>_xlfn.XLOOKUP($E52,'Løp 27'!$E$10:$E$94,'Løp 27'!$M$10:$M$94,0)</f>
        <v>70</v>
      </c>
      <c r="CT52" s="629">
        <f>_xlfn.XLOOKUP($E52,'Løp 27'!$E$10:$E$94,'Løp 27'!$O$10:$O$94,0)</f>
        <v>59</v>
      </c>
      <c r="CU52" s="629">
        <f>_xlfn.XLOOKUP($E52,'Løp 27'!$E$10:$E$94,'Løp 27'!$L$10:$L$94,0)</f>
        <v>9.8122427983539078E-3</v>
      </c>
      <c r="CV52" s="628">
        <f>_xlfn.XLOOKUP($E52,'Løp 28'!$E$10:$E$95,'Løp 28'!$M$10:$M$95,0)</f>
        <v>0</v>
      </c>
      <c r="CW52" s="629">
        <f>_xlfn.XLOOKUP($E52,'Løp 28'!$E$10:$E$95,'Løp 28'!$O$10:$O$95,0)</f>
        <v>0</v>
      </c>
      <c r="CX52" s="629">
        <f>_xlfn.XLOOKUP($E52,'Løp 28'!$E$10:$E$95,'Løp 28'!$L$10:$L$95,0)</f>
        <v>0</v>
      </c>
      <c r="CY52" s="628">
        <f>_xlfn.XLOOKUP($E52,'Løp 29'!$E$10:$E$95,'Løp 29'!$M$10:$M$95,0)</f>
        <v>94</v>
      </c>
      <c r="CZ52" s="629">
        <f>_xlfn.XLOOKUP($E52,'Løp 29'!$E$10:$E$95,'Løp 29'!$O$10:$O$95,0)</f>
        <v>77</v>
      </c>
      <c r="DA52" s="629">
        <f>_xlfn.XLOOKUP($E52,'Løp 29'!$E$10:$E$95,'Løp 29'!$L$10:$L$95,0)</f>
        <v>7.767030423280424E-3</v>
      </c>
    </row>
    <row r="53" spans="2:105" ht="26" customHeight="1" thickBot="1" x14ac:dyDescent="0.3">
      <c r="B53" s="627">
        <f t="shared" si="0"/>
        <v>44</v>
      </c>
      <c r="C53" s="119" t="s">
        <v>68</v>
      </c>
      <c r="D53" s="620" t="s">
        <v>69</v>
      </c>
      <c r="E53" s="616" t="str">
        <f>_xlfn.CONCAT(C53:D53)</f>
        <v>JanBøhle</v>
      </c>
      <c r="F53" s="610"/>
      <c r="G53" s="653">
        <f>COUNTIF(S53:DA53,"&gt;2")/2</f>
        <v>22</v>
      </c>
      <c r="H53" s="852">
        <f>COUNTIF(S53:DA53,"=Løype")+COUNTIF(S53:DA53,"Arr")</f>
        <v>0</v>
      </c>
      <c r="I53" s="610"/>
      <c r="J53" s="632">
        <f>S53+V53+Y53+AB53+AE53+AH53+AK53+AN53+AQ53+AT53+AW53+AZ53+BC53+BF53+BI53+BL53+BO53+BR53+BU53+BX53+CA53+CD53+CG53+CJ53+CM53+CP53+CS53+CV53+CY53</f>
        <v>1438</v>
      </c>
      <c r="K53" s="633">
        <f>T53+W53+Z53+AC53+AF53+AI53+AL53+AO53+AR53+AU53+AX53+BA53+BD53+BG53+BJ53+BM53+BP53+BS53+BV53+BY53+CB53+CE53+CH53+CK53+CN53+CQ53+CT53+CW53+CZ53</f>
        <v>1387</v>
      </c>
      <c r="L53" s="613"/>
      <c r="M53" s="658">
        <f>IF($G53&gt;0,J53/G53,0)</f>
        <v>65.36363636363636</v>
      </c>
      <c r="N53" s="659">
        <f>IF($G53&gt;0,K53/$G53,0)</f>
        <v>63.045454545454547</v>
      </c>
      <c r="O53" s="862"/>
      <c r="P53" s="874">
        <f>IF(AND($G53&gt;$Q$3-1,$G53-$H53&gt;0),M53,0)</f>
        <v>65.36363636363636</v>
      </c>
      <c r="Q53" s="875">
        <f>IF(AND($G53&gt;$Q$3-1,$G53-$H53&gt;0),N53,0)</f>
        <v>63.045454545454547</v>
      </c>
      <c r="R53" s="613"/>
      <c r="S53" s="628">
        <f>_xlfn.XLOOKUP($E53,'Løp 1'!$E$10:$E$90,'Løp 1'!$M$10:$M$90,0)</f>
        <v>0</v>
      </c>
      <c r="T53" s="629">
        <f>_xlfn.XLOOKUP($E53,'Løp 1'!$E$10:$E$90,'Løp 1'!$O$10:$O$90,0)</f>
        <v>0</v>
      </c>
      <c r="U53" s="629">
        <f>_xlfn.XLOOKUP($E53,'Løp 1'!$E$10:$E$90,'Løp 1'!$L$10:$L$90,0)</f>
        <v>0</v>
      </c>
      <c r="V53" s="628">
        <f>_xlfn.XLOOKUP($E53,'Løp 2'!$E$10:$E$90,'Løp 2'!$M$10:$M$90,0)</f>
        <v>50</v>
      </c>
      <c r="W53" s="629">
        <f>_xlfn.XLOOKUP($E53,'Løp 2'!$E$10:$E$90,'Løp 2'!$O$10:$O$90,0)</f>
        <v>50</v>
      </c>
      <c r="X53" s="629" t="str">
        <f>_xlfn.XLOOKUP($E53,'Løp 2'!$E$10:$E$90,'Løp 2'!$L$10:$L$90,0)</f>
        <v>Brutt</v>
      </c>
      <c r="Y53" s="628">
        <f>_xlfn.XLOOKUP($E53,'Løp 3'!$E$10:$E$90,'Løp 3'!$M$10:$M$90,0)</f>
        <v>50</v>
      </c>
      <c r="Z53" s="629">
        <f>_xlfn.XLOOKUP($E53,'Løp 3'!$E$10:$E$90,'Løp 3'!$O$10:$O$90,0)</f>
        <v>50</v>
      </c>
      <c r="AA53" s="629" t="str">
        <f>_xlfn.XLOOKUP($E53,'Løp 3'!$E$10:$E$90,'Løp 3'!$L$10:$L$90,0)</f>
        <v>Brutt</v>
      </c>
      <c r="AB53" s="628">
        <f>_xlfn.XLOOKUP($E53,'Løp 4'!$E$10:$E$90,'Løp 4'!$M$10:$M$90,0)</f>
        <v>0</v>
      </c>
      <c r="AC53" s="629">
        <f>_xlfn.XLOOKUP($E53,'Løp 4'!$E$10:$E$90,'Løp 4'!$O$10:$O$90,0)</f>
        <v>0</v>
      </c>
      <c r="AD53" s="629">
        <f>_xlfn.XLOOKUP($E53,'Løp 4'!$E$10:$E$90,'Løp 4'!$L$10:$L$90,0)</f>
        <v>0</v>
      </c>
      <c r="AE53" s="628">
        <f>_xlfn.XLOOKUP($E53,'Løp 5'!$E$10:$E$90,'Løp 5'!$M$10:$M$90,0)</f>
        <v>50</v>
      </c>
      <c r="AF53" s="629">
        <f>_xlfn.XLOOKUP($E53,'Løp 5'!$E$10:$E$90,'Løp 5'!$O$10:$O$90,0)</f>
        <v>50</v>
      </c>
      <c r="AG53" s="629" t="str">
        <f>_xlfn.XLOOKUP($E53,'Løp 5'!$E$10:$E$90,'Løp 5'!$L$10:$L$90,0)</f>
        <v>Brutt</v>
      </c>
      <c r="AH53" s="628">
        <f>_xlfn.XLOOKUP($E53,'Løp 6'!$E$10:$E$90,'Løp 6'!$M$10:$M$90,0)</f>
        <v>63</v>
      </c>
      <c r="AI53" s="629">
        <f>_xlfn.XLOOKUP($E53,'Løp 6'!$E$10:$E$90,'Løp 6'!$O$10:$O$90,0)</f>
        <v>62</v>
      </c>
      <c r="AJ53" s="629">
        <f>_xlfn.XLOOKUP($E53,'Løp 6'!$E$10:$E$90,'Løp 6'!$L$10:$L$90,0)</f>
        <v>1.2380401234567901E-2</v>
      </c>
      <c r="AK53" s="628">
        <f>_xlfn.XLOOKUP($E53,'Løp 7'!$E$10:$E$90,'Løp 7'!$M$10:$M$90,0)</f>
        <v>0</v>
      </c>
      <c r="AL53" s="629">
        <f>_xlfn.XLOOKUP($E53,'Løp 7'!$E$10:$E$90,'Løp 7'!$O$10:$O$90,0)</f>
        <v>0</v>
      </c>
      <c r="AM53" s="629">
        <f>_xlfn.XLOOKUP($E53,'Løp 7'!$E$10:$E$90,'Løp 7'!$L$10:$L$90,0)</f>
        <v>0</v>
      </c>
      <c r="AN53" s="628">
        <f>_xlfn.XLOOKUP($E53,'Løp 8'!$E$10:$E$91,'Løp 8'!$M$10:$M$91,0)</f>
        <v>79</v>
      </c>
      <c r="AO53" s="629">
        <f>_xlfn.XLOOKUP($E53,'Løp 8'!$E$10:$E$91,'Løp 8'!$O$10:$O$91,0)</f>
        <v>65</v>
      </c>
      <c r="AP53" s="629">
        <f>_xlfn.XLOOKUP($E53,'Løp 8'!$E$10:$E$91,'Løp 8'!$L$10:$L$91,0)</f>
        <v>1.0737584175084174E-2</v>
      </c>
      <c r="AQ53" s="628">
        <f>_xlfn.XLOOKUP($E53,'Løp 9'!$E$10:$E$91,'Løp 9'!$M$10:$M$91,0)</f>
        <v>82</v>
      </c>
      <c r="AR53" s="629">
        <f>_xlfn.XLOOKUP($E53,'Løp 9'!$E$10:$E$91,'Løp 9'!$O$10:$O$91,0)</f>
        <v>70</v>
      </c>
      <c r="AS53" s="629">
        <f>_xlfn.XLOOKUP($E53,'Løp 9'!$E$10:$E$91,'Løp 9'!$L$10:$L$91,0)</f>
        <v>8.3594683393070478E-3</v>
      </c>
      <c r="AT53" s="628">
        <f>_xlfn.XLOOKUP($E53,'Løp 10'!$E$10:$E$91,'Løp 10'!$M$10:$M$91,0)</f>
        <v>60</v>
      </c>
      <c r="AU53" s="629">
        <f>_xlfn.XLOOKUP($E53,'Løp 10'!$E$10:$E$91,'Løp 10'!$O$10:$O$91,0)</f>
        <v>58</v>
      </c>
      <c r="AV53" s="629">
        <f>_xlfn.XLOOKUP($E53,'Løp 10'!$E$10:$E$91,'Løp 10'!$L$10:$L$91,0)</f>
        <v>1.2420428240740739E-2</v>
      </c>
      <c r="AW53" s="628">
        <f>_xlfn.XLOOKUP($E53,'Løp 11'!$E$10:$E$91,'Løp 11'!$M$10:$M$91,0)</f>
        <v>0</v>
      </c>
      <c r="AX53" s="629">
        <f>_xlfn.XLOOKUP($E53,'Løp 11'!$E$10:$E$91,'Løp 11'!$O$10:$O$91,0)</f>
        <v>0</v>
      </c>
      <c r="AY53" s="629">
        <f>_xlfn.XLOOKUP($E53,'Løp 11'!$E$10:$E$91,'Løp 11'!$L$10:$L$91,0)</f>
        <v>0</v>
      </c>
      <c r="AZ53" s="628">
        <f>_xlfn.XLOOKUP($E53,'Løp 12'!$E$10:$E$91,'Løp 12'!$M$10:$M$91,0)</f>
        <v>66</v>
      </c>
      <c r="BA53" s="629">
        <f>_xlfn.XLOOKUP($E53,'Løp 12'!$E$10:$E$91,'Løp 12'!$O$10:$O$91,0)</f>
        <v>69</v>
      </c>
      <c r="BB53" s="629">
        <f>_xlfn.XLOOKUP($E53,'Løp 12'!$E$10:$E$91,'Løp 12'!$L$10:$L$91,0)</f>
        <v>8.354001322751322E-3</v>
      </c>
      <c r="BC53" s="628">
        <f>_xlfn.XLOOKUP($E53,'Løp 13'!$E$10:$E$91,'Løp 13'!$M$10:$M$91,0)</f>
        <v>62</v>
      </c>
      <c r="BD53" s="629">
        <f>_xlfn.XLOOKUP($E53,'Løp 13'!$E$10:$E$91,'Løp 13'!$O$10:$O$91,0)</f>
        <v>71</v>
      </c>
      <c r="BE53" s="629">
        <f>_xlfn.XLOOKUP($E53,'Løp 13'!$E$10:$E$91,'Løp 13'!$L$10:$L$91,0)</f>
        <v>8.6885376756066415E-3</v>
      </c>
      <c r="BF53" s="628">
        <f>_xlfn.XLOOKUP($E53,'Løp 14'!$E$10:$E$91,'Løp 14'!$M$10:$M$91,0)</f>
        <v>64</v>
      </c>
      <c r="BG53" s="629">
        <f>_xlfn.XLOOKUP($E53,'Løp 14'!$E$10:$E$91,'Løp 14'!$O$10:$O$91,0)</f>
        <v>62</v>
      </c>
      <c r="BH53" s="629">
        <f>_xlfn.XLOOKUP($E53,'Løp 14'!$E$10:$E$91,'Løp 14'!$L$10:$L$91,0)</f>
        <v>9.8451967592592601E-3</v>
      </c>
      <c r="BI53" s="628">
        <f>_xlfn.XLOOKUP($E53,'Løp 15'!$E$10:$E$91,'Løp 15'!$M$10:$M$91,0)</f>
        <v>73</v>
      </c>
      <c r="BJ53" s="629">
        <f>_xlfn.XLOOKUP($E53,'Løp 15'!$E$10:$E$91,'Løp 15'!$O$10:$O$91,0)</f>
        <v>63</v>
      </c>
      <c r="BK53" s="629">
        <f>_xlfn.XLOOKUP($E53,'Løp 15'!$E$10:$E$91,'Løp 15'!$L$10:$L$91,0)</f>
        <v>1.1816077441077443E-2</v>
      </c>
      <c r="BL53" s="628">
        <f>_xlfn.XLOOKUP($E53,'Løp 16'!$E$10:$E$91,'Løp 16'!$M$10:$M$91,0)</f>
        <v>50</v>
      </c>
      <c r="BM53" s="629">
        <f>_xlfn.XLOOKUP($E53,'Løp 16'!$E$10:$E$91,'Løp 16'!$O$10:$O$91,0)</f>
        <v>50</v>
      </c>
      <c r="BN53" s="629" t="str">
        <f>_xlfn.XLOOKUP($E53,'Løp 16'!$E$10:$E$91,'Løp 16'!$L$10:$L$91,0)</f>
        <v>Disk</v>
      </c>
      <c r="BO53" s="628">
        <f>_xlfn.XLOOKUP($E53,'Løp 17'!$E$10:$E$91,'Løp 17'!$M$10:$M$91,0)</f>
        <v>72</v>
      </c>
      <c r="BP53" s="629">
        <f>_xlfn.XLOOKUP($E53,'Løp 17'!$E$10:$E$91,'Løp 17'!$O$10:$O$91,0)</f>
        <v>71</v>
      </c>
      <c r="BQ53" s="629">
        <f>_xlfn.XLOOKUP($E53,'Løp 17'!$E$10:$E$91,'Løp 17'!$L$10:$L$91,0)</f>
        <v>8.8282247765006389E-3</v>
      </c>
      <c r="BR53" s="628">
        <f>_xlfn.XLOOKUP($E53,'Løp 18'!$E$10:$E$91,'Løp 18'!$M$10:$M$91,0)</f>
        <v>0</v>
      </c>
      <c r="BS53" s="629">
        <f>_xlfn.XLOOKUP($E53,'Løp 18'!$E$10:$E$91,'Løp 18'!$O$10:$O$91,0)</f>
        <v>0</v>
      </c>
      <c r="BT53" s="629">
        <f>_xlfn.XLOOKUP($E53,'Løp 18'!$E$10:$E$91,'Løp 18'!$L$10:$L$91,0)</f>
        <v>0</v>
      </c>
      <c r="BU53" s="628">
        <f>_xlfn.XLOOKUP($E53,'Løp 19'!$E$10:$E$91,'Løp 19'!$M$10:$M$91,0)</f>
        <v>71</v>
      </c>
      <c r="BV53" s="629">
        <f>_xlfn.XLOOKUP($E53,'Løp 19'!$E$10:$E$91,'Løp 19'!$O$10:$O$91,0)</f>
        <v>66</v>
      </c>
      <c r="BW53" s="629">
        <f>_xlfn.XLOOKUP($E53,'Løp 19'!$E$10:$E$91,'Løp 19'!$L$10:$L$91,0)</f>
        <v>1.1552640603566528E-2</v>
      </c>
      <c r="BX53" s="628">
        <f>_xlfn.XLOOKUP($E53,'Løp 20'!$E$10:$E$92,'Løp 20'!$M$10:$M$92,0)</f>
        <v>0</v>
      </c>
      <c r="BY53" s="629">
        <f>_xlfn.XLOOKUP($E53,'Løp 20'!$E$10:$E$92,'Løp 20'!$O$10:$O$92,0)</f>
        <v>0</v>
      </c>
      <c r="BZ53" s="629">
        <f>_xlfn.XLOOKUP($E53,'Løp 20'!$E$10:$E$92,'Løp 20'!$L$10:$L$92,0)</f>
        <v>0</v>
      </c>
      <c r="CA53" s="628">
        <f>_xlfn.XLOOKUP($E53,'Løp 21'!$E$10:$E$93,'Løp 21'!$M$10:$M$93,0)</f>
        <v>77</v>
      </c>
      <c r="CB53" s="629">
        <f>_xlfn.XLOOKUP($E53,'Løp 21'!$E$10:$E$93,'Løp 21'!$O$10:$O$93,0)</f>
        <v>76</v>
      </c>
      <c r="CC53" s="629">
        <f>_xlfn.XLOOKUP($E53,'Løp 21'!$E$10:$E$93,'Løp 21'!$L$10:$L$93,0)</f>
        <v>7.845209339774558E-3</v>
      </c>
      <c r="CD53" s="628">
        <f>_xlfn.XLOOKUP($E53,'Løp 22'!$E$10:$E$93,'Løp 22'!$M$10:$M$93,0)</f>
        <v>61</v>
      </c>
      <c r="CE53" s="629">
        <f>_xlfn.XLOOKUP($E53,'Løp 22'!$E$10:$E$93,'Løp 22'!$O$10:$O$93,0)</f>
        <v>59</v>
      </c>
      <c r="CF53" s="629">
        <f>_xlfn.XLOOKUP($E53,'Løp 22'!$E$10:$E$93,'Løp 22'!$L$10:$L$93,0)</f>
        <v>1.138710826210826E-2</v>
      </c>
      <c r="CG53" s="628">
        <f>_xlfn.XLOOKUP($E53,'Løp 23'!$E$10:$E$93,'Løp 23'!$M$10:$M$93,0)</f>
        <v>0</v>
      </c>
      <c r="CH53" s="629">
        <f>_xlfn.XLOOKUP($E53,'Løp 23'!$E$10:$E$93,'Løp 23'!$O$10:$O$93,0)</f>
        <v>0</v>
      </c>
      <c r="CI53" s="629">
        <f>_xlfn.XLOOKUP($E53,'Løp 23'!$E$10:$E$93,'Løp 23'!$L$10:$L$93,0)</f>
        <v>0</v>
      </c>
      <c r="CJ53" s="628">
        <f>_xlfn.XLOOKUP($E53,'Løp 24'!$E$10:$E$93,'Løp 24'!$M$10:$M$93,0)</f>
        <v>75</v>
      </c>
      <c r="CK53" s="629">
        <f>_xlfn.XLOOKUP($E53,'Løp 24'!$E$10:$E$93,'Løp 24'!$O$10:$O$93,0)</f>
        <v>61</v>
      </c>
      <c r="CL53" s="629">
        <f>_xlfn.XLOOKUP($E53,'Løp 24'!$E$10:$E$93,'Løp 24'!$L$10:$L$93,0)</f>
        <v>7.0975209080047785E-3</v>
      </c>
      <c r="CM53" s="628">
        <f>_xlfn.XLOOKUP($E53,'Løp 25'!$E$10:$E$94,'Løp 25'!$M$10:$M$94,0)</f>
        <v>70</v>
      </c>
      <c r="CN53" s="629">
        <f>_xlfn.XLOOKUP($E53,'Løp 25'!$E$10:$E$94,'Løp 25'!$O$10:$O$94,0)</f>
        <v>68</v>
      </c>
      <c r="CO53" s="629">
        <f>_xlfn.XLOOKUP($E53,'Løp 25'!$E$10:$E$94,'Løp 25'!$L$10:$L$94,0)</f>
        <v>1.0366030092592592E-2</v>
      </c>
      <c r="CP53" s="628">
        <f>_xlfn.XLOOKUP($E53,'Løp 26'!$E$10:$E$94,'Løp 26'!$M$10:$M$94,0)</f>
        <v>73</v>
      </c>
      <c r="CQ53" s="629">
        <f>_xlfn.XLOOKUP($E53,'Løp 26'!$E$10:$E$94,'Løp 26'!$O$10:$O$94,0)</f>
        <v>74</v>
      </c>
      <c r="CR53" s="629">
        <f>_xlfn.XLOOKUP($E53,'Løp 26'!$E$10:$E$94,'Løp 26'!$L$10:$L$94,0)</f>
        <v>9.6439270152505457E-3</v>
      </c>
      <c r="CS53" s="628">
        <f>_xlfn.XLOOKUP($E53,'Løp 27'!$E$10:$E$94,'Løp 27'!$M$10:$M$94,0)</f>
        <v>61</v>
      </c>
      <c r="CT53" s="629">
        <f>_xlfn.XLOOKUP($E53,'Løp 27'!$E$10:$E$94,'Løp 27'!$O$10:$O$94,0)</f>
        <v>62</v>
      </c>
      <c r="CU53" s="629">
        <f>_xlfn.XLOOKUP($E53,'Løp 27'!$E$10:$E$94,'Løp 27'!$L$10:$L$94,0)</f>
        <v>1.1243998628257887E-2</v>
      </c>
      <c r="CV53" s="628">
        <f>_xlfn.XLOOKUP($E53,'Løp 28'!$E$10:$E$95,'Løp 28'!$M$10:$M$95,0)</f>
        <v>60</v>
      </c>
      <c r="CW53" s="629">
        <f>_xlfn.XLOOKUP($E53,'Løp 28'!$E$10:$E$95,'Løp 28'!$O$10:$O$95,0)</f>
        <v>62</v>
      </c>
      <c r="CX53" s="629">
        <f>_xlfn.XLOOKUP($E53,'Løp 28'!$E$10:$E$95,'Løp 28'!$L$10:$L$95,0)</f>
        <v>1.1146336553945251E-2</v>
      </c>
      <c r="CY53" s="628">
        <f>_xlfn.XLOOKUP($E53,'Løp 29'!$E$10:$E$95,'Løp 29'!$M$10:$M$95,0)</f>
        <v>69</v>
      </c>
      <c r="CZ53" s="629">
        <f>_xlfn.XLOOKUP($E53,'Løp 29'!$E$10:$E$95,'Løp 29'!$O$10:$O$95,0)</f>
        <v>68</v>
      </c>
      <c r="DA53" s="629">
        <f>_xlfn.XLOOKUP($E53,'Løp 29'!$E$10:$E$95,'Løp 29'!$L$10:$L$95,0)</f>
        <v>1.0536541005291005E-2</v>
      </c>
    </row>
    <row r="54" spans="2:105" ht="26" thickBot="1" x14ac:dyDescent="0.3">
      <c r="B54" s="627">
        <f t="shared" si="0"/>
        <v>45</v>
      </c>
      <c r="C54" s="119" t="s">
        <v>299</v>
      </c>
      <c r="D54" s="620" t="s">
        <v>300</v>
      </c>
      <c r="E54" s="616" t="str">
        <f>_xlfn.CONCAT(C54:D54)</f>
        <v>OlavKvittem</v>
      </c>
      <c r="F54" s="610"/>
      <c r="G54" s="653">
        <f>COUNTIF(S54:DA54,"&gt;2")/2</f>
        <v>8</v>
      </c>
      <c r="H54" s="852">
        <f>COUNTIF(S54:DA54,"=Løype")+COUNTIF(S54:DA54,"Arr")</f>
        <v>0</v>
      </c>
      <c r="I54" s="610"/>
      <c r="J54" s="632">
        <f>S54+V54+Y54+AB54+AE54+AH54+AK54+AN54+AQ54+AT54+AW54+AZ54+BC54+BF54+BI54+BL54+BO54+BR54+BU54+BX54+CA54+CD54+CG54+CJ54+CM54+CP54+CS54+CV54+CY54</f>
        <v>570</v>
      </c>
      <c r="K54" s="633">
        <f>T54+W54+Z54+AC54+AF54+AI54+AL54+AO54+AR54+AU54+AX54+BA54+BD54+BG54+BJ54+BM54+BP54+BS54+BV54+BY54+CB54+CE54+CH54+CK54+CN54+CQ54+CT54+CW54+CZ54</f>
        <v>501</v>
      </c>
      <c r="L54" s="613"/>
      <c r="M54" s="658">
        <f>IF($G54&gt;0,J54/G54,0)</f>
        <v>71.25</v>
      </c>
      <c r="N54" s="659">
        <f>IF($G54&gt;0,K54/$G54,0)</f>
        <v>62.625</v>
      </c>
      <c r="O54" s="862"/>
      <c r="P54" s="874">
        <f>IF(AND($G54&gt;$Q$3-1,$G54-$H54&gt;0),M54,0)</f>
        <v>71.25</v>
      </c>
      <c r="Q54" s="875">
        <f>IF(AND($G54&gt;$Q$3-1,$G54-$H54&gt;0),N54,0)</f>
        <v>62.625</v>
      </c>
      <c r="R54" s="613"/>
      <c r="S54" s="628">
        <f>_xlfn.XLOOKUP($E54,'Løp 1'!$E$10:$E$90,'Løp 1'!$M$10:$M$90,0)</f>
        <v>0</v>
      </c>
      <c r="T54" s="629">
        <f>_xlfn.XLOOKUP($E54,'Løp 1'!$E$10:$E$90,'Løp 1'!$O$10:$O$90,0)</f>
        <v>0</v>
      </c>
      <c r="U54" s="629">
        <f>_xlfn.XLOOKUP($E54,'Løp 1'!$E$10:$E$90,'Løp 1'!$L$10:$L$90,0)</f>
        <v>0</v>
      </c>
      <c r="V54" s="628">
        <f>_xlfn.XLOOKUP($E54,'Løp 2'!$E$10:$E$90,'Løp 2'!$M$10:$M$90,0)</f>
        <v>55</v>
      </c>
      <c r="W54" s="629">
        <f>_xlfn.XLOOKUP($E54,'Løp 2'!$E$10:$E$90,'Løp 2'!$O$10:$O$90,0)</f>
        <v>50</v>
      </c>
      <c r="X54" s="629">
        <f>_xlfn.XLOOKUP($E54,'Løp 2'!$E$10:$E$90,'Løp 2'!$L$10:$L$90,0)</f>
        <v>1.6137566137566138E-2</v>
      </c>
      <c r="Y54" s="628">
        <f>_xlfn.XLOOKUP($E54,'Løp 3'!$E$10:$E$90,'Løp 3'!$M$10:$M$90,0)</f>
        <v>0</v>
      </c>
      <c r="Z54" s="629">
        <f>_xlfn.XLOOKUP($E54,'Løp 3'!$E$10:$E$90,'Løp 3'!$O$10:$O$90,0)</f>
        <v>0</v>
      </c>
      <c r="AA54" s="629">
        <f>_xlfn.XLOOKUP($E54,'Løp 3'!$E$10:$E$90,'Løp 3'!$L$10:$L$90,0)</f>
        <v>0</v>
      </c>
      <c r="AB54" s="628">
        <f>_xlfn.XLOOKUP($E54,'Løp 4'!$E$10:$E$90,'Løp 4'!$M$10:$M$90,0)</f>
        <v>0</v>
      </c>
      <c r="AC54" s="629">
        <f>_xlfn.XLOOKUP($E54,'Løp 4'!$E$10:$E$90,'Løp 4'!$O$10:$O$90,0)</f>
        <v>0</v>
      </c>
      <c r="AD54" s="629">
        <f>_xlfn.XLOOKUP($E54,'Løp 4'!$E$10:$E$90,'Løp 4'!$L$10:$L$90,0)</f>
        <v>0</v>
      </c>
      <c r="AE54" s="628">
        <f>_xlfn.XLOOKUP($E54,'Løp 5'!$E$10:$E$90,'Løp 5'!$M$10:$M$90,0)</f>
        <v>0</v>
      </c>
      <c r="AF54" s="629">
        <f>_xlfn.XLOOKUP($E54,'Løp 5'!$E$10:$E$90,'Løp 5'!$O$10:$O$90,0)</f>
        <v>0</v>
      </c>
      <c r="AG54" s="629">
        <f>_xlfn.XLOOKUP($E54,'Løp 5'!$E$10:$E$90,'Løp 5'!$L$10:$L$90,0)</f>
        <v>0</v>
      </c>
      <c r="AH54" s="628">
        <f>_xlfn.XLOOKUP($E54,'Løp 6'!$E$10:$E$90,'Løp 6'!$M$10:$M$90,0)</f>
        <v>81</v>
      </c>
      <c r="AI54" s="629">
        <f>_xlfn.XLOOKUP($E54,'Løp 6'!$E$10:$E$90,'Løp 6'!$O$10:$O$90,0)</f>
        <v>73</v>
      </c>
      <c r="AJ54" s="629">
        <f>_xlfn.XLOOKUP($E54,'Løp 6'!$E$10:$E$90,'Løp 6'!$L$10:$L$90,0)</f>
        <v>9.7222222222222224E-3</v>
      </c>
      <c r="AK54" s="628">
        <f>_xlfn.XLOOKUP($E54,'Løp 7'!$E$10:$E$90,'Løp 7'!$M$10:$M$90,0)</f>
        <v>0</v>
      </c>
      <c r="AL54" s="629">
        <f>_xlfn.XLOOKUP($E54,'Løp 7'!$E$10:$E$90,'Løp 7'!$O$10:$O$90,0)</f>
        <v>0</v>
      </c>
      <c r="AM54" s="629">
        <f>_xlfn.XLOOKUP($E54,'Løp 7'!$E$10:$E$90,'Løp 7'!$L$10:$L$90,0)</f>
        <v>0</v>
      </c>
      <c r="AN54" s="628">
        <f>_xlfn.XLOOKUP($E54,'Løp 8'!$E$10:$E$91,'Løp 8'!$M$10:$M$91,0)</f>
        <v>0</v>
      </c>
      <c r="AO54" s="629">
        <f>_xlfn.XLOOKUP($E54,'Løp 8'!$E$10:$E$91,'Løp 8'!$O$10:$O$91,0)</f>
        <v>0</v>
      </c>
      <c r="AP54" s="629">
        <f>_xlfn.XLOOKUP($E54,'Løp 8'!$E$10:$E$91,'Løp 8'!$L$10:$L$91,0)</f>
        <v>0</v>
      </c>
      <c r="AQ54" s="628">
        <f>_xlfn.XLOOKUP($E54,'Løp 9'!$E$10:$E$91,'Løp 9'!$M$10:$M$91,0)</f>
        <v>0</v>
      </c>
      <c r="AR54" s="629">
        <f>_xlfn.XLOOKUP($E54,'Løp 9'!$E$10:$E$91,'Løp 9'!$O$10:$O$91,0)</f>
        <v>0</v>
      </c>
      <c r="AS54" s="629">
        <f>_xlfn.XLOOKUP($E54,'Løp 9'!$E$10:$E$91,'Løp 9'!$L$10:$L$91,0)</f>
        <v>0</v>
      </c>
      <c r="AT54" s="628">
        <f>_xlfn.XLOOKUP($E54,'Løp 10'!$E$10:$E$91,'Løp 10'!$M$10:$M$91,0)</f>
        <v>0</v>
      </c>
      <c r="AU54" s="629">
        <f>_xlfn.XLOOKUP($E54,'Løp 10'!$E$10:$E$91,'Løp 10'!$O$10:$O$91,0)</f>
        <v>0</v>
      </c>
      <c r="AV54" s="629">
        <f>_xlfn.XLOOKUP($E54,'Løp 10'!$E$10:$E$91,'Løp 10'!$L$10:$L$91,0)</f>
        <v>0</v>
      </c>
      <c r="AW54" s="628">
        <f>_xlfn.XLOOKUP($E54,'Løp 11'!$E$10:$E$91,'Løp 11'!$M$10:$M$91,0)</f>
        <v>83</v>
      </c>
      <c r="AX54" s="629">
        <f>_xlfn.XLOOKUP($E54,'Løp 11'!$E$10:$E$91,'Løp 11'!$O$10:$O$91,0)</f>
        <v>75</v>
      </c>
      <c r="AY54" s="629">
        <f>_xlfn.XLOOKUP($E54,'Løp 11'!$E$10:$E$91,'Løp 11'!$L$10:$L$91,0)</f>
        <v>8.857783564814814E-3</v>
      </c>
      <c r="AZ54" s="628">
        <f>_xlfn.XLOOKUP($E54,'Løp 12'!$E$10:$E$91,'Løp 12'!$M$10:$M$91,0)</f>
        <v>0</v>
      </c>
      <c r="BA54" s="629">
        <f>_xlfn.XLOOKUP($E54,'Løp 12'!$E$10:$E$91,'Løp 12'!$O$10:$O$91,0)</f>
        <v>0</v>
      </c>
      <c r="BB54" s="629">
        <f>_xlfn.XLOOKUP($E54,'Løp 12'!$E$10:$E$91,'Løp 12'!$L$10:$L$91,0)</f>
        <v>0</v>
      </c>
      <c r="BC54" s="628">
        <f>_xlfn.XLOOKUP($E54,'Løp 13'!$E$10:$E$91,'Løp 13'!$M$10:$M$91,0)</f>
        <v>0</v>
      </c>
      <c r="BD54" s="629">
        <f>_xlfn.XLOOKUP($E54,'Løp 13'!$E$10:$E$91,'Løp 13'!$O$10:$O$91,0)</f>
        <v>0</v>
      </c>
      <c r="BE54" s="629">
        <f>_xlfn.XLOOKUP($E54,'Løp 13'!$E$10:$E$91,'Løp 13'!$L$10:$L$91,0)</f>
        <v>0</v>
      </c>
      <c r="BF54" s="628">
        <f>_xlfn.XLOOKUP($E54,'Løp 14'!$E$10:$E$91,'Løp 14'!$M$10:$M$91,0)</f>
        <v>0</v>
      </c>
      <c r="BG54" s="629">
        <f>_xlfn.XLOOKUP($E54,'Løp 14'!$E$10:$E$91,'Løp 14'!$O$10:$O$91,0)</f>
        <v>0</v>
      </c>
      <c r="BH54" s="629">
        <f>_xlfn.XLOOKUP($E54,'Løp 14'!$E$10:$E$91,'Løp 14'!$L$10:$L$91,0)</f>
        <v>0</v>
      </c>
      <c r="BI54" s="628">
        <f>_xlfn.XLOOKUP($E54,'Løp 15'!$E$10:$E$91,'Løp 15'!$M$10:$M$91,0)</f>
        <v>78</v>
      </c>
      <c r="BJ54" s="629">
        <f>_xlfn.XLOOKUP($E54,'Løp 15'!$E$10:$E$91,'Løp 15'!$O$10:$O$91,0)</f>
        <v>63</v>
      </c>
      <c r="BK54" s="629">
        <f>_xlfn.XLOOKUP($E54,'Løp 15'!$E$10:$E$91,'Løp 15'!$L$10:$L$91,0)</f>
        <v>1.1072530864197532E-2</v>
      </c>
      <c r="BL54" s="628">
        <f>_xlfn.XLOOKUP($E54,'Løp 16'!$E$10:$E$91,'Løp 16'!$M$10:$M$91,0)</f>
        <v>76</v>
      </c>
      <c r="BM54" s="629">
        <f>_xlfn.XLOOKUP($E54,'Løp 16'!$E$10:$E$91,'Løp 16'!$O$10:$O$91,0)</f>
        <v>71</v>
      </c>
      <c r="BN54" s="629">
        <f>_xlfn.XLOOKUP($E54,'Løp 16'!$E$10:$E$91,'Løp 16'!$L$10:$L$91,0)</f>
        <v>9.0121371371371366E-3</v>
      </c>
      <c r="BO54" s="628">
        <f>_xlfn.XLOOKUP($E54,'Løp 17'!$E$10:$E$91,'Løp 17'!$M$10:$M$91,0)</f>
        <v>0</v>
      </c>
      <c r="BP54" s="629">
        <f>_xlfn.XLOOKUP($E54,'Løp 17'!$E$10:$E$91,'Løp 17'!$O$10:$O$91,0)</f>
        <v>0</v>
      </c>
      <c r="BQ54" s="629">
        <f>_xlfn.XLOOKUP($E54,'Løp 17'!$E$10:$E$91,'Løp 17'!$L$10:$L$91,0)</f>
        <v>0</v>
      </c>
      <c r="BR54" s="628">
        <f>_xlfn.XLOOKUP($E54,'Løp 18'!$E$10:$E$91,'Løp 18'!$M$10:$M$91,0)</f>
        <v>0</v>
      </c>
      <c r="BS54" s="629">
        <f>_xlfn.XLOOKUP($E54,'Løp 18'!$E$10:$E$91,'Løp 18'!$O$10:$O$91,0)</f>
        <v>0</v>
      </c>
      <c r="BT54" s="629">
        <f>_xlfn.XLOOKUP($E54,'Løp 18'!$E$10:$E$91,'Løp 18'!$L$10:$L$91,0)</f>
        <v>0</v>
      </c>
      <c r="BU54" s="628">
        <f>_xlfn.XLOOKUP($E54,'Løp 19'!$E$10:$E$91,'Løp 19'!$M$10:$M$91,0)</f>
        <v>0</v>
      </c>
      <c r="BV54" s="629">
        <f>_xlfn.XLOOKUP($E54,'Løp 19'!$E$10:$E$91,'Løp 19'!$O$10:$O$91,0)</f>
        <v>0</v>
      </c>
      <c r="BW54" s="629">
        <f>_xlfn.XLOOKUP($E54,'Løp 19'!$E$10:$E$91,'Løp 19'!$L$10:$L$91,0)</f>
        <v>0</v>
      </c>
      <c r="BX54" s="628">
        <f>_xlfn.XLOOKUP($E54,'Løp 20'!$E$10:$E$92,'Løp 20'!$M$10:$M$92,0)</f>
        <v>68</v>
      </c>
      <c r="BY54" s="629">
        <f>_xlfn.XLOOKUP($E54,'Løp 20'!$E$10:$E$92,'Løp 20'!$O$10:$O$92,0)</f>
        <v>59</v>
      </c>
      <c r="BZ54" s="629">
        <f>_xlfn.XLOOKUP($E54,'Løp 20'!$E$10:$E$92,'Løp 20'!$L$10:$L$92,0)</f>
        <v>1.1471560846560846E-2</v>
      </c>
      <c r="CA54" s="628">
        <f>_xlfn.XLOOKUP($E54,'Løp 21'!$E$10:$E$93,'Løp 21'!$M$10:$M$93,0)</f>
        <v>0</v>
      </c>
      <c r="CB54" s="629">
        <f>_xlfn.XLOOKUP($E54,'Løp 21'!$E$10:$E$93,'Løp 21'!$O$10:$O$93,0)</f>
        <v>0</v>
      </c>
      <c r="CC54" s="629">
        <f>_xlfn.XLOOKUP($E54,'Løp 21'!$E$10:$E$93,'Løp 21'!$L$10:$L$93,0)</f>
        <v>0</v>
      </c>
      <c r="CD54" s="628">
        <f>_xlfn.XLOOKUP($E54,'Løp 22'!$E$10:$E$93,'Løp 22'!$M$10:$M$93,0)</f>
        <v>0</v>
      </c>
      <c r="CE54" s="629">
        <f>_xlfn.XLOOKUP($E54,'Løp 22'!$E$10:$E$93,'Løp 22'!$O$10:$O$93,0)</f>
        <v>0</v>
      </c>
      <c r="CF54" s="629">
        <f>_xlfn.XLOOKUP($E54,'Løp 22'!$E$10:$E$93,'Løp 22'!$L$10:$L$93,0)</f>
        <v>0</v>
      </c>
      <c r="CG54" s="628">
        <f>_xlfn.XLOOKUP($E54,'Løp 23'!$E$10:$E$93,'Løp 23'!$M$10:$M$93,0)</f>
        <v>0</v>
      </c>
      <c r="CH54" s="629">
        <f>_xlfn.XLOOKUP($E54,'Løp 23'!$E$10:$E$93,'Løp 23'!$O$10:$O$93,0)</f>
        <v>0</v>
      </c>
      <c r="CI54" s="629">
        <f>_xlfn.XLOOKUP($E54,'Løp 23'!$E$10:$E$93,'Løp 23'!$L$10:$L$93,0)</f>
        <v>0</v>
      </c>
      <c r="CJ54" s="628">
        <f>_xlfn.XLOOKUP($E54,'Løp 24'!$E$10:$E$93,'Løp 24'!$M$10:$M$93,0)</f>
        <v>79</v>
      </c>
      <c r="CK54" s="629">
        <f>_xlfn.XLOOKUP($E54,'Løp 24'!$E$10:$E$93,'Løp 24'!$O$10:$O$93,0)</f>
        <v>60</v>
      </c>
      <c r="CL54" s="629">
        <f>_xlfn.XLOOKUP($E54,'Løp 24'!$E$10:$E$93,'Løp 24'!$L$10:$L$93,0)</f>
        <v>6.7129629629629631E-3</v>
      </c>
      <c r="CM54" s="628">
        <f>_xlfn.XLOOKUP($E54,'Løp 25'!$E$10:$E$94,'Løp 25'!$M$10:$M$94,0)</f>
        <v>50</v>
      </c>
      <c r="CN54" s="629">
        <f>_xlfn.XLOOKUP($E54,'Løp 25'!$E$10:$E$94,'Løp 25'!$O$10:$O$94,0)</f>
        <v>50</v>
      </c>
      <c r="CO54" s="629" t="str">
        <f>_xlfn.XLOOKUP($E54,'Løp 25'!$E$10:$E$94,'Løp 25'!$L$10:$L$94,0)</f>
        <v>Disk</v>
      </c>
      <c r="CP54" s="628">
        <f>_xlfn.XLOOKUP($E54,'Løp 26'!$E$10:$E$94,'Løp 26'!$M$10:$M$94,0)</f>
        <v>0</v>
      </c>
      <c r="CQ54" s="629">
        <f>_xlfn.XLOOKUP($E54,'Løp 26'!$E$10:$E$94,'Løp 26'!$O$10:$O$94,0)</f>
        <v>0</v>
      </c>
      <c r="CR54" s="629">
        <f>_xlfn.XLOOKUP($E54,'Løp 26'!$E$10:$E$94,'Løp 26'!$L$10:$L$94,0)</f>
        <v>0</v>
      </c>
      <c r="CS54" s="628">
        <f>_xlfn.XLOOKUP($E54,'Løp 27'!$E$10:$E$94,'Løp 27'!$M$10:$M$94,0)</f>
        <v>0</v>
      </c>
      <c r="CT54" s="629">
        <f>_xlfn.XLOOKUP($E54,'Løp 27'!$E$10:$E$94,'Løp 27'!$O$10:$O$94,0)</f>
        <v>0</v>
      </c>
      <c r="CU54" s="629">
        <f>_xlfn.XLOOKUP($E54,'Løp 27'!$E$10:$E$94,'Løp 27'!$L$10:$L$94,0)</f>
        <v>0</v>
      </c>
      <c r="CV54" s="628">
        <f>_xlfn.XLOOKUP($E54,'Løp 28'!$E$10:$E$95,'Løp 28'!$M$10:$M$95,0)</f>
        <v>0</v>
      </c>
      <c r="CW54" s="629">
        <f>_xlfn.XLOOKUP($E54,'Løp 28'!$E$10:$E$95,'Løp 28'!$O$10:$O$95,0)</f>
        <v>0</v>
      </c>
      <c r="CX54" s="629">
        <f>_xlfn.XLOOKUP($E54,'Løp 28'!$E$10:$E$95,'Løp 28'!$L$10:$L$95,0)</f>
        <v>0</v>
      </c>
      <c r="CY54" s="628">
        <f>_xlfn.XLOOKUP($E54,'Løp 29'!$E$10:$E$95,'Løp 29'!$M$10:$M$95,0)</f>
        <v>0</v>
      </c>
      <c r="CZ54" s="629">
        <f>_xlfn.XLOOKUP($E54,'Løp 29'!$E$10:$E$95,'Løp 29'!$O$10:$O$95,0)</f>
        <v>0</v>
      </c>
      <c r="DA54" s="629">
        <f>_xlfn.XLOOKUP($E54,'Løp 29'!$E$10:$E$95,'Løp 29'!$L$10:$L$95,0)</f>
        <v>0</v>
      </c>
    </row>
    <row r="55" spans="2:105" ht="26" thickBot="1" x14ac:dyDescent="0.3">
      <c r="B55" s="627">
        <f t="shared" si="0"/>
        <v>46</v>
      </c>
      <c r="C55" s="119" t="s">
        <v>90</v>
      </c>
      <c r="D55" s="620" t="s">
        <v>91</v>
      </c>
      <c r="E55" s="616" t="str">
        <f>_xlfn.CONCAT(C55:D55)</f>
        <v>TorGjermstad</v>
      </c>
      <c r="F55" s="610"/>
      <c r="G55" s="653">
        <f>COUNTIF(S55:DA55,"&gt;2")/2</f>
        <v>23</v>
      </c>
      <c r="H55" s="852">
        <f>COUNTIF(S55:DA55,"=Løype")+COUNTIF(S55:DA55,"Arr")</f>
        <v>1</v>
      </c>
      <c r="I55" s="610"/>
      <c r="J55" s="632">
        <f>S55+V55+Y55+AB55+AE55+AH55+AK55+AN55+AQ55+AT55+AW55+AZ55+BC55+BF55+BI55+BL55+BO55+BR55+BU55+BX55+CA55+CD55+CG55+CJ55+CM55+CP55+CS55+CV55+CY55</f>
        <v>1473</v>
      </c>
      <c r="K55" s="633">
        <f>T55+W55+Z55+AC55+AF55+AI55+AL55+AO55+AR55+AU55+AX55+BA55+BD55+BG55+BJ55+BM55+BP55+BS55+BV55+BY55+CB55+CE55+CH55+CK55+CN55+CQ55+CT55+CW55+CZ55</f>
        <v>1440</v>
      </c>
      <c r="L55" s="613"/>
      <c r="M55" s="658">
        <f>IF($G55&gt;0,J55/G55,0)</f>
        <v>64.043478260869563</v>
      </c>
      <c r="N55" s="659">
        <f>IF($G55&gt;0,K55/$G55,0)</f>
        <v>62.608695652173914</v>
      </c>
      <c r="O55" s="862"/>
      <c r="P55" s="874">
        <f>IF(AND($G55&gt;$Q$3-1,$G55-$H55&gt;0),M55,0)</f>
        <v>64.043478260869563</v>
      </c>
      <c r="Q55" s="875">
        <f>IF(AND($G55&gt;$Q$3-1,$G55-$H55&gt;0),N55,0)</f>
        <v>62.608695652173914</v>
      </c>
      <c r="R55" s="613"/>
      <c r="S55" s="628">
        <f>_xlfn.XLOOKUP($E55,'Løp 1'!$E$10:$E$90,'Løp 1'!$M$10:$M$90,0)</f>
        <v>0</v>
      </c>
      <c r="T55" s="629">
        <f>_xlfn.XLOOKUP($E55,'Løp 1'!$E$10:$E$90,'Løp 1'!$O$10:$O$90,0)</f>
        <v>0</v>
      </c>
      <c r="U55" s="629">
        <f>_xlfn.XLOOKUP($E55,'Løp 1'!$E$10:$E$90,'Løp 1'!$L$10:$L$90,0)</f>
        <v>0</v>
      </c>
      <c r="V55" s="628">
        <f>_xlfn.XLOOKUP($E55,'Løp 2'!$E$10:$E$90,'Løp 2'!$M$10:$M$90,0)</f>
        <v>70</v>
      </c>
      <c r="W55" s="629">
        <f>_xlfn.XLOOKUP($E55,'Løp 2'!$E$10:$E$90,'Løp 2'!$O$10:$O$90,0)</f>
        <v>61</v>
      </c>
      <c r="X55" s="629">
        <f>_xlfn.XLOOKUP($E55,'Løp 2'!$E$10:$E$90,'Løp 2'!$L$10:$L$90,0)</f>
        <v>1.277006172839506E-2</v>
      </c>
      <c r="Y55" s="628">
        <f>_xlfn.XLOOKUP($E55,'Løp 3'!$E$10:$E$90,'Løp 3'!$M$10:$M$90,0)</f>
        <v>0</v>
      </c>
      <c r="Z55" s="629">
        <f>_xlfn.XLOOKUP($E55,'Løp 3'!$E$10:$E$90,'Løp 3'!$O$10:$O$90,0)</f>
        <v>0</v>
      </c>
      <c r="AA55" s="629">
        <f>_xlfn.XLOOKUP($E55,'Løp 3'!$E$10:$E$90,'Løp 3'!$L$10:$L$90,0)</f>
        <v>0</v>
      </c>
      <c r="AB55" s="628">
        <f>_xlfn.XLOOKUP($E55,'Løp 4'!$E$10:$E$90,'Løp 4'!$M$10:$M$90,0)</f>
        <v>50</v>
      </c>
      <c r="AC55" s="629">
        <f>_xlfn.XLOOKUP($E55,'Løp 4'!$E$10:$E$90,'Løp 4'!$O$10:$O$90,0)</f>
        <v>50</v>
      </c>
      <c r="AD55" s="629">
        <f>_xlfn.XLOOKUP($E55,'Løp 4'!$E$10:$E$90,'Løp 4'!$L$10:$L$90,0)</f>
        <v>1.6128220611916266E-2</v>
      </c>
      <c r="AE55" s="628">
        <f>_xlfn.XLOOKUP($E55,'Løp 5'!$E$10:$E$90,'Løp 5'!$M$10:$M$90,0)</f>
        <v>56</v>
      </c>
      <c r="AF55" s="629">
        <f>_xlfn.XLOOKUP($E55,'Løp 5'!$E$10:$E$90,'Løp 5'!$O$10:$O$90,0)</f>
        <v>55</v>
      </c>
      <c r="AG55" s="629">
        <f>_xlfn.XLOOKUP($E55,'Løp 5'!$E$10:$E$90,'Løp 5'!$L$10:$L$90,0)</f>
        <v>1.286892361111111E-2</v>
      </c>
      <c r="AH55" s="628">
        <f>_xlfn.XLOOKUP($E55,'Løp 6'!$E$10:$E$90,'Løp 6'!$M$10:$M$90,0)</f>
        <v>73</v>
      </c>
      <c r="AI55" s="629">
        <f>_xlfn.XLOOKUP($E55,'Løp 6'!$E$10:$E$90,'Løp 6'!$O$10:$O$90,0)</f>
        <v>75</v>
      </c>
      <c r="AJ55" s="629">
        <f>_xlfn.XLOOKUP($E55,'Løp 6'!$E$10:$E$90,'Løp 6'!$L$10:$L$90,0)</f>
        <v>1.0688997821350762E-2</v>
      </c>
      <c r="AK55" s="628">
        <f>_xlfn.XLOOKUP($E55,'Løp 7'!$E$10:$E$90,'Løp 7'!$M$10:$M$90,0)</f>
        <v>90</v>
      </c>
      <c r="AL55" s="629">
        <f>_xlfn.XLOOKUP($E55,'Løp 7'!$E$10:$E$90,'Løp 7'!$O$10:$O$90,0)</f>
        <v>75</v>
      </c>
      <c r="AM55" s="629">
        <f>_xlfn.XLOOKUP($E55,'Løp 7'!$E$10:$E$90,'Løp 7'!$L$10:$L$90,0)</f>
        <v>1.8702651515151512E-2</v>
      </c>
      <c r="AN55" s="628">
        <f>_xlfn.XLOOKUP($E55,'Løp 8'!$E$10:$E$91,'Løp 8'!$M$10:$M$91,0)</f>
        <v>74</v>
      </c>
      <c r="AO55" s="629">
        <f>_xlfn.XLOOKUP($E55,'Løp 8'!$E$10:$E$91,'Løp 8'!$O$10:$O$91,0)</f>
        <v>63</v>
      </c>
      <c r="AP55" s="629">
        <f>_xlfn.XLOOKUP($E55,'Løp 8'!$E$10:$E$91,'Løp 8'!$L$10:$L$91,0)</f>
        <v>1.1589506172839506E-2</v>
      </c>
      <c r="AQ55" s="628">
        <f>_xlfn.XLOOKUP($E55,'Løp 9'!$E$10:$E$91,'Løp 9'!$M$10:$M$91,0)</f>
        <v>84</v>
      </c>
      <c r="AR55" s="629">
        <f>_xlfn.XLOOKUP($E55,'Løp 9'!$E$10:$E$91,'Løp 9'!$O$10:$O$91,0)</f>
        <v>75</v>
      </c>
      <c r="AS55" s="629">
        <f>_xlfn.XLOOKUP($E55,'Løp 9'!$E$10:$E$91,'Løp 9'!$L$10:$L$91,0)</f>
        <v>8.1492003367003366E-3</v>
      </c>
      <c r="AT55" s="628">
        <f>_xlfn.XLOOKUP($E55,'Løp 10'!$E$10:$E$91,'Løp 10'!$M$10:$M$91,0)</f>
        <v>64</v>
      </c>
      <c r="AU55" s="629">
        <f>_xlfn.XLOOKUP($E55,'Løp 10'!$E$10:$E$91,'Løp 10'!$O$10:$O$91,0)</f>
        <v>64</v>
      </c>
      <c r="AV55" s="629">
        <f>_xlfn.XLOOKUP($E55,'Løp 10'!$E$10:$E$91,'Løp 10'!$L$10:$L$91,0)</f>
        <v>1.1668113425925926E-2</v>
      </c>
      <c r="AW55" s="628">
        <f>_xlfn.XLOOKUP($E55,'Løp 11'!$E$10:$E$91,'Løp 11'!$M$10:$M$91,0)</f>
        <v>79</v>
      </c>
      <c r="AX55" s="629">
        <f>_xlfn.XLOOKUP($E55,'Løp 11'!$E$10:$E$91,'Løp 11'!$O$10:$O$91,0)</f>
        <v>80</v>
      </c>
      <c r="AY55" s="629">
        <f>_xlfn.XLOOKUP($E55,'Løp 11'!$E$10:$E$91,'Løp 11'!$L$10:$L$91,0)</f>
        <v>9.3013468013468017E-3</v>
      </c>
      <c r="AZ55" s="628">
        <f>_xlfn.XLOOKUP($E55,'Løp 12'!$E$10:$E$91,'Løp 12'!$M$10:$M$91,0)</f>
        <v>0</v>
      </c>
      <c r="BA55" s="629">
        <f>_xlfn.XLOOKUP($E55,'Løp 12'!$E$10:$E$91,'Løp 12'!$O$10:$O$91,0)</f>
        <v>0</v>
      </c>
      <c r="BB55" s="629">
        <f>_xlfn.XLOOKUP($E55,'Løp 12'!$E$10:$E$91,'Løp 12'!$L$10:$L$91,0)</f>
        <v>0</v>
      </c>
      <c r="BC55" s="628">
        <f>_xlfn.XLOOKUP($E55,'Løp 13'!$E$10:$E$91,'Løp 13'!$M$10:$M$91,0)</f>
        <v>59</v>
      </c>
      <c r="BD55" s="629">
        <f>_xlfn.XLOOKUP($E55,'Løp 13'!$E$10:$E$91,'Løp 13'!$O$10:$O$91,0)</f>
        <v>71</v>
      </c>
      <c r="BE55" s="629">
        <f>_xlfn.XLOOKUP($E55,'Løp 13'!$E$10:$E$91,'Løp 13'!$L$10:$L$91,0)</f>
        <v>9.1203703703703707E-3</v>
      </c>
      <c r="BF55" s="628">
        <f>_xlfn.XLOOKUP($E55,'Løp 14'!$E$10:$E$91,'Løp 14'!$M$10:$M$91,0)</f>
        <v>0</v>
      </c>
      <c r="BG55" s="629">
        <f>_xlfn.XLOOKUP($E55,'Løp 14'!$E$10:$E$91,'Løp 14'!$O$10:$O$91,0)</f>
        <v>0</v>
      </c>
      <c r="BH55" s="629">
        <f>_xlfn.XLOOKUP($E55,'Løp 14'!$E$10:$E$91,'Løp 14'!$L$10:$L$91,0)</f>
        <v>0</v>
      </c>
      <c r="BI55" s="628">
        <f>_xlfn.XLOOKUP($E55,'Løp 15'!$E$10:$E$91,'Løp 15'!$M$10:$M$91,0)</f>
        <v>70</v>
      </c>
      <c r="BJ55" s="629">
        <f>_xlfn.XLOOKUP($E55,'Løp 15'!$E$10:$E$91,'Løp 15'!$O$10:$O$91,0)</f>
        <v>64</v>
      </c>
      <c r="BK55" s="629">
        <f>_xlfn.XLOOKUP($E55,'Løp 15'!$E$10:$E$91,'Løp 15'!$L$10:$L$91,0)</f>
        <v>1.2285052910052911E-2</v>
      </c>
      <c r="BL55" s="628">
        <f>_xlfn.XLOOKUP($E55,'Løp 16'!$E$10:$E$91,'Løp 16'!$M$10:$M$91,0)</f>
        <v>50</v>
      </c>
      <c r="BM55" s="629">
        <f>_xlfn.XLOOKUP($E55,'Løp 16'!$E$10:$E$91,'Løp 16'!$O$10:$O$91,0)</f>
        <v>50</v>
      </c>
      <c r="BN55" s="629" t="str">
        <f>_xlfn.XLOOKUP($E55,'Løp 16'!$E$10:$E$91,'Løp 16'!$L$10:$L$91,0)</f>
        <v>Disk</v>
      </c>
      <c r="BO55" s="628">
        <f>_xlfn.XLOOKUP($E55,'Løp 17'!$E$10:$E$91,'Løp 17'!$M$10:$M$91,0)</f>
        <v>50</v>
      </c>
      <c r="BP55" s="629">
        <f>_xlfn.XLOOKUP($E55,'Løp 17'!$E$10:$E$91,'Løp 17'!$O$10:$O$91,0)</f>
        <v>50</v>
      </c>
      <c r="BQ55" s="629">
        <f>_xlfn.XLOOKUP($E55,'Løp 17'!$E$10:$E$91,'Løp 17'!$L$10:$L$91,0)</f>
        <v>1.371832358674464E-2</v>
      </c>
      <c r="BR55" s="628">
        <f>_xlfn.XLOOKUP($E55,'Løp 18'!$E$10:$E$91,'Løp 18'!$M$10:$M$91,0)</f>
        <v>0</v>
      </c>
      <c r="BS55" s="629">
        <f>_xlfn.XLOOKUP($E55,'Løp 18'!$E$10:$E$91,'Løp 18'!$O$10:$O$91,0)</f>
        <v>0</v>
      </c>
      <c r="BT55" s="629">
        <f>_xlfn.XLOOKUP($E55,'Løp 18'!$E$10:$E$91,'Løp 18'!$L$10:$L$91,0)</f>
        <v>0</v>
      </c>
      <c r="BU55" s="628">
        <f>_xlfn.XLOOKUP($E55,'Løp 19'!$E$10:$E$91,'Løp 19'!$M$10:$M$91,0)</f>
        <v>50</v>
      </c>
      <c r="BV55" s="629">
        <f>_xlfn.XLOOKUP($E55,'Løp 19'!$E$10:$E$91,'Løp 19'!$O$10:$O$91,0)</f>
        <v>50</v>
      </c>
      <c r="BW55" s="629">
        <f>_xlfn.XLOOKUP($E55,'Løp 19'!$E$10:$E$91,'Løp 19'!$L$10:$L$91,0)</f>
        <v>1.7264660493827161E-2</v>
      </c>
      <c r="BX55" s="628">
        <f>_xlfn.XLOOKUP($E55,'Løp 20'!$E$10:$E$92,'Løp 20'!$M$10:$M$92,0)</f>
        <v>50</v>
      </c>
      <c r="BY55" s="629">
        <f>_xlfn.XLOOKUP($E55,'Løp 20'!$E$10:$E$92,'Løp 20'!$O$10:$O$92,0)</f>
        <v>50</v>
      </c>
      <c r="BZ55" s="629" t="str">
        <f>_xlfn.XLOOKUP($E55,'Løp 20'!$E$10:$E$92,'Løp 20'!$L$10:$L$92,0)</f>
        <v>Disk</v>
      </c>
      <c r="CA55" s="628">
        <f>_xlfn.XLOOKUP($E55,'Løp 21'!$E$10:$E$93,'Løp 21'!$M$10:$M$93,0)</f>
        <v>63</v>
      </c>
      <c r="CB55" s="629">
        <f>_xlfn.XLOOKUP($E55,'Løp 21'!$E$10:$E$93,'Løp 21'!$O$10:$O$93,0)</f>
        <v>65</v>
      </c>
      <c r="CC55" s="629">
        <f>_xlfn.XLOOKUP($E55,'Løp 21'!$E$10:$E$93,'Løp 21'!$L$10:$L$93,0)</f>
        <v>9.7121578099838967E-3</v>
      </c>
      <c r="CD55" s="628">
        <f>_xlfn.XLOOKUP($E55,'Løp 22'!$E$10:$E$93,'Løp 22'!$M$10:$M$93,0)</f>
        <v>100</v>
      </c>
      <c r="CE55" s="629">
        <f>_xlfn.XLOOKUP($E55,'Løp 22'!$E$10:$E$93,'Løp 22'!$O$10:$O$93,0)</f>
        <v>100</v>
      </c>
      <c r="CF55" s="629" t="str">
        <f>_xlfn.XLOOKUP($E55,'Løp 22'!$E$10:$E$93,'Løp 22'!$L$10:$L$93,0)</f>
        <v>Løype</v>
      </c>
      <c r="CG55" s="628">
        <f>_xlfn.XLOOKUP($E55,'Løp 23'!$E$10:$E$93,'Løp 23'!$M$10:$M$93,0)</f>
        <v>50</v>
      </c>
      <c r="CH55" s="629">
        <f>_xlfn.XLOOKUP($E55,'Løp 23'!$E$10:$E$93,'Løp 23'!$O$10:$O$93,0)</f>
        <v>50</v>
      </c>
      <c r="CI55" s="629">
        <f>_xlfn.XLOOKUP($E55,'Løp 23'!$E$10:$E$93,'Løp 23'!$L$10:$L$93,0)</f>
        <v>1.2101337448559671E-2</v>
      </c>
      <c r="CJ55" s="628">
        <f>_xlfn.XLOOKUP($E55,'Løp 24'!$E$10:$E$93,'Løp 24'!$M$10:$M$93,0)</f>
        <v>69</v>
      </c>
      <c r="CK55" s="629">
        <f>_xlfn.XLOOKUP($E55,'Løp 24'!$E$10:$E$93,'Løp 24'!$O$10:$O$93,0)</f>
        <v>60</v>
      </c>
      <c r="CL55" s="629">
        <f>_xlfn.XLOOKUP($E55,'Løp 24'!$E$10:$E$93,'Løp 24'!$L$10:$L$93,0)</f>
        <v>7.7230639730639719E-3</v>
      </c>
      <c r="CM55" s="628">
        <f>_xlfn.XLOOKUP($E55,'Løp 25'!$E$10:$E$94,'Løp 25'!$M$10:$M$94,0)</f>
        <v>50</v>
      </c>
      <c r="CN55" s="629">
        <f>_xlfn.XLOOKUP($E55,'Løp 25'!$E$10:$E$94,'Løp 25'!$O$10:$O$94,0)</f>
        <v>50</v>
      </c>
      <c r="CO55" s="629" t="str">
        <f>_xlfn.XLOOKUP($E55,'Løp 25'!$E$10:$E$94,'Løp 25'!$L$10:$L$94,0)</f>
        <v>Disk</v>
      </c>
      <c r="CP55" s="628">
        <f>_xlfn.XLOOKUP($E55,'Løp 26'!$E$10:$E$94,'Løp 26'!$M$10:$M$94,0)</f>
        <v>0</v>
      </c>
      <c r="CQ55" s="629">
        <f>_xlfn.XLOOKUP($E55,'Løp 26'!$E$10:$E$94,'Løp 26'!$O$10:$O$94,0)</f>
        <v>0</v>
      </c>
      <c r="CR55" s="629">
        <f>_xlfn.XLOOKUP($E55,'Løp 26'!$E$10:$E$94,'Løp 26'!$L$10:$L$94,0)</f>
        <v>0</v>
      </c>
      <c r="CS55" s="628">
        <f>_xlfn.XLOOKUP($E55,'Løp 27'!$E$10:$E$94,'Løp 27'!$M$10:$M$94,0)</f>
        <v>62</v>
      </c>
      <c r="CT55" s="629">
        <f>_xlfn.XLOOKUP($E55,'Løp 27'!$E$10:$E$94,'Løp 27'!$O$10:$O$94,0)</f>
        <v>66</v>
      </c>
      <c r="CU55" s="629">
        <f>_xlfn.XLOOKUP($E55,'Løp 27'!$E$10:$E$94,'Løp 27'!$L$10:$L$94,0)</f>
        <v>1.1143261316872429E-2</v>
      </c>
      <c r="CV55" s="628">
        <f>_xlfn.XLOOKUP($E55,'Løp 28'!$E$10:$E$95,'Løp 28'!$M$10:$M$95,0)</f>
        <v>60</v>
      </c>
      <c r="CW55" s="629">
        <f>_xlfn.XLOOKUP($E55,'Løp 28'!$E$10:$E$95,'Løp 28'!$O$10:$O$95,0)</f>
        <v>66</v>
      </c>
      <c r="CX55" s="629">
        <f>_xlfn.XLOOKUP($E55,'Løp 28'!$E$10:$E$95,'Løp 28'!$L$10:$L$95,0)</f>
        <v>1.1012731481481481E-2</v>
      </c>
      <c r="CY55" s="628">
        <f>_xlfn.XLOOKUP($E55,'Løp 29'!$E$10:$E$95,'Løp 29'!$M$10:$M$95,0)</f>
        <v>50</v>
      </c>
      <c r="CZ55" s="629">
        <f>_xlfn.XLOOKUP($E55,'Løp 29'!$E$10:$E$95,'Løp 29'!$O$10:$O$95,0)</f>
        <v>50</v>
      </c>
      <c r="DA55" s="629">
        <f>_xlfn.XLOOKUP($E55,'Løp 29'!$E$10:$E$95,'Løp 29'!$L$10:$L$95,0)</f>
        <v>1.8901909722222221E-2</v>
      </c>
    </row>
    <row r="56" spans="2:105" ht="26" thickBot="1" x14ac:dyDescent="0.3">
      <c r="B56" s="627">
        <f t="shared" si="0"/>
        <v>47</v>
      </c>
      <c r="C56" s="119" t="s">
        <v>76</v>
      </c>
      <c r="D56" s="620" t="s">
        <v>77</v>
      </c>
      <c r="E56" s="616" t="str">
        <f>_xlfn.CONCAT(C56:D56)</f>
        <v>ReinoldEllingsen</v>
      </c>
      <c r="F56" s="610"/>
      <c r="G56" s="653">
        <f>COUNTIF(S56:DA56,"&gt;2")/2</f>
        <v>15</v>
      </c>
      <c r="H56" s="852">
        <f>COUNTIF(S56:DA56,"=Løype")+COUNTIF(S56:DA56,"Arr")</f>
        <v>1</v>
      </c>
      <c r="I56" s="610"/>
      <c r="J56" s="632">
        <f>S56+V56+Y56+AB56+AE56+AH56+AK56+AN56+AQ56+AT56+AW56+AZ56+BC56+BF56+BI56+BL56+BO56+BR56+BU56+BX56+CA56+CD56+CG56+CJ56+CM56+CP56+CS56+CV56+CY56</f>
        <v>941</v>
      </c>
      <c r="K56" s="633">
        <f>T56+W56+Z56+AC56+AF56+AI56+AL56+AO56+AR56+AU56+AX56+BA56+BD56+BG56+BJ56+BM56+BP56+BS56+BV56+BY56+CB56+CE56+CH56+CK56+CN56+CQ56+CT56+CW56+CZ56</f>
        <v>927</v>
      </c>
      <c r="L56" s="613"/>
      <c r="M56" s="658">
        <f>IF($G56&gt;0,J56/G56,0)</f>
        <v>62.733333333333334</v>
      </c>
      <c r="N56" s="659">
        <f>IF($G56&gt;0,K56/$G56,0)</f>
        <v>61.8</v>
      </c>
      <c r="O56" s="862"/>
      <c r="P56" s="874">
        <f>IF(AND($G56&gt;$Q$3-1,$G56-$H56&gt;0),M56,0)</f>
        <v>62.733333333333334</v>
      </c>
      <c r="Q56" s="875">
        <f>IF(AND($G56&gt;$Q$3-1,$G56-$H56&gt;0),N56,0)</f>
        <v>61.8</v>
      </c>
      <c r="R56" s="613"/>
      <c r="S56" s="628">
        <f>_xlfn.XLOOKUP($E56,'Løp 1'!$E$10:$E$90,'Løp 1'!$M$10:$M$90,0)</f>
        <v>0</v>
      </c>
      <c r="T56" s="629">
        <f>_xlfn.XLOOKUP($E56,'Løp 1'!$E$10:$E$90,'Løp 1'!$O$10:$O$90,0)</f>
        <v>0</v>
      </c>
      <c r="U56" s="629">
        <f>_xlfn.XLOOKUP($E56,'Løp 1'!$E$10:$E$90,'Løp 1'!$L$10:$L$90,0)</f>
        <v>0</v>
      </c>
      <c r="V56" s="628">
        <f>_xlfn.XLOOKUP($E56,'Løp 2'!$E$10:$E$90,'Løp 2'!$M$10:$M$90,0)</f>
        <v>0</v>
      </c>
      <c r="W56" s="629">
        <f>_xlfn.XLOOKUP($E56,'Løp 2'!$E$10:$E$90,'Løp 2'!$O$10:$O$90,0)</f>
        <v>0</v>
      </c>
      <c r="X56" s="629">
        <f>_xlfn.XLOOKUP($E56,'Løp 2'!$E$10:$E$90,'Løp 2'!$L$10:$L$90,0)</f>
        <v>0</v>
      </c>
      <c r="Y56" s="628">
        <f>_xlfn.XLOOKUP($E56,'Løp 3'!$E$10:$E$90,'Løp 3'!$M$10:$M$90,0)</f>
        <v>61</v>
      </c>
      <c r="Z56" s="629">
        <f>_xlfn.XLOOKUP($E56,'Løp 3'!$E$10:$E$90,'Løp 3'!$O$10:$O$90,0)</f>
        <v>58</v>
      </c>
      <c r="AA56" s="629">
        <f>_xlfn.XLOOKUP($E56,'Løp 3'!$E$10:$E$90,'Løp 3'!$L$10:$L$90,0)</f>
        <v>1.4705687830687831E-2</v>
      </c>
      <c r="AB56" s="628">
        <f>_xlfn.XLOOKUP($E56,'Løp 4'!$E$10:$E$90,'Løp 4'!$M$10:$M$90,0)</f>
        <v>64</v>
      </c>
      <c r="AC56" s="629">
        <f>_xlfn.XLOOKUP($E56,'Løp 4'!$E$10:$E$90,'Løp 4'!$O$10:$O$90,0)</f>
        <v>68</v>
      </c>
      <c r="AD56" s="629">
        <f>_xlfn.XLOOKUP($E56,'Løp 4'!$E$10:$E$90,'Løp 4'!$L$10:$L$90,0)</f>
        <v>1.0833333333333334E-2</v>
      </c>
      <c r="AE56" s="628">
        <f>_xlfn.XLOOKUP($E56,'Løp 5'!$E$10:$E$90,'Løp 5'!$M$10:$M$90,0)</f>
        <v>56</v>
      </c>
      <c r="AF56" s="629">
        <f>_xlfn.XLOOKUP($E56,'Løp 5'!$E$10:$E$90,'Løp 5'!$O$10:$O$90,0)</f>
        <v>54</v>
      </c>
      <c r="AG56" s="629">
        <f>_xlfn.XLOOKUP($E56,'Løp 5'!$E$10:$E$90,'Løp 5'!$L$10:$L$90,0)</f>
        <v>1.292679398148148E-2</v>
      </c>
      <c r="AH56" s="628">
        <f>_xlfn.XLOOKUP($E56,'Løp 6'!$E$10:$E$90,'Løp 6'!$M$10:$M$90,0)</f>
        <v>0</v>
      </c>
      <c r="AI56" s="629">
        <f>_xlfn.XLOOKUP($E56,'Løp 6'!$E$10:$E$90,'Løp 6'!$O$10:$O$90,0)</f>
        <v>0</v>
      </c>
      <c r="AJ56" s="629">
        <f>_xlfn.XLOOKUP($E56,'Løp 6'!$E$10:$E$90,'Løp 6'!$L$10:$L$90,0)</f>
        <v>0</v>
      </c>
      <c r="AK56" s="628">
        <f>_xlfn.XLOOKUP($E56,'Løp 7'!$E$10:$E$90,'Løp 7'!$M$10:$M$90,0)</f>
        <v>0</v>
      </c>
      <c r="AL56" s="629">
        <f>_xlfn.XLOOKUP($E56,'Løp 7'!$E$10:$E$90,'Løp 7'!$O$10:$O$90,0)</f>
        <v>0</v>
      </c>
      <c r="AM56" s="629">
        <f>_xlfn.XLOOKUP($E56,'Løp 7'!$E$10:$E$90,'Løp 7'!$L$10:$L$90,0)</f>
        <v>0</v>
      </c>
      <c r="AN56" s="628">
        <f>_xlfn.XLOOKUP($E56,'Løp 8'!$E$10:$E$91,'Løp 8'!$M$10:$M$91,0)</f>
        <v>75</v>
      </c>
      <c r="AO56" s="629">
        <f>_xlfn.XLOOKUP($E56,'Løp 8'!$E$10:$E$91,'Løp 8'!$O$10:$O$91,0)</f>
        <v>62</v>
      </c>
      <c r="AP56" s="629">
        <f>_xlfn.XLOOKUP($E56,'Løp 8'!$E$10:$E$91,'Løp 8'!$L$10:$L$91,0)</f>
        <v>1.1421506734006734E-2</v>
      </c>
      <c r="AQ56" s="628">
        <f>_xlfn.XLOOKUP($E56,'Løp 9'!$E$10:$E$91,'Løp 9'!$M$10:$M$91,0)</f>
        <v>0</v>
      </c>
      <c r="AR56" s="629">
        <f>_xlfn.XLOOKUP($E56,'Løp 9'!$E$10:$E$91,'Løp 9'!$O$10:$O$91,0)</f>
        <v>0</v>
      </c>
      <c r="AS56" s="629">
        <f>_xlfn.XLOOKUP($E56,'Løp 9'!$E$10:$E$91,'Løp 9'!$L$10:$L$91,0)</f>
        <v>0</v>
      </c>
      <c r="AT56" s="628">
        <f>_xlfn.XLOOKUP($E56,'Løp 10'!$E$10:$E$91,'Løp 10'!$M$10:$M$91,0)</f>
        <v>0</v>
      </c>
      <c r="AU56" s="629">
        <f>_xlfn.XLOOKUP($E56,'Løp 10'!$E$10:$E$91,'Løp 10'!$O$10:$O$91,0)</f>
        <v>0</v>
      </c>
      <c r="AV56" s="629">
        <f>_xlfn.XLOOKUP($E56,'Løp 10'!$E$10:$E$91,'Løp 10'!$L$10:$L$91,0)</f>
        <v>0</v>
      </c>
      <c r="AW56" s="628">
        <f>_xlfn.XLOOKUP($E56,'Løp 11'!$E$10:$E$91,'Løp 11'!$M$10:$M$91,0)</f>
        <v>73</v>
      </c>
      <c r="AX56" s="629">
        <f>_xlfn.XLOOKUP($E56,'Løp 11'!$E$10:$E$91,'Løp 11'!$O$10:$O$91,0)</f>
        <v>73</v>
      </c>
      <c r="AY56" s="629">
        <f>_xlfn.XLOOKUP($E56,'Løp 11'!$E$10:$E$91,'Løp 11'!$L$10:$L$91,0)</f>
        <v>1.0011574074074072E-2</v>
      </c>
      <c r="AZ56" s="628">
        <f>_xlfn.XLOOKUP($E56,'Løp 12'!$E$10:$E$91,'Løp 12'!$M$10:$M$91,0)</f>
        <v>53</v>
      </c>
      <c r="BA56" s="629">
        <f>_xlfn.XLOOKUP($E56,'Løp 12'!$E$10:$E$91,'Løp 12'!$O$10:$O$91,0)</f>
        <v>56</v>
      </c>
      <c r="BB56" s="629">
        <f>_xlfn.XLOOKUP($E56,'Løp 12'!$E$10:$E$91,'Løp 12'!$L$10:$L$91,0)</f>
        <v>1.0545267489711933E-2</v>
      </c>
      <c r="BC56" s="628">
        <f>_xlfn.XLOOKUP($E56,'Løp 13'!$E$10:$E$91,'Løp 13'!$M$10:$M$91,0)</f>
        <v>0</v>
      </c>
      <c r="BD56" s="629">
        <f>_xlfn.XLOOKUP($E56,'Løp 13'!$E$10:$E$91,'Løp 13'!$O$10:$O$91,0)</f>
        <v>0</v>
      </c>
      <c r="BE56" s="629">
        <f>_xlfn.XLOOKUP($E56,'Løp 13'!$E$10:$E$91,'Løp 13'!$L$10:$L$91,0)</f>
        <v>0</v>
      </c>
      <c r="BF56" s="628">
        <f>_xlfn.XLOOKUP($E56,'Løp 14'!$E$10:$E$91,'Løp 14'!$M$10:$M$91,0)</f>
        <v>0</v>
      </c>
      <c r="BG56" s="629">
        <f>_xlfn.XLOOKUP($E56,'Løp 14'!$E$10:$E$91,'Løp 14'!$O$10:$O$91,0)</f>
        <v>0</v>
      </c>
      <c r="BH56" s="629">
        <f>_xlfn.XLOOKUP($E56,'Løp 14'!$E$10:$E$91,'Løp 14'!$L$10:$L$91,0)</f>
        <v>0</v>
      </c>
      <c r="BI56" s="628">
        <f>_xlfn.XLOOKUP($E56,'Løp 15'!$E$10:$E$91,'Løp 15'!$M$10:$M$91,0)</f>
        <v>0</v>
      </c>
      <c r="BJ56" s="629">
        <f>_xlfn.XLOOKUP($E56,'Løp 15'!$E$10:$E$91,'Løp 15'!$O$10:$O$91,0)</f>
        <v>0</v>
      </c>
      <c r="BK56" s="629">
        <f>_xlfn.XLOOKUP($E56,'Løp 15'!$E$10:$E$91,'Løp 15'!$L$10:$L$91,0)</f>
        <v>0</v>
      </c>
      <c r="BL56" s="628">
        <f>_xlfn.XLOOKUP($E56,'Løp 16'!$E$10:$E$91,'Løp 16'!$M$10:$M$91,0)</f>
        <v>63</v>
      </c>
      <c r="BM56" s="629">
        <f>_xlfn.XLOOKUP($E56,'Løp 16'!$E$10:$E$91,'Løp 16'!$O$10:$O$91,0)</f>
        <v>65</v>
      </c>
      <c r="BN56" s="629">
        <f>_xlfn.XLOOKUP($E56,'Løp 16'!$E$10:$E$91,'Løp 16'!$L$10:$L$91,0)</f>
        <v>1.078401771336554E-2</v>
      </c>
      <c r="BO56" s="628">
        <f>_xlfn.XLOOKUP($E56,'Løp 17'!$E$10:$E$91,'Løp 17'!$M$10:$M$91,0)</f>
        <v>50</v>
      </c>
      <c r="BP56" s="629">
        <f>_xlfn.XLOOKUP($E56,'Løp 17'!$E$10:$E$91,'Løp 17'!$O$10:$O$91,0)</f>
        <v>50</v>
      </c>
      <c r="BQ56" s="629" t="str">
        <f>_xlfn.XLOOKUP($E56,'Løp 17'!$E$10:$E$91,'Løp 17'!$L$10:$L$91,0)</f>
        <v>Disk</v>
      </c>
      <c r="BR56" s="628">
        <f>_xlfn.XLOOKUP($E56,'Løp 18'!$E$10:$E$91,'Løp 18'!$M$10:$M$91,0)</f>
        <v>0</v>
      </c>
      <c r="BS56" s="629">
        <f>_xlfn.XLOOKUP($E56,'Løp 18'!$E$10:$E$91,'Løp 18'!$O$10:$O$91,0)</f>
        <v>0</v>
      </c>
      <c r="BT56" s="629">
        <f>_xlfn.XLOOKUP($E56,'Løp 18'!$E$10:$E$91,'Løp 18'!$L$10:$L$91,0)</f>
        <v>0</v>
      </c>
      <c r="BU56" s="628">
        <f>_xlfn.XLOOKUP($E56,'Løp 19'!$E$10:$E$91,'Løp 19'!$M$10:$M$91,0)</f>
        <v>0</v>
      </c>
      <c r="BV56" s="629">
        <f>_xlfn.XLOOKUP($E56,'Løp 19'!$E$10:$E$91,'Løp 19'!$O$10:$O$91,0)</f>
        <v>0</v>
      </c>
      <c r="BW56" s="629">
        <f>_xlfn.XLOOKUP($E56,'Løp 19'!$E$10:$E$91,'Løp 19'!$L$10:$L$91,0)</f>
        <v>0</v>
      </c>
      <c r="BX56" s="628">
        <f>_xlfn.XLOOKUP($E56,'Løp 20'!$E$10:$E$92,'Løp 20'!$M$10:$M$92,0)</f>
        <v>62</v>
      </c>
      <c r="BY56" s="629">
        <f>_xlfn.XLOOKUP($E56,'Løp 20'!$E$10:$E$92,'Løp 20'!$O$10:$O$92,0)</f>
        <v>60</v>
      </c>
      <c r="BZ56" s="629">
        <f>_xlfn.XLOOKUP($E56,'Løp 20'!$E$10:$E$92,'Løp 20'!$L$10:$L$92,0)</f>
        <v>1.2422839506172838E-2</v>
      </c>
      <c r="CA56" s="628">
        <f>_xlfn.XLOOKUP($E56,'Løp 21'!$E$10:$E$93,'Løp 21'!$M$10:$M$93,0)</f>
        <v>0</v>
      </c>
      <c r="CB56" s="629">
        <f>_xlfn.XLOOKUP($E56,'Løp 21'!$E$10:$E$93,'Løp 21'!$O$10:$O$93,0)</f>
        <v>0</v>
      </c>
      <c r="CC56" s="629">
        <f>_xlfn.XLOOKUP($E56,'Løp 21'!$E$10:$E$93,'Løp 21'!$L$10:$L$93,0)</f>
        <v>0</v>
      </c>
      <c r="CD56" s="628">
        <f>_xlfn.XLOOKUP($E56,'Løp 22'!$E$10:$E$93,'Løp 22'!$M$10:$M$93,0)</f>
        <v>61</v>
      </c>
      <c r="CE56" s="629">
        <f>_xlfn.XLOOKUP($E56,'Løp 22'!$E$10:$E$93,'Løp 22'!$O$10:$O$93,0)</f>
        <v>60</v>
      </c>
      <c r="CF56" s="629">
        <f>_xlfn.XLOOKUP($E56,'Løp 22'!$E$10:$E$93,'Løp 22'!$L$10:$L$93,0)</f>
        <v>1.1535493827160494E-2</v>
      </c>
      <c r="CG56" s="628">
        <f>_xlfn.XLOOKUP($E56,'Løp 23'!$E$10:$E$93,'Løp 23'!$M$10:$M$93,0)</f>
        <v>0</v>
      </c>
      <c r="CH56" s="629">
        <f>_xlfn.XLOOKUP($E56,'Løp 23'!$E$10:$E$93,'Løp 23'!$O$10:$O$93,0)</f>
        <v>0</v>
      </c>
      <c r="CI56" s="629">
        <f>_xlfn.XLOOKUP($E56,'Løp 23'!$E$10:$E$93,'Løp 23'!$L$10:$L$93,0)</f>
        <v>0</v>
      </c>
      <c r="CJ56" s="628">
        <f>_xlfn.XLOOKUP($E56,'Løp 24'!$E$10:$E$93,'Løp 24'!$M$10:$M$93,0)</f>
        <v>58</v>
      </c>
      <c r="CK56" s="629">
        <f>_xlfn.XLOOKUP($E56,'Løp 24'!$E$10:$E$93,'Løp 24'!$O$10:$O$93,0)</f>
        <v>50</v>
      </c>
      <c r="CL56" s="629">
        <f>_xlfn.XLOOKUP($E56,'Løp 24'!$E$10:$E$93,'Løp 24'!$L$10:$L$93,0)</f>
        <v>9.1435185185185178E-3</v>
      </c>
      <c r="CM56" s="628">
        <f>_xlfn.XLOOKUP($E56,'Løp 25'!$E$10:$E$94,'Løp 25'!$M$10:$M$94,0)</f>
        <v>52</v>
      </c>
      <c r="CN56" s="629">
        <f>_xlfn.XLOOKUP($E56,'Løp 25'!$E$10:$E$94,'Løp 25'!$O$10:$O$94,0)</f>
        <v>51</v>
      </c>
      <c r="CO56" s="629">
        <f>_xlfn.XLOOKUP($E56,'Løp 25'!$E$10:$E$94,'Løp 25'!$L$10:$L$94,0)</f>
        <v>1.4004629629629629E-2</v>
      </c>
      <c r="CP56" s="628">
        <f>_xlfn.XLOOKUP($E56,'Løp 26'!$E$10:$E$94,'Løp 26'!$M$10:$M$94,0)</f>
        <v>68</v>
      </c>
      <c r="CQ56" s="629">
        <f>_xlfn.XLOOKUP($E56,'Løp 26'!$E$10:$E$94,'Løp 26'!$O$10:$O$94,0)</f>
        <v>71</v>
      </c>
      <c r="CR56" s="629">
        <f>_xlfn.XLOOKUP($E56,'Løp 26'!$E$10:$E$94,'Løp 26'!$L$10:$L$94,0)</f>
        <v>1.035434472934473E-2</v>
      </c>
      <c r="CS56" s="628">
        <f>_xlfn.XLOOKUP($E56,'Løp 27'!$E$10:$E$94,'Løp 27'!$M$10:$M$94,0)</f>
        <v>0</v>
      </c>
      <c r="CT56" s="629">
        <f>_xlfn.XLOOKUP($E56,'Løp 27'!$E$10:$E$94,'Løp 27'!$O$10:$O$94,0)</f>
        <v>0</v>
      </c>
      <c r="CU56" s="629">
        <f>_xlfn.XLOOKUP($E56,'Løp 27'!$E$10:$E$94,'Løp 27'!$L$10:$L$94,0)</f>
        <v>0</v>
      </c>
      <c r="CV56" s="628">
        <f>_xlfn.XLOOKUP($E56,'Løp 28'!$E$10:$E$95,'Løp 28'!$M$10:$M$95,0)</f>
        <v>51</v>
      </c>
      <c r="CW56" s="629">
        <f>_xlfn.XLOOKUP($E56,'Løp 28'!$E$10:$E$95,'Løp 28'!$O$10:$O$95,0)</f>
        <v>55</v>
      </c>
      <c r="CX56" s="629">
        <f>_xlfn.XLOOKUP($E56,'Løp 28'!$E$10:$E$95,'Løp 28'!$L$10:$L$95,0)</f>
        <v>1.2905092592592593E-2</v>
      </c>
      <c r="CY56" s="628">
        <f>_xlfn.XLOOKUP($E56,'Løp 29'!$E$10:$E$95,'Løp 29'!$M$10:$M$95,0)</f>
        <v>94</v>
      </c>
      <c r="CZ56" s="629">
        <f>_xlfn.XLOOKUP($E56,'Løp 29'!$E$10:$E$95,'Løp 29'!$O$10:$O$95,0)</f>
        <v>94</v>
      </c>
      <c r="DA56" s="629" t="str">
        <f>_xlfn.XLOOKUP($E56,'Løp 29'!$E$10:$E$95,'Løp 29'!$L$10:$L$95,0)</f>
        <v>Arr</v>
      </c>
    </row>
    <row r="57" spans="2:105" ht="26" thickBot="1" x14ac:dyDescent="0.3">
      <c r="B57" s="627">
        <f t="shared" si="0"/>
        <v>48</v>
      </c>
      <c r="C57" s="119" t="s">
        <v>161</v>
      </c>
      <c r="D57" s="620" t="s">
        <v>162</v>
      </c>
      <c r="E57" s="616" t="str">
        <f>_xlfn.CONCAT(C57:D57)</f>
        <v>Nils OlavVennevik</v>
      </c>
      <c r="F57" s="610"/>
      <c r="G57" s="653">
        <f>COUNTIF(S57:DA57,"&gt;2")/2</f>
        <v>22</v>
      </c>
      <c r="H57" s="852">
        <f>COUNTIF(S57:DA57,"=Løype")+COUNTIF(S57:DA57,"Arr")</f>
        <v>2</v>
      </c>
      <c r="I57" s="610"/>
      <c r="J57" s="632">
        <f>S57+V57+Y57+AB57+AE57+AH57+AK57+AN57+AQ57+AT57+AW57+AZ57+BC57+BF57+BI57+BL57+BO57+BR57+BU57+BX57+CA57+CD57+CG57+CJ57+CM57+CP57+CS57+CV57+CY57</f>
        <v>1283</v>
      </c>
      <c r="K57" s="633">
        <f>T57+W57+Z57+AC57+AF57+AI57+AL57+AO57+AR57+AU57+AX57+BA57+BD57+BG57+BJ57+BM57+BP57+BS57+BV57+BY57+CB57+CE57+CH57+CK57+CN57+CQ57+CT57+CW57+CZ57</f>
        <v>1353</v>
      </c>
      <c r="L57" s="613"/>
      <c r="M57" s="658">
        <f>IF($G57&gt;0,J57/G57,0)</f>
        <v>58.31818181818182</v>
      </c>
      <c r="N57" s="659">
        <f>IF($G57&gt;0,K57/$G57,0)</f>
        <v>61.5</v>
      </c>
      <c r="O57" s="862"/>
      <c r="P57" s="874">
        <f>IF(AND($G57&gt;$Q$3-1,$G57-$H57&gt;0),M57,0)</f>
        <v>58.31818181818182</v>
      </c>
      <c r="Q57" s="875">
        <f>IF(AND($G57&gt;$Q$3-1,$G57-$H57&gt;0),N57,0)</f>
        <v>61.5</v>
      </c>
      <c r="R57" s="613"/>
      <c r="S57" s="628">
        <f>_xlfn.XLOOKUP($E57,'Løp 1'!$E$10:$E$90,'Løp 1'!$M$10:$M$90,0)</f>
        <v>60</v>
      </c>
      <c r="T57" s="629">
        <f>_xlfn.XLOOKUP($E57,'Løp 1'!$E$10:$E$90,'Løp 1'!$O$10:$O$90,0)</f>
        <v>67</v>
      </c>
      <c r="U57" s="629">
        <f>_xlfn.XLOOKUP($E57,'Løp 1'!$E$10:$E$90,'Løp 1'!$L$10:$L$90,0)</f>
        <v>1.3499025341130606E-2</v>
      </c>
      <c r="V57" s="628">
        <f>_xlfn.XLOOKUP($E57,'Løp 2'!$E$10:$E$90,'Løp 2'!$M$10:$M$90,0)</f>
        <v>61</v>
      </c>
      <c r="W57" s="629">
        <f>_xlfn.XLOOKUP($E57,'Løp 2'!$E$10:$E$90,'Løp 2'!$O$10:$O$90,0)</f>
        <v>57</v>
      </c>
      <c r="X57" s="629">
        <f>_xlfn.XLOOKUP($E57,'Løp 2'!$E$10:$E$90,'Løp 2'!$L$10:$L$90,0)</f>
        <v>1.4537037037037038E-2</v>
      </c>
      <c r="Y57" s="628">
        <f>_xlfn.XLOOKUP($E57,'Løp 3'!$E$10:$E$90,'Løp 3'!$M$10:$M$90,0)</f>
        <v>0</v>
      </c>
      <c r="Z57" s="629">
        <f>_xlfn.XLOOKUP($E57,'Løp 3'!$E$10:$E$90,'Løp 3'!$O$10:$O$90,0)</f>
        <v>0</v>
      </c>
      <c r="AA57" s="629">
        <f>_xlfn.XLOOKUP($E57,'Løp 3'!$E$10:$E$90,'Løp 3'!$L$10:$L$90,0)</f>
        <v>0</v>
      </c>
      <c r="AB57" s="628">
        <f>_xlfn.XLOOKUP($E57,'Løp 4'!$E$10:$E$90,'Løp 4'!$M$10:$M$90,0)</f>
        <v>50</v>
      </c>
      <c r="AC57" s="629">
        <f>_xlfn.XLOOKUP($E57,'Løp 4'!$E$10:$E$90,'Løp 4'!$O$10:$O$90,0)</f>
        <v>58</v>
      </c>
      <c r="AD57" s="629">
        <f>_xlfn.XLOOKUP($E57,'Løp 4'!$E$10:$E$90,'Løp 4'!$L$10:$L$90,0)</f>
        <v>1.3883856682769726E-2</v>
      </c>
      <c r="AE57" s="628">
        <f>_xlfn.XLOOKUP($E57,'Løp 5'!$E$10:$E$90,'Løp 5'!$M$10:$M$90,0)</f>
        <v>57</v>
      </c>
      <c r="AF57" s="629">
        <f>_xlfn.XLOOKUP($E57,'Løp 5'!$E$10:$E$90,'Løp 5'!$O$10:$O$90,0)</f>
        <v>60</v>
      </c>
      <c r="AG57" s="629">
        <f>_xlfn.XLOOKUP($E57,'Løp 5'!$E$10:$E$90,'Løp 5'!$L$10:$L$90,0)</f>
        <v>1.2666377314814814E-2</v>
      </c>
      <c r="AH57" s="628">
        <f>_xlfn.XLOOKUP($E57,'Løp 6'!$E$10:$E$90,'Løp 6'!$M$10:$M$90,0)</f>
        <v>62</v>
      </c>
      <c r="AI57" s="629">
        <f>_xlfn.XLOOKUP($E57,'Løp 6'!$E$10:$E$90,'Løp 6'!$O$10:$O$90,0)</f>
        <v>68</v>
      </c>
      <c r="AJ57" s="629">
        <f>_xlfn.XLOOKUP($E57,'Løp 6'!$E$10:$E$90,'Løp 6'!$L$10:$L$90,0)</f>
        <v>1.2568082788671024E-2</v>
      </c>
      <c r="AK57" s="628">
        <f>_xlfn.XLOOKUP($E57,'Løp 7'!$E$10:$E$90,'Løp 7'!$M$10:$M$90,0)</f>
        <v>0</v>
      </c>
      <c r="AL57" s="629">
        <f>_xlfn.XLOOKUP($E57,'Løp 7'!$E$10:$E$90,'Løp 7'!$O$10:$O$90,0)</f>
        <v>0</v>
      </c>
      <c r="AM57" s="629">
        <f>_xlfn.XLOOKUP($E57,'Løp 7'!$E$10:$E$90,'Løp 7'!$L$10:$L$90,0)</f>
        <v>0</v>
      </c>
      <c r="AN57" s="628">
        <f>_xlfn.XLOOKUP($E57,'Løp 8'!$E$10:$E$91,'Løp 8'!$M$10:$M$91,0)</f>
        <v>0</v>
      </c>
      <c r="AO57" s="629">
        <f>_xlfn.XLOOKUP($E57,'Løp 8'!$E$10:$E$91,'Løp 8'!$O$10:$O$91,0)</f>
        <v>0</v>
      </c>
      <c r="AP57" s="629">
        <f>_xlfn.XLOOKUP($E57,'Løp 8'!$E$10:$E$91,'Løp 8'!$L$10:$L$91,0)</f>
        <v>0</v>
      </c>
      <c r="AQ57" s="628">
        <f>_xlfn.XLOOKUP($E57,'Løp 9'!$E$10:$E$91,'Løp 9'!$M$10:$M$91,0)</f>
        <v>0</v>
      </c>
      <c r="AR57" s="629">
        <f>_xlfn.XLOOKUP($E57,'Løp 9'!$E$10:$E$91,'Løp 9'!$O$10:$O$91,0)</f>
        <v>0</v>
      </c>
      <c r="AS57" s="629">
        <f>_xlfn.XLOOKUP($E57,'Løp 9'!$E$10:$E$91,'Løp 9'!$L$10:$L$91,0)</f>
        <v>0</v>
      </c>
      <c r="AT57" s="628">
        <f>_xlfn.XLOOKUP($E57,'Løp 10'!$E$10:$E$91,'Løp 10'!$M$10:$M$91,0)</f>
        <v>0</v>
      </c>
      <c r="AU57" s="629">
        <f>_xlfn.XLOOKUP($E57,'Løp 10'!$E$10:$E$91,'Løp 10'!$O$10:$O$91,0)</f>
        <v>0</v>
      </c>
      <c r="AV57" s="629">
        <f>_xlfn.XLOOKUP($E57,'Løp 10'!$E$10:$E$91,'Løp 10'!$L$10:$L$91,0)</f>
        <v>0</v>
      </c>
      <c r="AW57" s="628">
        <f>_xlfn.XLOOKUP($E57,'Løp 11'!$E$10:$E$91,'Løp 11'!$M$10:$M$91,0)</f>
        <v>60</v>
      </c>
      <c r="AX57" s="629">
        <f>_xlfn.XLOOKUP($E57,'Løp 11'!$E$10:$E$91,'Løp 11'!$O$10:$O$91,0)</f>
        <v>64</v>
      </c>
      <c r="AY57" s="629">
        <f>_xlfn.XLOOKUP($E57,'Løp 11'!$E$10:$E$91,'Løp 11'!$L$10:$L$91,0)</f>
        <v>1.2305345117845118E-2</v>
      </c>
      <c r="AZ57" s="628">
        <f>_xlfn.XLOOKUP($E57,'Løp 12'!$E$10:$E$91,'Løp 12'!$M$10:$M$91,0)</f>
        <v>54</v>
      </c>
      <c r="BA57" s="629">
        <f>_xlfn.XLOOKUP($E57,'Løp 12'!$E$10:$E$91,'Løp 12'!$O$10:$O$91,0)</f>
        <v>62</v>
      </c>
      <c r="BB57" s="629">
        <f>_xlfn.XLOOKUP($E57,'Løp 12'!$E$10:$E$91,'Løp 12'!$L$10:$L$91,0)</f>
        <v>1.021090534979424E-2</v>
      </c>
      <c r="BC57" s="628">
        <f>_xlfn.XLOOKUP($E57,'Løp 13'!$E$10:$E$91,'Løp 13'!$M$10:$M$91,0)</f>
        <v>50</v>
      </c>
      <c r="BD57" s="629">
        <f>_xlfn.XLOOKUP($E57,'Løp 13'!$E$10:$E$91,'Løp 13'!$O$10:$O$91,0)</f>
        <v>52</v>
      </c>
      <c r="BE57" s="629">
        <f>_xlfn.XLOOKUP($E57,'Løp 13'!$E$10:$E$91,'Løp 13'!$L$10:$L$91,0)</f>
        <v>1.3107638888888889E-2</v>
      </c>
      <c r="BF57" s="628">
        <f>_xlfn.XLOOKUP($E57,'Løp 14'!$E$10:$E$91,'Løp 14'!$M$10:$M$91,0)</f>
        <v>52</v>
      </c>
      <c r="BG57" s="629">
        <f>_xlfn.XLOOKUP($E57,'Løp 14'!$E$10:$E$91,'Løp 14'!$O$10:$O$91,0)</f>
        <v>57</v>
      </c>
      <c r="BH57" s="629">
        <f>_xlfn.XLOOKUP($E57,'Løp 14'!$E$10:$E$91,'Løp 14'!$L$10:$L$91,0)</f>
        <v>1.2054398148148147E-2</v>
      </c>
      <c r="BI57" s="628">
        <f>_xlfn.XLOOKUP($E57,'Løp 15'!$E$10:$E$91,'Løp 15'!$M$10:$M$91,0)</f>
        <v>53</v>
      </c>
      <c r="BJ57" s="629">
        <f>_xlfn.XLOOKUP($E57,'Løp 15'!$E$10:$E$91,'Løp 15'!$O$10:$O$91,0)</f>
        <v>52</v>
      </c>
      <c r="BK57" s="629">
        <f>_xlfn.XLOOKUP($E57,'Løp 15'!$E$10:$E$91,'Løp 15'!$L$10:$L$91,0)</f>
        <v>1.6258818342151673E-2</v>
      </c>
      <c r="BL57" s="628">
        <f>_xlfn.XLOOKUP($E57,'Løp 16'!$E$10:$E$91,'Løp 16'!$M$10:$M$91,0)</f>
        <v>53</v>
      </c>
      <c r="BM57" s="629">
        <f>_xlfn.XLOOKUP($E57,'Løp 16'!$E$10:$E$91,'Løp 16'!$O$10:$O$91,0)</f>
        <v>60</v>
      </c>
      <c r="BN57" s="629">
        <f>_xlfn.XLOOKUP($E57,'Løp 16'!$E$10:$E$91,'Løp 16'!$L$10:$L$91,0)</f>
        <v>1.2932769726247987E-2</v>
      </c>
      <c r="BO57" s="628">
        <f>_xlfn.XLOOKUP($E57,'Løp 17'!$E$10:$E$91,'Løp 17'!$M$10:$M$91,0)</f>
        <v>94</v>
      </c>
      <c r="BP57" s="629">
        <f>_xlfn.XLOOKUP($E57,'Løp 17'!$E$10:$E$91,'Løp 17'!$O$10:$O$91,0)</f>
        <v>94</v>
      </c>
      <c r="BQ57" s="629" t="str">
        <f>_xlfn.XLOOKUP($E57,'Løp 17'!$E$10:$E$91,'Løp 17'!$L$10:$L$91,0)</f>
        <v>Arr</v>
      </c>
      <c r="BR57" s="628">
        <f>_xlfn.XLOOKUP($E57,'Løp 18'!$E$10:$E$91,'Løp 18'!$M$10:$M$91,0)</f>
        <v>53</v>
      </c>
      <c r="BS57" s="629">
        <f>_xlfn.XLOOKUP($E57,'Løp 18'!$E$10:$E$91,'Løp 18'!$O$10:$O$91,0)</f>
        <v>55</v>
      </c>
      <c r="BT57" s="629">
        <f>_xlfn.XLOOKUP($E57,'Løp 18'!$E$10:$E$91,'Løp 18'!$L$10:$L$91,0)</f>
        <v>1.3449074074074073E-2</v>
      </c>
      <c r="BU57" s="628">
        <f>_xlfn.XLOOKUP($E57,'Løp 19'!$E$10:$E$91,'Løp 19'!$M$10:$M$91,0)</f>
        <v>53</v>
      </c>
      <c r="BV57" s="629">
        <f>_xlfn.XLOOKUP($E57,'Løp 19'!$E$10:$E$91,'Løp 19'!$O$10:$O$91,0)</f>
        <v>55</v>
      </c>
      <c r="BW57" s="629">
        <f>_xlfn.XLOOKUP($E57,'Løp 19'!$E$10:$E$91,'Løp 19'!$L$10:$L$91,0)</f>
        <v>1.5348508230452675E-2</v>
      </c>
      <c r="BX57" s="628">
        <f>_xlfn.XLOOKUP($E57,'Løp 20'!$E$10:$E$92,'Løp 20'!$M$10:$M$92,0)</f>
        <v>0</v>
      </c>
      <c r="BY57" s="629">
        <f>_xlfn.XLOOKUP($E57,'Løp 20'!$E$10:$E$92,'Løp 20'!$O$10:$O$92,0)</f>
        <v>0</v>
      </c>
      <c r="BZ57" s="629">
        <f>_xlfn.XLOOKUP($E57,'Løp 20'!$E$10:$E$92,'Løp 20'!$L$10:$L$92,0)</f>
        <v>0</v>
      </c>
      <c r="CA57" s="628">
        <f>_xlfn.XLOOKUP($E57,'Løp 21'!$E$10:$E$93,'Løp 21'!$M$10:$M$93,0)</f>
        <v>56</v>
      </c>
      <c r="CB57" s="629">
        <f>_xlfn.XLOOKUP($E57,'Løp 21'!$E$10:$E$93,'Løp 21'!$O$10:$O$93,0)</f>
        <v>62</v>
      </c>
      <c r="CC57" s="629">
        <f>_xlfn.XLOOKUP($E57,'Løp 21'!$E$10:$E$93,'Løp 21'!$L$10:$L$93,0)</f>
        <v>1.0819243156199679E-2</v>
      </c>
      <c r="CD57" s="628">
        <f>_xlfn.XLOOKUP($E57,'Løp 22'!$E$10:$E$93,'Løp 22'!$M$10:$M$93,0)</f>
        <v>60</v>
      </c>
      <c r="CE57" s="629">
        <f>_xlfn.XLOOKUP($E57,'Løp 22'!$E$10:$E$93,'Løp 22'!$O$10:$O$93,0)</f>
        <v>64</v>
      </c>
      <c r="CF57" s="629">
        <f>_xlfn.XLOOKUP($E57,'Løp 22'!$E$10:$E$93,'Løp 22'!$L$10:$L$93,0)</f>
        <v>1.1739417989417989E-2</v>
      </c>
      <c r="CG57" s="628">
        <f>_xlfn.XLOOKUP($E57,'Løp 23'!$E$10:$E$93,'Løp 23'!$M$10:$M$93,0)</f>
        <v>50</v>
      </c>
      <c r="CH57" s="629">
        <f>_xlfn.XLOOKUP($E57,'Løp 23'!$E$10:$E$93,'Løp 23'!$O$10:$O$93,0)</f>
        <v>51</v>
      </c>
      <c r="CI57" s="629">
        <f>_xlfn.XLOOKUP($E57,'Løp 23'!$E$10:$E$93,'Løp 23'!$L$10:$L$93,0)</f>
        <v>1.1136831275720164E-2</v>
      </c>
      <c r="CJ57" s="628">
        <f>_xlfn.XLOOKUP($E57,'Løp 24'!$E$10:$E$93,'Løp 24'!$M$10:$M$93,0)</f>
        <v>51</v>
      </c>
      <c r="CK57" s="629">
        <f>_xlfn.XLOOKUP($E57,'Løp 24'!$E$10:$E$93,'Løp 24'!$O$10:$O$93,0)</f>
        <v>50</v>
      </c>
      <c r="CL57" s="629">
        <f>_xlfn.XLOOKUP($E57,'Løp 24'!$E$10:$E$93,'Løp 24'!$L$10:$L$93,0)</f>
        <v>1.0495580808080808E-2</v>
      </c>
      <c r="CM57" s="628">
        <f>_xlfn.XLOOKUP($E57,'Løp 25'!$E$10:$E$94,'Løp 25'!$M$10:$M$94,0)</f>
        <v>50</v>
      </c>
      <c r="CN57" s="629">
        <f>_xlfn.XLOOKUP($E57,'Løp 25'!$E$10:$E$94,'Løp 25'!$O$10:$O$94,0)</f>
        <v>50</v>
      </c>
      <c r="CO57" s="629">
        <f>_xlfn.XLOOKUP($E57,'Løp 25'!$E$10:$E$94,'Løp 25'!$L$10:$L$94,0)</f>
        <v>1.6158693415637859E-2</v>
      </c>
      <c r="CP57" s="628">
        <f>_xlfn.XLOOKUP($E57,'Løp 26'!$E$10:$E$94,'Løp 26'!$M$10:$M$94,0)</f>
        <v>100</v>
      </c>
      <c r="CQ57" s="629">
        <f>_xlfn.XLOOKUP($E57,'Løp 26'!$E$10:$E$94,'Løp 26'!$O$10:$O$94,0)</f>
        <v>100</v>
      </c>
      <c r="CR57" s="629" t="str">
        <f>_xlfn.XLOOKUP($E57,'Løp 26'!$E$10:$E$94,'Løp 26'!$L$10:$L$94,0)</f>
        <v>Løype</v>
      </c>
      <c r="CS57" s="628">
        <f>_xlfn.XLOOKUP($E57,'Løp 27'!$E$10:$E$94,'Løp 27'!$M$10:$M$94,0)</f>
        <v>0</v>
      </c>
      <c r="CT57" s="629">
        <f>_xlfn.XLOOKUP($E57,'Løp 27'!$E$10:$E$94,'Løp 27'!$O$10:$O$94,0)</f>
        <v>0</v>
      </c>
      <c r="CU57" s="629">
        <f>_xlfn.XLOOKUP($E57,'Løp 27'!$E$10:$E$94,'Løp 27'!$L$10:$L$94,0)</f>
        <v>0</v>
      </c>
      <c r="CV57" s="628">
        <f>_xlfn.XLOOKUP($E57,'Løp 28'!$E$10:$E$95,'Løp 28'!$M$10:$M$95,0)</f>
        <v>50</v>
      </c>
      <c r="CW57" s="629">
        <f>_xlfn.XLOOKUP($E57,'Løp 28'!$E$10:$E$95,'Løp 28'!$O$10:$O$95,0)</f>
        <v>56</v>
      </c>
      <c r="CX57" s="629">
        <f>_xlfn.XLOOKUP($E57,'Løp 28'!$E$10:$E$95,'Løp 28'!$L$10:$L$95,0)</f>
        <v>1.390625E-2</v>
      </c>
      <c r="CY57" s="628">
        <f>_xlfn.XLOOKUP($E57,'Løp 29'!$E$10:$E$95,'Løp 29'!$M$10:$M$95,0)</f>
        <v>54</v>
      </c>
      <c r="CZ57" s="629">
        <f>_xlfn.XLOOKUP($E57,'Løp 29'!$E$10:$E$95,'Løp 29'!$O$10:$O$95,0)</f>
        <v>59</v>
      </c>
      <c r="DA57" s="629">
        <f>_xlfn.XLOOKUP($E57,'Løp 29'!$E$10:$E$95,'Løp 29'!$L$10:$L$95,0)</f>
        <v>1.3475529100529102E-2</v>
      </c>
    </row>
    <row r="58" spans="2:105" ht="26" thickBot="1" x14ac:dyDescent="0.3">
      <c r="B58" s="627">
        <f t="shared" si="0"/>
        <v>49</v>
      </c>
      <c r="C58" s="119" t="s">
        <v>251</v>
      </c>
      <c r="D58" s="620" t="s">
        <v>252</v>
      </c>
      <c r="E58" s="617" t="str">
        <f>_xlfn.CONCAT(C58:D58)</f>
        <v>OttarKristiansen</v>
      </c>
      <c r="F58" s="610"/>
      <c r="G58" s="653">
        <f>COUNTIF(S58:DA58,"&gt;2")/2</f>
        <v>7</v>
      </c>
      <c r="H58" s="852">
        <f>COUNTIF(S58:DA58,"=Løype")+COUNTIF(S58:DA58,"Arr")</f>
        <v>0</v>
      </c>
      <c r="I58" s="610"/>
      <c r="J58" s="632">
        <f>S58+V58+Y58+AB58+AE58+AH58+AK58+AN58+AQ58+AT58+AW58+AZ58+BC58+BF58+BI58+BL58+BO58+BR58+BU58+BX58+CA58+CD58+CG58+CJ58+CM58+CP58+CS58+CV58+CY58</f>
        <v>420</v>
      </c>
      <c r="K58" s="633">
        <f>T58+W58+Z58+AC58+AF58+AI58+AL58+AO58+AR58+AU58+AX58+BA58+BD58+BG58+BJ58+BM58+BP58+BS58+BV58+BY58+CB58+CE58+CH58+CK58+CN58+CQ58+CT58+CW58+CZ58</f>
        <v>426</v>
      </c>
      <c r="L58" s="613"/>
      <c r="M58" s="658">
        <f>IF($G58&gt;0,J58/G58,0)</f>
        <v>60</v>
      </c>
      <c r="N58" s="659">
        <f>IF($G58&gt;0,K58/$G58,0)</f>
        <v>60.857142857142854</v>
      </c>
      <c r="O58" s="862"/>
      <c r="P58" s="874">
        <f>IF(AND($G58&gt;$Q$3-1,$G58-$H58&gt;0),M58,0)</f>
        <v>60</v>
      </c>
      <c r="Q58" s="875">
        <f>IF(AND($G58&gt;$Q$3-1,$G58-$H58&gt;0),N58,0)</f>
        <v>60.857142857142854</v>
      </c>
      <c r="R58" s="613"/>
      <c r="S58" s="628">
        <f>_xlfn.XLOOKUP($E58,'Løp 1'!$E$10:$E$90,'Løp 1'!$M$10:$M$90,0)</f>
        <v>66</v>
      </c>
      <c r="T58" s="629">
        <f>_xlfn.XLOOKUP($E58,'Løp 1'!$E$10:$E$90,'Løp 1'!$O$10:$O$90,0)</f>
        <v>71</v>
      </c>
      <c r="U58" s="629">
        <f>_xlfn.XLOOKUP($E58,'Løp 1'!$E$10:$E$90,'Løp 1'!$L$10:$L$90,0)</f>
        <v>1.2260536398467433E-2</v>
      </c>
      <c r="V58" s="628">
        <f>_xlfn.XLOOKUP($E58,'Løp 2'!$E$10:$E$90,'Løp 2'!$M$10:$M$90,0)</f>
        <v>65</v>
      </c>
      <c r="W58" s="629">
        <f>_xlfn.XLOOKUP($E58,'Løp 2'!$E$10:$E$90,'Løp 2'!$O$10:$O$90,0)</f>
        <v>58</v>
      </c>
      <c r="X58" s="629">
        <f>_xlfn.XLOOKUP($E58,'Løp 2'!$E$10:$E$90,'Løp 2'!$L$10:$L$90,0)</f>
        <v>1.3727678571428573E-2</v>
      </c>
      <c r="Y58" s="628">
        <f>_xlfn.XLOOKUP($E58,'Løp 3'!$E$10:$E$90,'Løp 3'!$M$10:$M$90,0)</f>
        <v>66</v>
      </c>
      <c r="Z58" s="629">
        <f>_xlfn.XLOOKUP($E58,'Løp 3'!$E$10:$E$90,'Løp 3'!$O$10:$O$90,0)</f>
        <v>66</v>
      </c>
      <c r="AA58" s="629">
        <f>_xlfn.XLOOKUP($E58,'Løp 3'!$E$10:$E$90,'Løp 3'!$L$10:$L$90,0)</f>
        <v>1.3664021164021165E-2</v>
      </c>
      <c r="AB58" s="628">
        <f>_xlfn.XLOOKUP($E58,'Løp 4'!$E$10:$E$90,'Løp 4'!$M$10:$M$90,0)</f>
        <v>51</v>
      </c>
      <c r="AC58" s="629">
        <f>_xlfn.XLOOKUP($E58,'Løp 4'!$E$10:$E$90,'Løp 4'!$O$10:$O$90,0)</f>
        <v>57</v>
      </c>
      <c r="AD58" s="629">
        <f>_xlfn.XLOOKUP($E58,'Løp 4'!$E$10:$E$90,'Løp 4'!$L$10:$L$90,0)</f>
        <v>1.3715277777777778E-2</v>
      </c>
      <c r="AE58" s="628">
        <f>_xlfn.XLOOKUP($E58,'Løp 5'!$E$10:$E$90,'Løp 5'!$M$10:$M$90,0)</f>
        <v>0</v>
      </c>
      <c r="AF58" s="629">
        <f>_xlfn.XLOOKUP($E58,'Løp 5'!$E$10:$E$90,'Løp 5'!$O$10:$O$90,0)</f>
        <v>0</v>
      </c>
      <c r="AG58" s="629">
        <f>_xlfn.XLOOKUP($E58,'Løp 5'!$E$10:$E$90,'Løp 5'!$L$10:$L$90,0)</f>
        <v>0</v>
      </c>
      <c r="AH58" s="628">
        <f>_xlfn.XLOOKUP($E58,'Løp 6'!$E$10:$E$90,'Løp 6'!$M$10:$M$90,0)</f>
        <v>70</v>
      </c>
      <c r="AI58" s="629">
        <f>_xlfn.XLOOKUP($E58,'Løp 6'!$E$10:$E$90,'Løp 6'!$O$10:$O$90,0)</f>
        <v>74</v>
      </c>
      <c r="AJ58" s="629">
        <f>_xlfn.XLOOKUP($E58,'Løp 6'!$E$10:$E$90,'Løp 6'!$L$10:$L$90,0)</f>
        <v>1.1122685185185185E-2</v>
      </c>
      <c r="AK58" s="628">
        <f>_xlfn.XLOOKUP($E58,'Løp 7'!$E$10:$E$90,'Løp 7'!$M$10:$M$90,0)</f>
        <v>0</v>
      </c>
      <c r="AL58" s="629">
        <f>_xlfn.XLOOKUP($E58,'Løp 7'!$E$10:$E$90,'Løp 7'!$O$10:$O$90,0)</f>
        <v>0</v>
      </c>
      <c r="AM58" s="629">
        <f>_xlfn.XLOOKUP($E58,'Løp 7'!$E$10:$E$90,'Løp 7'!$L$10:$L$90,0)</f>
        <v>0</v>
      </c>
      <c r="AN58" s="628">
        <f>_xlfn.XLOOKUP($E58,'Løp 8'!$E$10:$E$91,'Løp 8'!$M$10:$M$91,0)</f>
        <v>52</v>
      </c>
      <c r="AO58" s="629">
        <f>_xlfn.XLOOKUP($E58,'Løp 8'!$E$10:$E$91,'Løp 8'!$O$10:$O$91,0)</f>
        <v>50</v>
      </c>
      <c r="AP58" s="629">
        <f>_xlfn.XLOOKUP($E58,'Løp 8'!$E$10:$E$91,'Løp 8'!$L$10:$L$91,0)</f>
        <v>1.63141835016835E-2</v>
      </c>
      <c r="AQ58" s="628">
        <f>_xlfn.XLOOKUP($E58,'Løp 9'!$E$10:$E$91,'Løp 9'!$M$10:$M$91,0)</f>
        <v>0</v>
      </c>
      <c r="AR58" s="629">
        <f>_xlfn.XLOOKUP($E58,'Løp 9'!$E$10:$E$91,'Løp 9'!$O$10:$O$91,0)</f>
        <v>0</v>
      </c>
      <c r="AS58" s="629">
        <f>_xlfn.XLOOKUP($E58,'Løp 9'!$E$10:$E$91,'Løp 9'!$L$10:$L$91,0)</f>
        <v>0</v>
      </c>
      <c r="AT58" s="628">
        <f>_xlfn.XLOOKUP($E58,'Løp 10'!$E$10:$E$91,'Løp 10'!$M$10:$M$91,0)</f>
        <v>0</v>
      </c>
      <c r="AU58" s="629">
        <f>_xlfn.XLOOKUP($E58,'Løp 10'!$E$10:$E$91,'Løp 10'!$O$10:$O$91,0)</f>
        <v>0</v>
      </c>
      <c r="AV58" s="629">
        <f>_xlfn.XLOOKUP($E58,'Løp 10'!$E$10:$E$91,'Løp 10'!$L$10:$L$91,0)</f>
        <v>0</v>
      </c>
      <c r="AW58" s="628">
        <f>_xlfn.XLOOKUP($E58,'Løp 11'!$E$10:$E$91,'Løp 11'!$M$10:$M$91,0)</f>
        <v>0</v>
      </c>
      <c r="AX58" s="629">
        <f>_xlfn.XLOOKUP($E58,'Løp 11'!$E$10:$E$91,'Løp 11'!$O$10:$O$91,0)</f>
        <v>0</v>
      </c>
      <c r="AY58" s="629">
        <f>_xlfn.XLOOKUP($E58,'Løp 11'!$E$10:$E$91,'Løp 11'!$L$10:$L$91,0)</f>
        <v>0</v>
      </c>
      <c r="AZ58" s="628">
        <f>_xlfn.XLOOKUP($E58,'Løp 12'!$E$10:$E$91,'Løp 12'!$M$10:$M$91,0)</f>
        <v>0</v>
      </c>
      <c r="BA58" s="629">
        <f>_xlfn.XLOOKUP($E58,'Løp 12'!$E$10:$E$91,'Løp 12'!$O$10:$O$91,0)</f>
        <v>0</v>
      </c>
      <c r="BB58" s="629">
        <f>_xlfn.XLOOKUP($E58,'Løp 12'!$E$10:$E$91,'Løp 12'!$L$10:$L$91,0)</f>
        <v>0</v>
      </c>
      <c r="BC58" s="628">
        <f>_xlfn.XLOOKUP($E58,'Løp 13'!$E$10:$E$91,'Løp 13'!$M$10:$M$91,0)</f>
        <v>0</v>
      </c>
      <c r="BD58" s="629">
        <f>_xlfn.XLOOKUP($E58,'Løp 13'!$E$10:$E$91,'Løp 13'!$O$10:$O$91,0)</f>
        <v>0</v>
      </c>
      <c r="BE58" s="629">
        <f>_xlfn.XLOOKUP($E58,'Løp 13'!$E$10:$E$91,'Løp 13'!$L$10:$L$91,0)</f>
        <v>0</v>
      </c>
      <c r="BF58" s="628">
        <f>_xlfn.XLOOKUP($E58,'Løp 14'!$E$10:$E$91,'Løp 14'!$M$10:$M$91,0)</f>
        <v>0</v>
      </c>
      <c r="BG58" s="629">
        <f>_xlfn.XLOOKUP($E58,'Løp 14'!$E$10:$E$91,'Løp 14'!$O$10:$O$91,0)</f>
        <v>0</v>
      </c>
      <c r="BH58" s="629">
        <f>_xlfn.XLOOKUP($E58,'Løp 14'!$E$10:$E$91,'Løp 14'!$L$10:$L$91,0)</f>
        <v>0</v>
      </c>
      <c r="BI58" s="628">
        <f>_xlfn.XLOOKUP($E58,'Løp 15'!$E$10:$E$91,'Løp 15'!$M$10:$M$91,0)</f>
        <v>0</v>
      </c>
      <c r="BJ58" s="629">
        <f>_xlfn.XLOOKUP($E58,'Løp 15'!$E$10:$E$91,'Løp 15'!$O$10:$O$91,0)</f>
        <v>0</v>
      </c>
      <c r="BK58" s="629">
        <f>_xlfn.XLOOKUP($E58,'Løp 15'!$E$10:$E$91,'Løp 15'!$L$10:$L$91,0)</f>
        <v>0</v>
      </c>
      <c r="BL58" s="628">
        <f>_xlfn.XLOOKUP($E58,'Løp 16'!$E$10:$E$91,'Løp 16'!$M$10:$M$91,0)</f>
        <v>0</v>
      </c>
      <c r="BM58" s="629">
        <f>_xlfn.XLOOKUP($E58,'Løp 16'!$E$10:$E$91,'Løp 16'!$O$10:$O$91,0)</f>
        <v>0</v>
      </c>
      <c r="BN58" s="629">
        <f>_xlfn.XLOOKUP($E58,'Løp 16'!$E$10:$E$91,'Løp 16'!$L$10:$L$91,0)</f>
        <v>0</v>
      </c>
      <c r="BO58" s="628">
        <f>_xlfn.XLOOKUP($E58,'Løp 17'!$E$10:$E$91,'Løp 17'!$M$10:$M$91,0)</f>
        <v>0</v>
      </c>
      <c r="BP58" s="629">
        <f>_xlfn.XLOOKUP($E58,'Løp 17'!$E$10:$E$91,'Løp 17'!$O$10:$O$91,0)</f>
        <v>0</v>
      </c>
      <c r="BQ58" s="629">
        <f>_xlfn.XLOOKUP($E58,'Løp 17'!$E$10:$E$91,'Løp 17'!$L$10:$L$91,0)</f>
        <v>0</v>
      </c>
      <c r="BR58" s="628">
        <f>_xlfn.XLOOKUP($E58,'Løp 18'!$E$10:$E$91,'Løp 18'!$M$10:$M$91,0)</f>
        <v>0</v>
      </c>
      <c r="BS58" s="629">
        <f>_xlfn.XLOOKUP($E58,'Løp 18'!$E$10:$E$91,'Løp 18'!$O$10:$O$91,0)</f>
        <v>0</v>
      </c>
      <c r="BT58" s="629">
        <f>_xlfn.XLOOKUP($E58,'Løp 18'!$E$10:$E$91,'Løp 18'!$L$10:$L$91,0)</f>
        <v>0</v>
      </c>
      <c r="BU58" s="628">
        <f>_xlfn.XLOOKUP($E58,'Løp 19'!$E$10:$E$91,'Løp 19'!$M$10:$M$91,0)</f>
        <v>0</v>
      </c>
      <c r="BV58" s="629">
        <f>_xlfn.XLOOKUP($E58,'Løp 19'!$E$10:$E$91,'Løp 19'!$O$10:$O$91,0)</f>
        <v>0</v>
      </c>
      <c r="BW58" s="629">
        <f>_xlfn.XLOOKUP($E58,'Løp 19'!$E$10:$E$91,'Løp 19'!$L$10:$L$91,0)</f>
        <v>0</v>
      </c>
      <c r="BX58" s="628">
        <f>_xlfn.XLOOKUP($E58,'Løp 20'!$E$10:$E$92,'Løp 20'!$M$10:$M$92,0)</f>
        <v>0</v>
      </c>
      <c r="BY58" s="629">
        <f>_xlfn.XLOOKUP($E58,'Løp 20'!$E$10:$E$92,'Løp 20'!$O$10:$O$92,0)</f>
        <v>0</v>
      </c>
      <c r="BZ58" s="629">
        <f>_xlfn.XLOOKUP($E58,'Løp 20'!$E$10:$E$92,'Løp 20'!$L$10:$L$92,0)</f>
        <v>0</v>
      </c>
      <c r="CA58" s="628">
        <f>_xlfn.XLOOKUP($E58,'Løp 21'!$E$10:$E$93,'Løp 21'!$M$10:$M$93,0)</f>
        <v>0</v>
      </c>
      <c r="CB58" s="629">
        <f>_xlfn.XLOOKUP($E58,'Løp 21'!$E$10:$E$93,'Løp 21'!$O$10:$O$93,0)</f>
        <v>0</v>
      </c>
      <c r="CC58" s="629">
        <f>_xlfn.XLOOKUP($E58,'Løp 21'!$E$10:$E$93,'Løp 21'!$L$10:$L$93,0)</f>
        <v>0</v>
      </c>
      <c r="CD58" s="628">
        <f>_xlfn.XLOOKUP($E58,'Løp 22'!$E$10:$E$93,'Løp 22'!$M$10:$M$93,0)</f>
        <v>0</v>
      </c>
      <c r="CE58" s="629">
        <f>_xlfn.XLOOKUP($E58,'Løp 22'!$E$10:$E$93,'Løp 22'!$O$10:$O$93,0)</f>
        <v>0</v>
      </c>
      <c r="CF58" s="629">
        <f>_xlfn.XLOOKUP($E58,'Løp 22'!$E$10:$E$93,'Løp 22'!$L$10:$L$93,0)</f>
        <v>0</v>
      </c>
      <c r="CG58" s="628">
        <f>_xlfn.XLOOKUP($E58,'Løp 23'!$E$10:$E$93,'Løp 23'!$M$10:$M$93,0)</f>
        <v>0</v>
      </c>
      <c r="CH58" s="629">
        <f>_xlfn.XLOOKUP($E58,'Løp 23'!$E$10:$E$93,'Løp 23'!$O$10:$O$93,0)</f>
        <v>0</v>
      </c>
      <c r="CI58" s="629">
        <f>_xlfn.XLOOKUP($E58,'Løp 23'!$E$10:$E$93,'Løp 23'!$L$10:$L$93,0)</f>
        <v>0</v>
      </c>
      <c r="CJ58" s="628">
        <f>_xlfn.XLOOKUP($E58,'Løp 24'!$E$10:$E$93,'Løp 24'!$M$10:$M$93,0)</f>
        <v>0</v>
      </c>
      <c r="CK58" s="629">
        <f>_xlfn.XLOOKUP($E58,'Løp 24'!$E$10:$E$93,'Løp 24'!$O$10:$O$93,0)</f>
        <v>0</v>
      </c>
      <c r="CL58" s="629">
        <f>_xlfn.XLOOKUP($E58,'Løp 24'!$E$10:$E$93,'Løp 24'!$L$10:$L$93,0)</f>
        <v>0</v>
      </c>
      <c r="CM58" s="628">
        <f>_xlfn.XLOOKUP($E58,'Løp 25'!$E$10:$E$94,'Løp 25'!$M$10:$M$94,0)</f>
        <v>0</v>
      </c>
      <c r="CN58" s="629">
        <f>_xlfn.XLOOKUP($E58,'Løp 25'!$E$10:$E$94,'Løp 25'!$O$10:$O$94,0)</f>
        <v>0</v>
      </c>
      <c r="CO58" s="629">
        <f>_xlfn.XLOOKUP($E58,'Løp 25'!$E$10:$E$94,'Løp 25'!$L$10:$L$94,0)</f>
        <v>0</v>
      </c>
      <c r="CP58" s="628">
        <f>_xlfn.XLOOKUP($E58,'Løp 26'!$E$10:$E$94,'Løp 26'!$M$10:$M$94,0)</f>
        <v>0</v>
      </c>
      <c r="CQ58" s="629">
        <f>_xlfn.XLOOKUP($E58,'Løp 26'!$E$10:$E$94,'Løp 26'!$O$10:$O$94,0)</f>
        <v>0</v>
      </c>
      <c r="CR58" s="629">
        <f>_xlfn.XLOOKUP($E58,'Løp 26'!$E$10:$E$94,'Løp 26'!$L$10:$L$94,0)</f>
        <v>0</v>
      </c>
      <c r="CS58" s="628">
        <f>_xlfn.XLOOKUP($E58,'Løp 27'!$E$10:$E$94,'Løp 27'!$M$10:$M$94,0)</f>
        <v>0</v>
      </c>
      <c r="CT58" s="629">
        <f>_xlfn.XLOOKUP($E58,'Løp 27'!$E$10:$E$94,'Løp 27'!$O$10:$O$94,0)</f>
        <v>0</v>
      </c>
      <c r="CU58" s="629">
        <f>_xlfn.XLOOKUP($E58,'Løp 27'!$E$10:$E$94,'Løp 27'!$L$10:$L$94,0)</f>
        <v>0</v>
      </c>
      <c r="CV58" s="628">
        <f>_xlfn.XLOOKUP($E58,'Løp 28'!$E$10:$E$95,'Løp 28'!$M$10:$M$95,0)</f>
        <v>0</v>
      </c>
      <c r="CW58" s="629">
        <f>_xlfn.XLOOKUP($E58,'Løp 28'!$E$10:$E$95,'Løp 28'!$O$10:$O$95,0)</f>
        <v>0</v>
      </c>
      <c r="CX58" s="629">
        <f>_xlfn.XLOOKUP($E58,'Løp 28'!$E$10:$E$95,'Løp 28'!$L$10:$L$95,0)</f>
        <v>0</v>
      </c>
      <c r="CY58" s="628">
        <f>_xlfn.XLOOKUP($E58,'Løp 29'!$E$10:$E$95,'Løp 29'!$M$10:$M$95,0)</f>
        <v>50</v>
      </c>
      <c r="CZ58" s="629">
        <f>_xlfn.XLOOKUP($E58,'Løp 29'!$E$10:$E$95,'Løp 29'!$O$10:$O$95,0)</f>
        <v>50</v>
      </c>
      <c r="DA58" s="629" t="str">
        <f>_xlfn.XLOOKUP($E58,'Løp 29'!$E$10:$E$95,'Løp 29'!$L$10:$L$95,0)</f>
        <v>Disk</v>
      </c>
    </row>
    <row r="59" spans="2:105" ht="26" thickBot="1" x14ac:dyDescent="0.3">
      <c r="B59" s="627">
        <f t="shared" si="0"/>
        <v>50</v>
      </c>
      <c r="C59" s="119" t="s">
        <v>110</v>
      </c>
      <c r="D59" s="620" t="s">
        <v>111</v>
      </c>
      <c r="E59" s="617" t="str">
        <f>_xlfn.CONCAT(C59:D59)</f>
        <v>Jan ErikKofoed</v>
      </c>
      <c r="F59" s="610"/>
      <c r="G59" s="653">
        <f>COUNTIF(S59:DA59,"&gt;2")/2</f>
        <v>6</v>
      </c>
      <c r="H59" s="852">
        <f>COUNTIF(S59:DA59,"=Løype")+COUNTIF(S59:DA59,"Arr")</f>
        <v>0</v>
      </c>
      <c r="I59" s="610"/>
      <c r="J59" s="632">
        <f>S59+V59+Y59+AB59+AE59+AH59+AK59+AN59+AQ59+AT59+AW59+AZ59+BC59+BF59+BI59+BL59+BO59+BR59+BU59+BX59+CA59+CD59+CG59+CJ59+CM59+CP59+CS59+CV59+CY59</f>
        <v>390</v>
      </c>
      <c r="K59" s="633">
        <f>T59+W59+Z59+AC59+AF59+AI59+AL59+AO59+AR59+AU59+AX59+BA59+BD59+BG59+BJ59+BM59+BP59+BS59+BV59+BY59+CB59+CE59+CH59+CK59+CN59+CQ59+CT59+CW59+CZ59</f>
        <v>364</v>
      </c>
      <c r="L59" s="613"/>
      <c r="M59" s="658">
        <f>IF($G59&gt;0,J59/G59,0)</f>
        <v>65</v>
      </c>
      <c r="N59" s="659">
        <f>IF($G59&gt;0,K59/$G59,0)</f>
        <v>60.666666666666664</v>
      </c>
      <c r="O59" s="862"/>
      <c r="P59" s="874">
        <f>IF(AND($G59&gt;$Q$3-1,$G59-$H59&gt;0),M59,0)</f>
        <v>65</v>
      </c>
      <c r="Q59" s="875">
        <f>IF(AND($G59&gt;$Q$3-1,$G59-$H59&gt;0),N59,0)</f>
        <v>60.666666666666664</v>
      </c>
      <c r="R59" s="613"/>
      <c r="S59" s="628">
        <f>_xlfn.XLOOKUP($E59,'Løp 1'!$E$10:$E$90,'Løp 1'!$M$10:$M$90,0)</f>
        <v>0</v>
      </c>
      <c r="T59" s="629">
        <f>_xlfn.XLOOKUP($E59,'Løp 1'!$E$10:$E$90,'Løp 1'!$O$10:$O$90,0)</f>
        <v>0</v>
      </c>
      <c r="U59" s="629">
        <f>_xlfn.XLOOKUP($E59,'Løp 1'!$E$10:$E$90,'Løp 1'!$L$10:$L$90,0)</f>
        <v>0</v>
      </c>
      <c r="V59" s="628">
        <f>_xlfn.XLOOKUP($E59,'Løp 2'!$E$10:$E$90,'Løp 2'!$M$10:$M$90,0)</f>
        <v>0</v>
      </c>
      <c r="W59" s="629">
        <f>_xlfn.XLOOKUP($E59,'Løp 2'!$E$10:$E$90,'Løp 2'!$O$10:$O$90,0)</f>
        <v>0</v>
      </c>
      <c r="X59" s="629">
        <f>_xlfn.XLOOKUP($E59,'Løp 2'!$E$10:$E$90,'Løp 2'!$L$10:$L$90,0)</f>
        <v>0</v>
      </c>
      <c r="Y59" s="628">
        <f>_xlfn.XLOOKUP($E59,'Løp 3'!$E$10:$E$90,'Løp 3'!$M$10:$M$90,0)</f>
        <v>0</v>
      </c>
      <c r="Z59" s="629">
        <f>_xlfn.XLOOKUP($E59,'Løp 3'!$E$10:$E$90,'Løp 3'!$O$10:$O$90,0)</f>
        <v>0</v>
      </c>
      <c r="AA59" s="629">
        <f>_xlfn.XLOOKUP($E59,'Løp 3'!$E$10:$E$90,'Løp 3'!$L$10:$L$90,0)</f>
        <v>0</v>
      </c>
      <c r="AB59" s="628">
        <f>_xlfn.XLOOKUP($E59,'Løp 4'!$E$10:$E$90,'Løp 4'!$M$10:$M$90,0)</f>
        <v>0</v>
      </c>
      <c r="AC59" s="629">
        <f>_xlfn.XLOOKUP($E59,'Løp 4'!$E$10:$E$90,'Løp 4'!$O$10:$O$90,0)</f>
        <v>0</v>
      </c>
      <c r="AD59" s="629">
        <f>_xlfn.XLOOKUP($E59,'Løp 4'!$E$10:$E$90,'Løp 4'!$L$10:$L$90,0)</f>
        <v>0</v>
      </c>
      <c r="AE59" s="628">
        <f>_xlfn.XLOOKUP($E59,'Løp 5'!$E$10:$E$90,'Løp 5'!$M$10:$M$90,0)</f>
        <v>0</v>
      </c>
      <c r="AF59" s="629">
        <f>_xlfn.XLOOKUP($E59,'Løp 5'!$E$10:$E$90,'Løp 5'!$O$10:$O$90,0)</f>
        <v>0</v>
      </c>
      <c r="AG59" s="629">
        <f>_xlfn.XLOOKUP($E59,'Løp 5'!$E$10:$E$90,'Løp 5'!$L$10:$L$90,0)</f>
        <v>0</v>
      </c>
      <c r="AH59" s="628">
        <f>_xlfn.XLOOKUP($E59,'Løp 6'!$E$10:$E$90,'Løp 6'!$M$10:$M$90,0)</f>
        <v>0</v>
      </c>
      <c r="AI59" s="629">
        <f>_xlfn.XLOOKUP($E59,'Løp 6'!$E$10:$E$90,'Løp 6'!$O$10:$O$90,0)</f>
        <v>0</v>
      </c>
      <c r="AJ59" s="629">
        <f>_xlfn.XLOOKUP($E59,'Løp 6'!$E$10:$E$90,'Løp 6'!$L$10:$L$90,0)</f>
        <v>0</v>
      </c>
      <c r="AK59" s="628">
        <f>_xlfn.XLOOKUP($E59,'Løp 7'!$E$10:$E$90,'Løp 7'!$M$10:$M$90,0)</f>
        <v>0</v>
      </c>
      <c r="AL59" s="629">
        <f>_xlfn.XLOOKUP($E59,'Løp 7'!$E$10:$E$90,'Løp 7'!$O$10:$O$90,0)</f>
        <v>0</v>
      </c>
      <c r="AM59" s="629">
        <f>_xlfn.XLOOKUP($E59,'Løp 7'!$E$10:$E$90,'Løp 7'!$L$10:$L$90,0)</f>
        <v>0</v>
      </c>
      <c r="AN59" s="628">
        <f>_xlfn.XLOOKUP($E59,'Løp 8'!$E$10:$E$91,'Løp 8'!$M$10:$M$91,0)</f>
        <v>0</v>
      </c>
      <c r="AO59" s="629">
        <f>_xlfn.XLOOKUP($E59,'Løp 8'!$E$10:$E$91,'Løp 8'!$O$10:$O$91,0)</f>
        <v>0</v>
      </c>
      <c r="AP59" s="629">
        <f>_xlfn.XLOOKUP($E59,'Løp 8'!$E$10:$E$91,'Løp 8'!$L$10:$L$91,0)</f>
        <v>0</v>
      </c>
      <c r="AQ59" s="628">
        <f>_xlfn.XLOOKUP($E59,'Løp 9'!$E$10:$E$91,'Løp 9'!$M$10:$M$91,0)</f>
        <v>0</v>
      </c>
      <c r="AR59" s="629">
        <f>_xlfn.XLOOKUP($E59,'Løp 9'!$E$10:$E$91,'Løp 9'!$O$10:$O$91,0)</f>
        <v>0</v>
      </c>
      <c r="AS59" s="629">
        <f>_xlfn.XLOOKUP($E59,'Løp 9'!$E$10:$E$91,'Løp 9'!$L$10:$L$91,0)</f>
        <v>0</v>
      </c>
      <c r="AT59" s="628">
        <f>_xlfn.XLOOKUP($E59,'Løp 10'!$E$10:$E$91,'Løp 10'!$M$10:$M$91,0)</f>
        <v>0</v>
      </c>
      <c r="AU59" s="629">
        <f>_xlfn.XLOOKUP($E59,'Løp 10'!$E$10:$E$91,'Løp 10'!$O$10:$O$91,0)</f>
        <v>0</v>
      </c>
      <c r="AV59" s="629">
        <f>_xlfn.XLOOKUP($E59,'Løp 10'!$E$10:$E$91,'Løp 10'!$L$10:$L$91,0)</f>
        <v>0</v>
      </c>
      <c r="AW59" s="628">
        <f>_xlfn.XLOOKUP($E59,'Løp 11'!$E$10:$E$91,'Løp 11'!$M$10:$M$91,0)</f>
        <v>0</v>
      </c>
      <c r="AX59" s="629">
        <f>_xlfn.XLOOKUP($E59,'Løp 11'!$E$10:$E$91,'Løp 11'!$O$10:$O$91,0)</f>
        <v>0</v>
      </c>
      <c r="AY59" s="629">
        <f>_xlfn.XLOOKUP($E59,'Løp 11'!$E$10:$E$91,'Løp 11'!$L$10:$L$91,0)</f>
        <v>0</v>
      </c>
      <c r="AZ59" s="628">
        <f>_xlfn.XLOOKUP($E59,'Løp 12'!$E$10:$E$91,'Løp 12'!$M$10:$M$91,0)</f>
        <v>0</v>
      </c>
      <c r="BA59" s="629">
        <f>_xlfn.XLOOKUP($E59,'Løp 12'!$E$10:$E$91,'Løp 12'!$O$10:$O$91,0)</f>
        <v>0</v>
      </c>
      <c r="BB59" s="629">
        <f>_xlfn.XLOOKUP($E59,'Løp 12'!$E$10:$E$91,'Løp 12'!$L$10:$L$91,0)</f>
        <v>0</v>
      </c>
      <c r="BC59" s="628">
        <f>_xlfn.XLOOKUP($E59,'Løp 13'!$E$10:$E$91,'Løp 13'!$M$10:$M$91,0)</f>
        <v>0</v>
      </c>
      <c r="BD59" s="629">
        <f>_xlfn.XLOOKUP($E59,'Løp 13'!$E$10:$E$91,'Løp 13'!$O$10:$O$91,0)</f>
        <v>0</v>
      </c>
      <c r="BE59" s="629">
        <f>_xlfn.XLOOKUP($E59,'Løp 13'!$E$10:$E$91,'Løp 13'!$L$10:$L$91,0)</f>
        <v>0</v>
      </c>
      <c r="BF59" s="628">
        <f>_xlfn.XLOOKUP($E59,'Løp 14'!$E$10:$E$91,'Løp 14'!$M$10:$M$91,0)</f>
        <v>0</v>
      </c>
      <c r="BG59" s="629">
        <f>_xlfn.XLOOKUP($E59,'Løp 14'!$E$10:$E$91,'Løp 14'!$O$10:$O$91,0)</f>
        <v>0</v>
      </c>
      <c r="BH59" s="629">
        <f>_xlfn.XLOOKUP($E59,'Løp 14'!$E$10:$E$91,'Løp 14'!$L$10:$L$91,0)</f>
        <v>0</v>
      </c>
      <c r="BI59" s="628">
        <f>_xlfn.XLOOKUP($E59,'Løp 15'!$E$10:$E$91,'Løp 15'!$M$10:$M$91,0)</f>
        <v>0</v>
      </c>
      <c r="BJ59" s="629">
        <f>_xlfn.XLOOKUP($E59,'Løp 15'!$E$10:$E$91,'Løp 15'!$O$10:$O$91,0)</f>
        <v>0</v>
      </c>
      <c r="BK59" s="629">
        <f>_xlfn.XLOOKUP($E59,'Løp 15'!$E$10:$E$91,'Løp 15'!$L$10:$L$91,0)</f>
        <v>0</v>
      </c>
      <c r="BL59" s="628">
        <f>_xlfn.XLOOKUP($E59,'Løp 16'!$E$10:$E$91,'Løp 16'!$M$10:$M$91,0)</f>
        <v>50</v>
      </c>
      <c r="BM59" s="629">
        <f>_xlfn.XLOOKUP($E59,'Løp 16'!$E$10:$E$91,'Løp 16'!$O$10:$O$91,0)</f>
        <v>50</v>
      </c>
      <c r="BN59" s="629" t="str">
        <f>_xlfn.XLOOKUP($E59,'Løp 16'!$E$10:$E$91,'Løp 16'!$L$10:$L$91,0)</f>
        <v>Disk</v>
      </c>
      <c r="BO59" s="628">
        <f>_xlfn.XLOOKUP($E59,'Løp 17'!$E$10:$E$91,'Løp 17'!$M$10:$M$91,0)</f>
        <v>71</v>
      </c>
      <c r="BP59" s="629">
        <f>_xlfn.XLOOKUP($E59,'Løp 17'!$E$10:$E$91,'Løp 17'!$O$10:$O$91,0)</f>
        <v>67</v>
      </c>
      <c r="BQ59" s="629">
        <f>_xlfn.XLOOKUP($E59,'Løp 17'!$E$10:$E$91,'Løp 17'!$L$10:$L$91,0)</f>
        <v>8.9439655172413798E-3</v>
      </c>
      <c r="BR59" s="628">
        <f>_xlfn.XLOOKUP($E59,'Løp 18'!$E$10:$E$91,'Løp 18'!$M$10:$M$91,0)</f>
        <v>67</v>
      </c>
      <c r="BS59" s="629">
        <f>_xlfn.XLOOKUP($E59,'Løp 18'!$E$10:$E$91,'Løp 18'!$O$10:$O$91,0)</f>
        <v>59</v>
      </c>
      <c r="BT59" s="629">
        <f>_xlfn.XLOOKUP($E59,'Løp 18'!$E$10:$E$91,'Løp 18'!$L$10:$L$91,0)</f>
        <v>1.0731336805555554E-2</v>
      </c>
      <c r="BU59" s="628">
        <f>_xlfn.XLOOKUP($E59,'Løp 19'!$E$10:$E$91,'Løp 19'!$M$10:$M$91,0)</f>
        <v>0</v>
      </c>
      <c r="BV59" s="629">
        <f>_xlfn.XLOOKUP($E59,'Løp 19'!$E$10:$E$91,'Løp 19'!$O$10:$O$91,0)</f>
        <v>0</v>
      </c>
      <c r="BW59" s="629">
        <f>_xlfn.XLOOKUP($E59,'Løp 19'!$E$10:$E$91,'Løp 19'!$L$10:$L$91,0)</f>
        <v>0</v>
      </c>
      <c r="BX59" s="628">
        <f>_xlfn.XLOOKUP($E59,'Løp 20'!$E$10:$E$92,'Løp 20'!$M$10:$M$92,0)</f>
        <v>0</v>
      </c>
      <c r="BY59" s="629">
        <f>_xlfn.XLOOKUP($E59,'Løp 20'!$E$10:$E$92,'Løp 20'!$O$10:$O$92,0)</f>
        <v>0</v>
      </c>
      <c r="BZ59" s="629">
        <f>_xlfn.XLOOKUP($E59,'Løp 20'!$E$10:$E$92,'Løp 20'!$L$10:$L$92,0)</f>
        <v>0</v>
      </c>
      <c r="CA59" s="628">
        <f>_xlfn.XLOOKUP($E59,'Løp 21'!$E$10:$E$93,'Løp 21'!$M$10:$M$93,0)</f>
        <v>71</v>
      </c>
      <c r="CB59" s="629">
        <f>_xlfn.XLOOKUP($E59,'Løp 21'!$E$10:$E$93,'Løp 21'!$O$10:$O$93,0)</f>
        <v>67</v>
      </c>
      <c r="CC59" s="629">
        <f>_xlfn.XLOOKUP($E59,'Løp 21'!$E$10:$E$93,'Løp 21'!$L$10:$L$93,0)</f>
        <v>8.5424133811230589E-3</v>
      </c>
      <c r="CD59" s="628">
        <f>_xlfn.XLOOKUP($E59,'Løp 22'!$E$10:$E$93,'Løp 22'!$M$10:$M$93,0)</f>
        <v>0</v>
      </c>
      <c r="CE59" s="629">
        <f>_xlfn.XLOOKUP($E59,'Løp 22'!$E$10:$E$93,'Løp 22'!$O$10:$O$93,0)</f>
        <v>0</v>
      </c>
      <c r="CF59" s="629">
        <f>_xlfn.XLOOKUP($E59,'Løp 22'!$E$10:$E$93,'Løp 22'!$L$10:$L$93,0)</f>
        <v>0</v>
      </c>
      <c r="CG59" s="628">
        <f>_xlfn.XLOOKUP($E59,'Løp 23'!$E$10:$E$93,'Løp 23'!$M$10:$M$93,0)</f>
        <v>71</v>
      </c>
      <c r="CH59" s="629">
        <f>_xlfn.XLOOKUP($E59,'Løp 23'!$E$10:$E$93,'Løp 23'!$O$10:$O$93,0)</f>
        <v>66</v>
      </c>
      <c r="CI59" s="629">
        <f>_xlfn.XLOOKUP($E59,'Løp 23'!$E$10:$E$93,'Løp 23'!$L$10:$L$93,0)</f>
        <v>7.2836845466155813E-3</v>
      </c>
      <c r="CJ59" s="628">
        <f>_xlfn.XLOOKUP($E59,'Løp 24'!$E$10:$E$93,'Løp 24'!$M$10:$M$93,0)</f>
        <v>0</v>
      </c>
      <c r="CK59" s="629">
        <f>_xlfn.XLOOKUP($E59,'Løp 24'!$E$10:$E$93,'Løp 24'!$O$10:$O$93,0)</f>
        <v>0</v>
      </c>
      <c r="CL59" s="629">
        <f>_xlfn.XLOOKUP($E59,'Løp 24'!$E$10:$E$93,'Løp 24'!$L$10:$L$93,0)</f>
        <v>0</v>
      </c>
      <c r="CM59" s="628">
        <f>_xlfn.XLOOKUP($E59,'Løp 25'!$E$10:$E$94,'Løp 25'!$M$10:$M$94,0)</f>
        <v>60</v>
      </c>
      <c r="CN59" s="629">
        <f>_xlfn.XLOOKUP($E59,'Løp 25'!$E$10:$E$94,'Løp 25'!$O$10:$O$94,0)</f>
        <v>55</v>
      </c>
      <c r="CO59" s="629">
        <f>_xlfn.XLOOKUP($E59,'Løp 25'!$E$10:$E$94,'Løp 25'!$L$10:$L$94,0)</f>
        <v>1.2120225694444443E-2</v>
      </c>
      <c r="CP59" s="628">
        <f>_xlfn.XLOOKUP($E59,'Løp 26'!$E$10:$E$94,'Løp 26'!$M$10:$M$94,0)</f>
        <v>0</v>
      </c>
      <c r="CQ59" s="629">
        <f>_xlfn.XLOOKUP($E59,'Løp 26'!$E$10:$E$94,'Løp 26'!$O$10:$O$94,0)</f>
        <v>0</v>
      </c>
      <c r="CR59" s="629">
        <f>_xlfn.XLOOKUP($E59,'Løp 26'!$E$10:$E$94,'Løp 26'!$L$10:$L$94,0)</f>
        <v>0</v>
      </c>
      <c r="CS59" s="628">
        <f>_xlfn.XLOOKUP($E59,'Løp 27'!$E$10:$E$94,'Løp 27'!$M$10:$M$94,0)</f>
        <v>0</v>
      </c>
      <c r="CT59" s="629">
        <f>_xlfn.XLOOKUP($E59,'Løp 27'!$E$10:$E$94,'Løp 27'!$O$10:$O$94,0)</f>
        <v>0</v>
      </c>
      <c r="CU59" s="629">
        <f>_xlfn.XLOOKUP($E59,'Løp 27'!$E$10:$E$94,'Løp 27'!$L$10:$L$94,0)</f>
        <v>0</v>
      </c>
      <c r="CV59" s="628">
        <f>_xlfn.XLOOKUP($E59,'Løp 28'!$E$10:$E$95,'Løp 28'!$M$10:$M$95,0)</f>
        <v>0</v>
      </c>
      <c r="CW59" s="629">
        <f>_xlfn.XLOOKUP($E59,'Løp 28'!$E$10:$E$95,'Løp 28'!$O$10:$O$95,0)</f>
        <v>0</v>
      </c>
      <c r="CX59" s="629">
        <f>_xlfn.XLOOKUP($E59,'Løp 28'!$E$10:$E$95,'Løp 28'!$L$10:$L$95,0)</f>
        <v>0</v>
      </c>
      <c r="CY59" s="628">
        <f>_xlfn.XLOOKUP($E59,'Løp 29'!$E$10:$E$95,'Løp 29'!$M$10:$M$95,0)</f>
        <v>0</v>
      </c>
      <c r="CZ59" s="629">
        <f>_xlfn.XLOOKUP($E59,'Løp 29'!$E$10:$E$95,'Løp 29'!$O$10:$O$95,0)</f>
        <v>0</v>
      </c>
      <c r="DA59" s="629">
        <f>_xlfn.XLOOKUP($E59,'Løp 29'!$E$10:$E$95,'Løp 29'!$L$10:$L$95,0)</f>
        <v>0</v>
      </c>
    </row>
    <row r="60" spans="2:105" ht="26" thickBot="1" x14ac:dyDescent="0.3">
      <c r="B60" s="627">
        <f t="shared" si="0"/>
        <v>51</v>
      </c>
      <c r="C60" s="119" t="s">
        <v>108</v>
      </c>
      <c r="D60" s="620" t="s">
        <v>109</v>
      </c>
      <c r="E60" s="617" t="str">
        <f>_xlfn.CONCAT(C60:D60)</f>
        <v>Finn FayeKnudsen</v>
      </c>
      <c r="F60" s="610"/>
      <c r="G60" s="653">
        <f>COUNTIF(S60:DA60,"&gt;2")/2</f>
        <v>17</v>
      </c>
      <c r="H60" s="852">
        <f>COUNTIF(S60:DA60,"=Løype")+COUNTIF(S60:DA60,"Arr")</f>
        <v>0</v>
      </c>
      <c r="I60" s="610"/>
      <c r="J60" s="632">
        <f>S60+V60+Y60+AB60+AE60+AH60+AK60+AN60+AQ60+AT60+AW60+AZ60+BC60+BF60+BI60+BL60+BO60+BR60+BU60+BX60+CA60+CD60+CG60+CJ60+CM60+CP60+CS60+CV60+CY60</f>
        <v>886</v>
      </c>
      <c r="K60" s="633">
        <f>T60+W60+Z60+AC60+AF60+AI60+AL60+AO60+AR60+AU60+AX60+BA60+BD60+BG60+BJ60+BM60+BP60+BS60+BV60+BY60+CB60+CE60+CH60+CK60+CN60+CQ60+CT60+CW60+CZ60</f>
        <v>1022</v>
      </c>
      <c r="L60" s="613"/>
      <c r="M60" s="658">
        <f>IF($G60&gt;0,J60/G60,0)</f>
        <v>52.117647058823529</v>
      </c>
      <c r="N60" s="659">
        <f>IF($G60&gt;0,K60/$G60,0)</f>
        <v>60.117647058823529</v>
      </c>
      <c r="O60" s="862"/>
      <c r="P60" s="874">
        <f>IF(AND($G60&gt;$Q$3-1,$G60-$H60&gt;0),M60,0)</f>
        <v>52.117647058823529</v>
      </c>
      <c r="Q60" s="875">
        <f>IF(AND($G60&gt;$Q$3-1,$G60-$H60&gt;0),N60,0)</f>
        <v>60.117647058823529</v>
      </c>
      <c r="R60" s="613"/>
      <c r="S60" s="628">
        <f>_xlfn.XLOOKUP($E60,'Løp 1'!$E$10:$E$90,'Løp 1'!$M$10:$M$90,0)</f>
        <v>0</v>
      </c>
      <c r="T60" s="629">
        <f>_xlfn.XLOOKUP($E60,'Løp 1'!$E$10:$E$90,'Løp 1'!$O$10:$O$90,0)</f>
        <v>0</v>
      </c>
      <c r="U60" s="629">
        <f>_xlfn.XLOOKUP($E60,'Løp 1'!$E$10:$E$90,'Løp 1'!$L$10:$L$90,0)</f>
        <v>0</v>
      </c>
      <c r="V60" s="628">
        <f>_xlfn.XLOOKUP($E60,'Løp 2'!$E$10:$E$90,'Løp 2'!$M$10:$M$90,0)</f>
        <v>50</v>
      </c>
      <c r="W60" s="629">
        <f>_xlfn.XLOOKUP($E60,'Løp 2'!$E$10:$E$90,'Løp 2'!$O$10:$O$90,0)</f>
        <v>50</v>
      </c>
      <c r="X60" s="629">
        <f>_xlfn.XLOOKUP($E60,'Løp 2'!$E$10:$E$90,'Løp 2'!$L$10:$L$90,0)</f>
        <v>2.7137345679012343E-2</v>
      </c>
      <c r="Y60" s="628">
        <f>_xlfn.XLOOKUP($E60,'Løp 3'!$E$10:$E$90,'Løp 3'!$M$10:$M$90,0)</f>
        <v>50</v>
      </c>
      <c r="Z60" s="629">
        <f>_xlfn.XLOOKUP($E60,'Løp 3'!$E$10:$E$90,'Løp 3'!$O$10:$O$90,0)</f>
        <v>50</v>
      </c>
      <c r="AA60" s="629">
        <f>_xlfn.XLOOKUP($E60,'Løp 3'!$E$10:$E$90,'Løp 3'!$L$10:$L$90,0)</f>
        <v>2.2690696649029982E-2</v>
      </c>
      <c r="AB60" s="628">
        <f>_xlfn.XLOOKUP($E60,'Løp 4'!$E$10:$E$90,'Løp 4'!$M$10:$M$90,0)</f>
        <v>50</v>
      </c>
      <c r="AC60" s="629">
        <f>_xlfn.XLOOKUP($E60,'Løp 4'!$E$10:$E$90,'Løp 4'!$O$10:$O$90,0)</f>
        <v>67</v>
      </c>
      <c r="AD60" s="629">
        <f>_xlfn.XLOOKUP($E60,'Løp 4'!$E$10:$E$90,'Løp 4'!$L$10:$L$90,0)</f>
        <v>1.4628623188405798E-2</v>
      </c>
      <c r="AE60" s="628">
        <f>_xlfn.XLOOKUP($E60,'Løp 5'!$E$10:$E$90,'Løp 5'!$M$10:$M$90,0)</f>
        <v>50</v>
      </c>
      <c r="AF60" s="629">
        <f>_xlfn.XLOOKUP($E60,'Løp 5'!$E$10:$E$90,'Løp 5'!$O$10:$O$90,0)</f>
        <v>55</v>
      </c>
      <c r="AG60" s="629">
        <f>_xlfn.XLOOKUP($E60,'Løp 5'!$E$10:$E$90,'Løp 5'!$L$10:$L$90,0)</f>
        <v>1.6941550925925926E-2</v>
      </c>
      <c r="AH60" s="628">
        <f>_xlfn.XLOOKUP($E60,'Løp 6'!$E$10:$E$90,'Løp 6'!$M$10:$M$90,0)</f>
        <v>50</v>
      </c>
      <c r="AI60" s="629">
        <f>_xlfn.XLOOKUP($E60,'Løp 6'!$E$10:$E$90,'Løp 6'!$O$10:$O$90,0)</f>
        <v>60</v>
      </c>
      <c r="AJ60" s="629">
        <f>_xlfn.XLOOKUP($E60,'Løp 6'!$E$10:$E$90,'Løp 6'!$L$10:$L$90,0)</f>
        <v>1.7361111111111112E-2</v>
      </c>
      <c r="AK60" s="628">
        <f>_xlfn.XLOOKUP($E60,'Løp 7'!$E$10:$E$90,'Løp 7'!$M$10:$M$90,0)</f>
        <v>81</v>
      </c>
      <c r="AL60" s="629">
        <f>_xlfn.XLOOKUP($E60,'Løp 7'!$E$10:$E$90,'Løp 7'!$O$10:$O$90,0)</f>
        <v>87</v>
      </c>
      <c r="AM60" s="629">
        <f>_xlfn.XLOOKUP($E60,'Løp 7'!$E$10:$E$90,'Løp 7'!$L$10:$L$90,0)</f>
        <v>2.0785984848484849E-2</v>
      </c>
      <c r="AN60" s="628">
        <f>_xlfn.XLOOKUP($E60,'Løp 8'!$E$10:$E$91,'Løp 8'!$M$10:$M$91,0)</f>
        <v>50</v>
      </c>
      <c r="AO60" s="629">
        <f>_xlfn.XLOOKUP($E60,'Løp 8'!$E$10:$E$91,'Løp 8'!$O$10:$O$91,0)</f>
        <v>50</v>
      </c>
      <c r="AP60" s="629">
        <f>_xlfn.XLOOKUP($E60,'Løp 8'!$E$10:$E$91,'Løp 8'!$L$10:$L$91,0)</f>
        <v>1.9004629629629632E-2</v>
      </c>
      <c r="AQ60" s="628">
        <f>_xlfn.XLOOKUP($E60,'Løp 9'!$E$10:$E$91,'Løp 9'!$M$10:$M$91,0)</f>
        <v>0</v>
      </c>
      <c r="AR60" s="629">
        <f>_xlfn.XLOOKUP($E60,'Løp 9'!$E$10:$E$91,'Løp 9'!$O$10:$O$91,0)</f>
        <v>0</v>
      </c>
      <c r="AS60" s="629">
        <f>_xlfn.XLOOKUP($E60,'Løp 9'!$E$10:$E$91,'Løp 9'!$L$10:$L$91,0)</f>
        <v>0</v>
      </c>
      <c r="AT60" s="628">
        <f>_xlfn.XLOOKUP($E60,'Løp 10'!$E$10:$E$91,'Løp 10'!$M$10:$M$91,0)</f>
        <v>53</v>
      </c>
      <c r="AU60" s="629">
        <f>_xlfn.XLOOKUP($E60,'Løp 10'!$E$10:$E$91,'Løp 10'!$O$10:$O$91,0)</f>
        <v>70</v>
      </c>
      <c r="AV60" s="629">
        <f>_xlfn.XLOOKUP($E60,'Løp 10'!$E$10:$E$91,'Løp 10'!$L$10:$L$91,0)</f>
        <v>1.3925057870370369E-2</v>
      </c>
      <c r="AW60" s="628">
        <f>_xlfn.XLOOKUP($E60,'Løp 11'!$E$10:$E$91,'Løp 11'!$M$10:$M$91,0)</f>
        <v>0</v>
      </c>
      <c r="AX60" s="629">
        <f>_xlfn.XLOOKUP($E60,'Løp 11'!$E$10:$E$91,'Løp 11'!$O$10:$O$91,0)</f>
        <v>0</v>
      </c>
      <c r="AY60" s="629">
        <f>_xlfn.XLOOKUP($E60,'Løp 11'!$E$10:$E$91,'Løp 11'!$L$10:$L$91,0)</f>
        <v>0</v>
      </c>
      <c r="AZ60" s="628">
        <f>_xlfn.XLOOKUP($E60,'Løp 12'!$E$10:$E$91,'Løp 12'!$M$10:$M$91,0)</f>
        <v>50</v>
      </c>
      <c r="BA60" s="629">
        <f>_xlfn.XLOOKUP($E60,'Løp 12'!$E$10:$E$91,'Løp 12'!$O$10:$O$91,0)</f>
        <v>70</v>
      </c>
      <c r="BB60" s="629">
        <f>_xlfn.XLOOKUP($E60,'Løp 12'!$E$10:$E$91,'Løp 12'!$L$10:$L$91,0)</f>
        <v>1.11304012345679E-2</v>
      </c>
      <c r="BC60" s="628">
        <f>_xlfn.XLOOKUP($E60,'Løp 13'!$E$10:$E$91,'Løp 13'!$M$10:$M$91,0)</f>
        <v>0</v>
      </c>
      <c r="BD60" s="629">
        <f>_xlfn.XLOOKUP($E60,'Løp 13'!$E$10:$E$91,'Løp 13'!$O$10:$O$91,0)</f>
        <v>0</v>
      </c>
      <c r="BE60" s="629">
        <f>_xlfn.XLOOKUP($E60,'Løp 13'!$E$10:$E$91,'Løp 13'!$L$10:$L$91,0)</f>
        <v>0</v>
      </c>
      <c r="BF60" s="628">
        <f>_xlfn.XLOOKUP($E60,'Løp 14'!$E$10:$E$91,'Løp 14'!$M$10:$M$91,0)</f>
        <v>0</v>
      </c>
      <c r="BG60" s="629">
        <f>_xlfn.XLOOKUP($E60,'Løp 14'!$E$10:$E$91,'Løp 14'!$O$10:$O$91,0)</f>
        <v>0</v>
      </c>
      <c r="BH60" s="629">
        <f>_xlfn.XLOOKUP($E60,'Løp 14'!$E$10:$E$91,'Løp 14'!$L$10:$L$91,0)</f>
        <v>0</v>
      </c>
      <c r="BI60" s="628">
        <f>_xlfn.XLOOKUP($E60,'Løp 15'!$E$10:$E$91,'Løp 15'!$M$10:$M$91,0)</f>
        <v>0</v>
      </c>
      <c r="BJ60" s="629">
        <f>_xlfn.XLOOKUP($E60,'Løp 15'!$E$10:$E$91,'Løp 15'!$O$10:$O$91,0)</f>
        <v>0</v>
      </c>
      <c r="BK60" s="629">
        <f>_xlfn.XLOOKUP($E60,'Løp 15'!$E$10:$E$91,'Løp 15'!$L$10:$L$91,0)</f>
        <v>0</v>
      </c>
      <c r="BL60" s="628">
        <f>_xlfn.XLOOKUP($E60,'Løp 16'!$E$10:$E$91,'Løp 16'!$M$10:$M$91,0)</f>
        <v>0</v>
      </c>
      <c r="BM60" s="629">
        <f>_xlfn.XLOOKUP($E60,'Løp 16'!$E$10:$E$91,'Løp 16'!$O$10:$O$91,0)</f>
        <v>0</v>
      </c>
      <c r="BN60" s="629">
        <f>_xlfn.XLOOKUP($E60,'Løp 16'!$E$10:$E$91,'Løp 16'!$L$10:$L$91,0)</f>
        <v>0</v>
      </c>
      <c r="BO60" s="628">
        <f>_xlfn.XLOOKUP($E60,'Løp 17'!$E$10:$E$91,'Løp 17'!$M$10:$M$91,0)</f>
        <v>0</v>
      </c>
      <c r="BP60" s="629">
        <f>_xlfn.XLOOKUP($E60,'Løp 17'!$E$10:$E$91,'Løp 17'!$O$10:$O$91,0)</f>
        <v>0</v>
      </c>
      <c r="BQ60" s="629">
        <f>_xlfn.XLOOKUP($E60,'Løp 17'!$E$10:$E$91,'Løp 17'!$L$10:$L$91,0)</f>
        <v>0</v>
      </c>
      <c r="BR60" s="628">
        <f>_xlfn.XLOOKUP($E60,'Løp 18'!$E$10:$E$91,'Løp 18'!$M$10:$M$91,0)</f>
        <v>50</v>
      </c>
      <c r="BS60" s="629">
        <f>_xlfn.XLOOKUP($E60,'Løp 18'!$E$10:$E$91,'Løp 18'!$O$10:$O$91,0)</f>
        <v>62</v>
      </c>
      <c r="BT60" s="629">
        <f>_xlfn.XLOOKUP($E60,'Løp 18'!$E$10:$E$91,'Løp 18'!$L$10:$L$91,0)</f>
        <v>1.4826388888888889E-2</v>
      </c>
      <c r="BU60" s="628">
        <f>_xlfn.XLOOKUP($E60,'Løp 19'!$E$10:$E$91,'Løp 19'!$M$10:$M$91,0)</f>
        <v>50</v>
      </c>
      <c r="BV60" s="629">
        <f>_xlfn.XLOOKUP($E60,'Løp 19'!$E$10:$E$91,'Løp 19'!$O$10:$O$91,0)</f>
        <v>64</v>
      </c>
      <c r="BW60" s="629">
        <f>_xlfn.XLOOKUP($E60,'Løp 19'!$E$10:$E$91,'Løp 19'!$L$10:$L$91,0)</f>
        <v>1.6383744855967077E-2</v>
      </c>
      <c r="BX60" s="628">
        <f>_xlfn.XLOOKUP($E60,'Løp 20'!$E$10:$E$92,'Løp 20'!$M$10:$M$92,0)</f>
        <v>51</v>
      </c>
      <c r="BY60" s="629">
        <f>_xlfn.XLOOKUP($E60,'Løp 20'!$E$10:$E$92,'Løp 20'!$O$10:$O$92,0)</f>
        <v>66</v>
      </c>
      <c r="BZ60" s="629">
        <f>_xlfn.XLOOKUP($E60,'Løp 20'!$E$10:$E$92,'Løp 20'!$L$10:$L$92,0)</f>
        <v>1.5250220458553792E-2</v>
      </c>
      <c r="CA60" s="628">
        <f>_xlfn.XLOOKUP($E60,'Løp 21'!$E$10:$E$93,'Løp 21'!$M$10:$M$93,0)</f>
        <v>0</v>
      </c>
      <c r="CB60" s="629">
        <f>_xlfn.XLOOKUP($E60,'Løp 21'!$E$10:$E$93,'Løp 21'!$O$10:$O$93,0)</f>
        <v>0</v>
      </c>
      <c r="CC60" s="629">
        <f>_xlfn.XLOOKUP($E60,'Løp 21'!$E$10:$E$93,'Løp 21'!$L$10:$L$93,0)</f>
        <v>0</v>
      </c>
      <c r="CD60" s="628">
        <f>_xlfn.XLOOKUP($E60,'Løp 22'!$E$10:$E$93,'Løp 22'!$M$10:$M$93,0)</f>
        <v>50</v>
      </c>
      <c r="CE60" s="629">
        <f>_xlfn.XLOOKUP($E60,'Løp 22'!$E$10:$E$93,'Løp 22'!$O$10:$O$93,0)</f>
        <v>64</v>
      </c>
      <c r="CF60" s="629">
        <f>_xlfn.XLOOKUP($E60,'Løp 22'!$E$10:$E$93,'Løp 22'!$L$10:$L$93,0)</f>
        <v>1.4561287477954144E-2</v>
      </c>
      <c r="CG60" s="628">
        <f>_xlfn.XLOOKUP($E60,'Løp 23'!$E$10:$E$93,'Løp 23'!$M$10:$M$93,0)</f>
        <v>0</v>
      </c>
      <c r="CH60" s="629">
        <f>_xlfn.XLOOKUP($E60,'Løp 23'!$E$10:$E$93,'Løp 23'!$O$10:$O$93,0)</f>
        <v>0</v>
      </c>
      <c r="CI60" s="629">
        <f>_xlfn.XLOOKUP($E60,'Løp 23'!$E$10:$E$93,'Løp 23'!$L$10:$L$93,0)</f>
        <v>0</v>
      </c>
      <c r="CJ60" s="628">
        <f>_xlfn.XLOOKUP($E60,'Løp 24'!$E$10:$E$93,'Løp 24'!$M$10:$M$93,0)</f>
        <v>51</v>
      </c>
      <c r="CK60" s="629">
        <f>_xlfn.XLOOKUP($E60,'Løp 24'!$E$10:$E$93,'Løp 24'!$O$10:$O$93,0)</f>
        <v>57</v>
      </c>
      <c r="CL60" s="629">
        <f>_xlfn.XLOOKUP($E60,'Løp 24'!$E$10:$E$93,'Løp 24'!$L$10:$L$93,0)</f>
        <v>1.0437710437710437E-2</v>
      </c>
      <c r="CM60" s="628">
        <f>_xlfn.XLOOKUP($E60,'Løp 25'!$E$10:$E$94,'Løp 25'!$M$10:$M$94,0)</f>
        <v>50</v>
      </c>
      <c r="CN60" s="629">
        <f>_xlfn.XLOOKUP($E60,'Løp 25'!$E$10:$E$94,'Løp 25'!$O$10:$O$94,0)</f>
        <v>50</v>
      </c>
      <c r="CO60" s="629">
        <f>_xlfn.XLOOKUP($E60,'Løp 25'!$E$10:$E$94,'Løp 25'!$L$10:$L$94,0)</f>
        <v>1.9328703703703702E-2</v>
      </c>
      <c r="CP60" s="628">
        <f>_xlfn.XLOOKUP($E60,'Løp 26'!$E$10:$E$94,'Løp 26'!$M$10:$M$94,0)</f>
        <v>0</v>
      </c>
      <c r="CQ60" s="629">
        <f>_xlfn.XLOOKUP($E60,'Løp 26'!$E$10:$E$94,'Løp 26'!$O$10:$O$94,0)</f>
        <v>0</v>
      </c>
      <c r="CR60" s="629">
        <f>_xlfn.XLOOKUP($E60,'Løp 26'!$E$10:$E$94,'Løp 26'!$L$10:$L$94,0)</f>
        <v>0</v>
      </c>
      <c r="CS60" s="628">
        <f>_xlfn.XLOOKUP($E60,'Løp 27'!$E$10:$E$94,'Løp 27'!$M$10:$M$94,0)</f>
        <v>0</v>
      </c>
      <c r="CT60" s="629">
        <f>_xlfn.XLOOKUP($E60,'Løp 27'!$E$10:$E$94,'Løp 27'!$O$10:$O$94,0)</f>
        <v>0</v>
      </c>
      <c r="CU60" s="629">
        <f>_xlfn.XLOOKUP($E60,'Løp 27'!$E$10:$E$94,'Løp 27'!$L$10:$L$94,0)</f>
        <v>0</v>
      </c>
      <c r="CV60" s="628">
        <f>_xlfn.XLOOKUP($E60,'Løp 28'!$E$10:$E$95,'Løp 28'!$M$10:$M$95,0)</f>
        <v>50</v>
      </c>
      <c r="CW60" s="629">
        <f>_xlfn.XLOOKUP($E60,'Løp 28'!$E$10:$E$95,'Løp 28'!$O$10:$O$95,0)</f>
        <v>50</v>
      </c>
      <c r="CX60" s="629">
        <f>_xlfn.XLOOKUP($E60,'Løp 28'!$E$10:$E$95,'Løp 28'!$L$10:$L$95,0)</f>
        <v>2.5474537037037039E-2</v>
      </c>
      <c r="CY60" s="628">
        <f>_xlfn.XLOOKUP($E60,'Løp 29'!$E$10:$E$95,'Løp 29'!$M$10:$M$95,0)</f>
        <v>50</v>
      </c>
      <c r="CZ60" s="629">
        <f>_xlfn.XLOOKUP($E60,'Løp 29'!$E$10:$E$95,'Løp 29'!$O$10:$O$95,0)</f>
        <v>50</v>
      </c>
      <c r="DA60" s="629" t="str">
        <f>_xlfn.XLOOKUP($E60,'Løp 29'!$E$10:$E$95,'Løp 29'!$L$10:$L$95,0)</f>
        <v>Disk</v>
      </c>
    </row>
    <row r="61" spans="2:105" ht="26" thickBot="1" x14ac:dyDescent="0.3">
      <c r="B61" s="627">
        <f t="shared" si="0"/>
        <v>52</v>
      </c>
      <c r="C61" s="119" t="s">
        <v>82</v>
      </c>
      <c r="D61" s="620" t="s">
        <v>83</v>
      </c>
      <c r="E61" s="617" t="str">
        <f>_xlfn.CONCAT(C61:D61)</f>
        <v>RoarForbord</v>
      </c>
      <c r="F61" s="610"/>
      <c r="G61" s="653">
        <f>COUNTIF(S61:DA61,"&gt;2")/2</f>
        <v>16</v>
      </c>
      <c r="H61" s="852">
        <f>COUNTIF(S61:DA61,"=Løype")+COUNTIF(S61:DA61,"Arr")</f>
        <v>3</v>
      </c>
      <c r="I61" s="610"/>
      <c r="J61" s="632">
        <f>S61+V61+Y61+AB61+AE61+AH61+AK61+AN61+AQ61+AT61+AW61+AZ61+BC61+BF61+BI61+BL61+BO61+BR61+BU61+BX61+CA61+CD61+CG61+CJ61+CM61+CP61+CS61+CV61+CY61</f>
        <v>944</v>
      </c>
      <c r="K61" s="633">
        <f>T61+W61+Z61+AC61+AF61+AI61+AL61+AO61+AR61+AU61+AX61+BA61+BD61+BG61+BJ61+BM61+BP61+BS61+BV61+BY61+CB61+CE61+CH61+CK61+CN61+CQ61+CT61+CW61+CZ61</f>
        <v>945</v>
      </c>
      <c r="L61" s="613"/>
      <c r="M61" s="658">
        <f>IF($G61&gt;0,J61/G61,0)</f>
        <v>59</v>
      </c>
      <c r="N61" s="659">
        <f>IF($G61&gt;0,K61/$G61,0)</f>
        <v>59.0625</v>
      </c>
      <c r="O61" s="862"/>
      <c r="P61" s="874">
        <f>IF(AND($G61&gt;$Q$3-1,$G61-$H61&gt;0),M61,0)</f>
        <v>59</v>
      </c>
      <c r="Q61" s="875">
        <f>IF(AND($G61&gt;$Q$3-1,$G61-$H61&gt;0),N61,0)</f>
        <v>59.0625</v>
      </c>
      <c r="R61" s="613"/>
      <c r="S61" s="628">
        <f>_xlfn.XLOOKUP($E61,'Løp 1'!$E$10:$E$90,'Løp 1'!$M$10:$M$90,0)</f>
        <v>50</v>
      </c>
      <c r="T61" s="629">
        <f>_xlfn.XLOOKUP($E61,'Løp 1'!$E$10:$E$90,'Løp 1'!$O$10:$O$90,0)</f>
        <v>50</v>
      </c>
      <c r="U61" s="629" t="str">
        <f>_xlfn.XLOOKUP($E61,'Løp 1'!$E$10:$E$90,'Løp 1'!$L$10:$L$90,0)</f>
        <v>Brutt</v>
      </c>
      <c r="V61" s="628">
        <f>_xlfn.XLOOKUP($E61,'Løp 2'!$E$10:$E$90,'Løp 2'!$M$10:$M$90,0)</f>
        <v>50</v>
      </c>
      <c r="W61" s="629">
        <f>_xlfn.XLOOKUP($E61,'Løp 2'!$E$10:$E$90,'Løp 2'!$O$10:$O$90,0)</f>
        <v>50</v>
      </c>
      <c r="X61" s="629" t="str">
        <f>_xlfn.XLOOKUP($E61,'Løp 2'!$E$10:$E$90,'Løp 2'!$L$10:$L$90,0)</f>
        <v>Brutt</v>
      </c>
      <c r="Y61" s="628">
        <f>_xlfn.XLOOKUP($E61,'Løp 3'!$E$10:$E$90,'Løp 3'!$M$10:$M$90,0)</f>
        <v>50</v>
      </c>
      <c r="Z61" s="629">
        <f>_xlfn.XLOOKUP($E61,'Løp 3'!$E$10:$E$90,'Løp 3'!$O$10:$O$90,0)</f>
        <v>50</v>
      </c>
      <c r="AA61" s="629" t="str">
        <f>_xlfn.XLOOKUP($E61,'Løp 3'!$E$10:$E$90,'Løp 3'!$L$10:$L$90,0)</f>
        <v>Brutt</v>
      </c>
      <c r="AB61" s="628">
        <f>_xlfn.XLOOKUP($E61,'Løp 4'!$E$10:$E$90,'Løp 4'!$M$10:$M$90,0)</f>
        <v>50</v>
      </c>
      <c r="AC61" s="629">
        <f>_xlfn.XLOOKUP($E61,'Løp 4'!$E$10:$E$90,'Løp 4'!$O$10:$O$90,0)</f>
        <v>50</v>
      </c>
      <c r="AD61" s="629" t="str">
        <f>_xlfn.XLOOKUP($E61,'Løp 4'!$E$10:$E$90,'Løp 4'!$L$10:$L$90,0)</f>
        <v>Brutt</v>
      </c>
      <c r="AE61" s="628">
        <f>_xlfn.XLOOKUP($E61,'Løp 5'!$E$10:$E$90,'Løp 5'!$M$10:$M$90,0)</f>
        <v>50</v>
      </c>
      <c r="AF61" s="629">
        <f>_xlfn.XLOOKUP($E61,'Løp 5'!$E$10:$E$90,'Løp 5'!$O$10:$O$90,0)</f>
        <v>50</v>
      </c>
      <c r="AG61" s="629">
        <f>_xlfn.XLOOKUP($E61,'Løp 5'!$E$10:$E$90,'Løp 5'!$L$10:$L$90,0)</f>
        <v>1.8721064814814815E-2</v>
      </c>
      <c r="AH61" s="628">
        <f>_xlfn.XLOOKUP($E61,'Løp 6'!$E$10:$E$90,'Løp 6'!$M$10:$M$90,0)</f>
        <v>0</v>
      </c>
      <c r="AI61" s="629">
        <f>_xlfn.XLOOKUP($E61,'Løp 6'!$E$10:$E$90,'Løp 6'!$O$10:$O$90,0)</f>
        <v>0</v>
      </c>
      <c r="AJ61" s="629">
        <f>_xlfn.XLOOKUP($E61,'Løp 6'!$E$10:$E$90,'Løp 6'!$L$10:$L$90,0)</f>
        <v>0</v>
      </c>
      <c r="AK61" s="628">
        <f>_xlfn.XLOOKUP($E61,'Løp 7'!$E$10:$E$90,'Løp 7'!$M$10:$M$90,0)</f>
        <v>0</v>
      </c>
      <c r="AL61" s="629">
        <f>_xlfn.XLOOKUP($E61,'Løp 7'!$E$10:$E$90,'Løp 7'!$O$10:$O$90,0)</f>
        <v>0</v>
      </c>
      <c r="AM61" s="629">
        <f>_xlfn.XLOOKUP($E61,'Løp 7'!$E$10:$E$90,'Løp 7'!$L$10:$L$90,0)</f>
        <v>0</v>
      </c>
      <c r="AN61" s="628">
        <f>_xlfn.XLOOKUP($E61,'Løp 8'!$E$10:$E$91,'Løp 8'!$M$10:$M$91,0)</f>
        <v>100</v>
      </c>
      <c r="AO61" s="629">
        <f>_xlfn.XLOOKUP($E61,'Løp 8'!$E$10:$E$91,'Løp 8'!$O$10:$O$91,0)</f>
        <v>100</v>
      </c>
      <c r="AP61" s="629" t="str">
        <f>_xlfn.XLOOKUP($E61,'Løp 8'!$E$10:$E$91,'Løp 8'!$L$10:$L$91,0)</f>
        <v>Løype</v>
      </c>
      <c r="AQ61" s="628">
        <f>_xlfn.XLOOKUP($E61,'Løp 9'!$E$10:$E$91,'Løp 9'!$M$10:$M$91,0)</f>
        <v>50</v>
      </c>
      <c r="AR61" s="629">
        <f>_xlfn.XLOOKUP($E61,'Løp 9'!$E$10:$E$91,'Løp 9'!$O$10:$O$91,0)</f>
        <v>51</v>
      </c>
      <c r="AS61" s="629">
        <f>_xlfn.XLOOKUP($E61,'Løp 9'!$E$10:$E$91,'Løp 9'!$L$10:$L$91,0)</f>
        <v>1.4920033670033668E-2</v>
      </c>
      <c r="AT61" s="628">
        <f>_xlfn.XLOOKUP($E61,'Løp 10'!$E$10:$E$91,'Løp 10'!$M$10:$M$91,0)</f>
        <v>0</v>
      </c>
      <c r="AU61" s="629">
        <f>_xlfn.XLOOKUP($E61,'Løp 10'!$E$10:$E$91,'Løp 10'!$O$10:$O$91,0)</f>
        <v>0</v>
      </c>
      <c r="AV61" s="629">
        <f>_xlfn.XLOOKUP($E61,'Løp 10'!$E$10:$E$91,'Løp 10'!$L$10:$L$91,0)</f>
        <v>0</v>
      </c>
      <c r="AW61" s="628">
        <f>_xlfn.XLOOKUP($E61,'Løp 11'!$E$10:$E$91,'Løp 11'!$M$10:$M$91,0)</f>
        <v>0</v>
      </c>
      <c r="AX61" s="629">
        <f>_xlfn.XLOOKUP($E61,'Løp 11'!$E$10:$E$91,'Løp 11'!$O$10:$O$91,0)</f>
        <v>0</v>
      </c>
      <c r="AY61" s="629">
        <f>_xlfn.XLOOKUP($E61,'Løp 11'!$E$10:$E$91,'Løp 11'!$L$10:$L$91,0)</f>
        <v>0</v>
      </c>
      <c r="AZ61" s="628">
        <f>_xlfn.XLOOKUP($E61,'Løp 12'!$E$10:$E$91,'Løp 12'!$M$10:$M$91,0)</f>
        <v>50</v>
      </c>
      <c r="BA61" s="629">
        <f>_xlfn.XLOOKUP($E61,'Løp 12'!$E$10:$E$91,'Løp 12'!$O$10:$O$91,0)</f>
        <v>50</v>
      </c>
      <c r="BB61" s="629">
        <f>_xlfn.XLOOKUP($E61,'Løp 12'!$E$10:$E$91,'Løp 12'!$L$10:$L$91,0)</f>
        <v>1.7496141975308643E-2</v>
      </c>
      <c r="BC61" s="628">
        <f>_xlfn.XLOOKUP($E61,'Løp 13'!$E$10:$E$91,'Løp 13'!$M$10:$M$91,0)</f>
        <v>50</v>
      </c>
      <c r="BD61" s="629">
        <f>_xlfn.XLOOKUP($E61,'Løp 13'!$E$10:$E$91,'Løp 13'!$O$10:$O$91,0)</f>
        <v>50</v>
      </c>
      <c r="BE61" s="629" t="str">
        <f>_xlfn.XLOOKUP($E61,'Løp 13'!$E$10:$E$91,'Løp 13'!$L$10:$L$91,0)</f>
        <v>Brutt</v>
      </c>
      <c r="BF61" s="628">
        <f>_xlfn.XLOOKUP($E61,'Løp 14'!$E$10:$E$91,'Løp 14'!$M$10:$M$91,0)</f>
        <v>50</v>
      </c>
      <c r="BG61" s="629">
        <f>_xlfn.XLOOKUP($E61,'Løp 14'!$E$10:$E$91,'Løp 14'!$O$10:$O$91,0)</f>
        <v>50</v>
      </c>
      <c r="BH61" s="629">
        <f>_xlfn.XLOOKUP($E61,'Løp 14'!$E$10:$E$91,'Løp 14'!$L$10:$L$91,0)</f>
        <v>2.3483796296296298E-2</v>
      </c>
      <c r="BI61" s="628">
        <f>_xlfn.XLOOKUP($E61,'Løp 15'!$E$10:$E$91,'Løp 15'!$M$10:$M$91,0)</f>
        <v>0</v>
      </c>
      <c r="BJ61" s="629">
        <f>_xlfn.XLOOKUP($E61,'Løp 15'!$E$10:$E$91,'Løp 15'!$O$10:$O$91,0)</f>
        <v>0</v>
      </c>
      <c r="BK61" s="629">
        <f>_xlfn.XLOOKUP($E61,'Løp 15'!$E$10:$E$91,'Løp 15'!$L$10:$L$91,0)</f>
        <v>0</v>
      </c>
      <c r="BL61" s="628">
        <f>_xlfn.XLOOKUP($E61,'Løp 16'!$E$10:$E$91,'Løp 16'!$M$10:$M$91,0)</f>
        <v>50</v>
      </c>
      <c r="BM61" s="629">
        <f>_xlfn.XLOOKUP($E61,'Løp 16'!$E$10:$E$91,'Løp 16'!$O$10:$O$91,0)</f>
        <v>50</v>
      </c>
      <c r="BN61" s="629" t="str">
        <f>_xlfn.XLOOKUP($E61,'Løp 16'!$E$10:$E$91,'Løp 16'!$L$10:$L$91,0)</f>
        <v>Brutt</v>
      </c>
      <c r="BO61" s="628">
        <f>_xlfn.XLOOKUP($E61,'Løp 17'!$E$10:$E$91,'Løp 17'!$M$10:$M$91,0)</f>
        <v>0</v>
      </c>
      <c r="BP61" s="629">
        <f>_xlfn.XLOOKUP($E61,'Løp 17'!$E$10:$E$91,'Løp 17'!$O$10:$O$91,0)</f>
        <v>0</v>
      </c>
      <c r="BQ61" s="629">
        <f>_xlfn.XLOOKUP($E61,'Løp 17'!$E$10:$E$91,'Løp 17'!$L$10:$L$91,0)</f>
        <v>0</v>
      </c>
      <c r="BR61" s="628">
        <f>_xlfn.XLOOKUP($E61,'Løp 18'!$E$10:$E$91,'Løp 18'!$M$10:$M$91,0)</f>
        <v>50</v>
      </c>
      <c r="BS61" s="629">
        <f>_xlfn.XLOOKUP($E61,'Løp 18'!$E$10:$E$91,'Løp 18'!$O$10:$O$91,0)</f>
        <v>50</v>
      </c>
      <c r="BT61" s="629" t="str">
        <f>_xlfn.XLOOKUP($E61,'Løp 18'!$E$10:$E$91,'Løp 18'!$L$10:$L$91,0)</f>
        <v>Brutt</v>
      </c>
      <c r="BU61" s="628">
        <f>_xlfn.XLOOKUP($E61,'Løp 19'!$E$10:$E$91,'Løp 19'!$M$10:$M$91,0)</f>
        <v>0</v>
      </c>
      <c r="BV61" s="629">
        <f>_xlfn.XLOOKUP($E61,'Løp 19'!$E$10:$E$91,'Løp 19'!$O$10:$O$91,0)</f>
        <v>0</v>
      </c>
      <c r="BW61" s="629">
        <f>_xlfn.XLOOKUP($E61,'Løp 19'!$E$10:$E$91,'Løp 19'!$L$10:$L$91,0)</f>
        <v>0</v>
      </c>
      <c r="BX61" s="628">
        <f>_xlfn.XLOOKUP($E61,'Løp 20'!$E$10:$E$92,'Løp 20'!$M$10:$M$92,0)</f>
        <v>50</v>
      </c>
      <c r="BY61" s="629">
        <f>_xlfn.XLOOKUP($E61,'Løp 20'!$E$10:$E$92,'Løp 20'!$O$10:$O$92,0)</f>
        <v>50</v>
      </c>
      <c r="BZ61" s="629" t="str">
        <f>_xlfn.XLOOKUP($E61,'Løp 20'!$E$10:$E$92,'Løp 20'!$L$10:$L$92,0)</f>
        <v>Brutt</v>
      </c>
      <c r="CA61" s="628">
        <f>_xlfn.XLOOKUP($E61,'Løp 21'!$E$10:$E$93,'Løp 21'!$M$10:$M$93,0)</f>
        <v>0</v>
      </c>
      <c r="CB61" s="629">
        <f>_xlfn.XLOOKUP($E61,'Løp 21'!$E$10:$E$93,'Løp 21'!$O$10:$O$93,0)</f>
        <v>0</v>
      </c>
      <c r="CC61" s="629">
        <f>_xlfn.XLOOKUP($E61,'Løp 21'!$E$10:$E$93,'Løp 21'!$L$10:$L$93,0)</f>
        <v>0</v>
      </c>
      <c r="CD61" s="628">
        <f>_xlfn.XLOOKUP($E61,'Løp 22'!$E$10:$E$93,'Løp 22'!$M$10:$M$93,0)</f>
        <v>0</v>
      </c>
      <c r="CE61" s="629">
        <f>_xlfn.XLOOKUP($E61,'Løp 22'!$E$10:$E$93,'Løp 22'!$O$10:$O$93,0)</f>
        <v>0</v>
      </c>
      <c r="CF61" s="629">
        <f>_xlfn.XLOOKUP($E61,'Løp 22'!$E$10:$E$93,'Løp 22'!$L$10:$L$93,0)</f>
        <v>0</v>
      </c>
      <c r="CG61" s="628">
        <f>_xlfn.XLOOKUP($E61,'Løp 23'!$E$10:$E$93,'Løp 23'!$M$10:$M$93,0)</f>
        <v>0</v>
      </c>
      <c r="CH61" s="629">
        <f>_xlfn.XLOOKUP($E61,'Løp 23'!$E$10:$E$93,'Løp 23'!$O$10:$O$93,0)</f>
        <v>0</v>
      </c>
      <c r="CI61" s="629">
        <f>_xlfn.XLOOKUP($E61,'Løp 23'!$E$10:$E$93,'Løp 23'!$L$10:$L$93,0)</f>
        <v>0</v>
      </c>
      <c r="CJ61" s="628">
        <f>_xlfn.XLOOKUP($E61,'Løp 24'!$E$10:$E$93,'Løp 24'!$M$10:$M$93,0)</f>
        <v>100</v>
      </c>
      <c r="CK61" s="629">
        <f>_xlfn.XLOOKUP($E61,'Løp 24'!$E$10:$E$93,'Løp 24'!$O$10:$O$93,0)</f>
        <v>100</v>
      </c>
      <c r="CL61" s="629" t="str">
        <f>_xlfn.XLOOKUP($E61,'Løp 24'!$E$10:$E$93,'Løp 24'!$L$10:$L$93,0)</f>
        <v>Løype</v>
      </c>
      <c r="CM61" s="628">
        <f>_xlfn.XLOOKUP($E61,'Løp 25'!$E$10:$E$94,'Løp 25'!$M$10:$M$94,0)</f>
        <v>50</v>
      </c>
      <c r="CN61" s="629">
        <f>_xlfn.XLOOKUP($E61,'Løp 25'!$E$10:$E$94,'Løp 25'!$O$10:$O$94,0)</f>
        <v>50</v>
      </c>
      <c r="CO61" s="629" t="str">
        <f>_xlfn.XLOOKUP($E61,'Løp 25'!$E$10:$E$94,'Løp 25'!$L$10:$L$94,0)</f>
        <v>Brutt</v>
      </c>
      <c r="CP61" s="628">
        <f>_xlfn.XLOOKUP($E61,'Løp 26'!$E$10:$E$94,'Løp 26'!$M$10:$M$94,0)</f>
        <v>94</v>
      </c>
      <c r="CQ61" s="629">
        <f>_xlfn.XLOOKUP($E61,'Løp 26'!$E$10:$E$94,'Løp 26'!$O$10:$O$94,0)</f>
        <v>94</v>
      </c>
      <c r="CR61" s="629" t="str">
        <f>_xlfn.XLOOKUP($E61,'Løp 26'!$E$10:$E$94,'Løp 26'!$L$10:$L$94,0)</f>
        <v>Arr</v>
      </c>
      <c r="CS61" s="628">
        <f>_xlfn.XLOOKUP($E61,'Løp 27'!$E$10:$E$94,'Løp 27'!$M$10:$M$94,0)</f>
        <v>0</v>
      </c>
      <c r="CT61" s="629">
        <f>_xlfn.XLOOKUP($E61,'Løp 27'!$E$10:$E$94,'Løp 27'!$O$10:$O$94,0)</f>
        <v>0</v>
      </c>
      <c r="CU61" s="629">
        <f>_xlfn.XLOOKUP($E61,'Løp 27'!$E$10:$E$94,'Løp 27'!$L$10:$L$94,0)</f>
        <v>0</v>
      </c>
      <c r="CV61" s="628">
        <f>_xlfn.XLOOKUP($E61,'Løp 28'!$E$10:$E$95,'Løp 28'!$M$10:$M$95,0)</f>
        <v>0</v>
      </c>
      <c r="CW61" s="629">
        <f>_xlfn.XLOOKUP($E61,'Løp 28'!$E$10:$E$95,'Løp 28'!$O$10:$O$95,0)</f>
        <v>0</v>
      </c>
      <c r="CX61" s="629">
        <f>_xlfn.XLOOKUP($E61,'Løp 28'!$E$10:$E$95,'Løp 28'!$L$10:$L$95,0)</f>
        <v>0</v>
      </c>
      <c r="CY61" s="628">
        <f>_xlfn.XLOOKUP($E61,'Løp 29'!$E$10:$E$95,'Løp 29'!$M$10:$M$95,0)</f>
        <v>0</v>
      </c>
      <c r="CZ61" s="629">
        <f>_xlfn.XLOOKUP($E61,'Løp 29'!$E$10:$E$95,'Løp 29'!$O$10:$O$95,0)</f>
        <v>0</v>
      </c>
      <c r="DA61" s="629">
        <f>_xlfn.XLOOKUP($E61,'Løp 29'!$E$10:$E$95,'Løp 29'!$L$10:$L$95,0)</f>
        <v>0</v>
      </c>
    </row>
    <row r="62" spans="2:105" ht="26" customHeight="1" thickBot="1" x14ac:dyDescent="0.3">
      <c r="B62" s="627">
        <f t="shared" si="0"/>
        <v>53</v>
      </c>
      <c r="C62" s="119" t="s">
        <v>130</v>
      </c>
      <c r="D62" s="620" t="s">
        <v>131</v>
      </c>
      <c r="E62" s="617" t="str">
        <f>_xlfn.CONCAT(C62:D62)</f>
        <v>AtleMørk</v>
      </c>
      <c r="F62" s="610"/>
      <c r="G62" s="653">
        <f>COUNTIF(S62:DA62,"&gt;2")/2</f>
        <v>23</v>
      </c>
      <c r="H62" s="852">
        <f>COUNTIF(S62:DA62,"=Løype")+COUNTIF(S62:DA62,"Arr")</f>
        <v>3</v>
      </c>
      <c r="I62" s="610"/>
      <c r="J62" s="632">
        <f>S62+V62+Y62+AB62+AE62+AH62+AK62+AN62+AQ62+AT62+AW62+AZ62+BC62+BF62+BI62+BL62+BO62+BR62+BU62+BX62+CA62+CD62+CG62+CJ62+CM62+CP62+CS62+CV62+CY62</f>
        <v>1344</v>
      </c>
      <c r="K62" s="633">
        <f>T62+W62+Z62+AC62+AF62+AI62+AL62+AO62+AR62+AU62+AX62+BA62+BD62+BG62+BJ62+BM62+BP62+BS62+BV62+BY62+CB62+CE62+CH62+CK62+CN62+CQ62+CT62+CW62+CZ62</f>
        <v>1350</v>
      </c>
      <c r="L62" s="613"/>
      <c r="M62" s="658">
        <f>IF($G62&gt;0,J62/G62,0)</f>
        <v>58.434782608695649</v>
      </c>
      <c r="N62" s="659">
        <f>IF($G62&gt;0,K62/$G62,0)</f>
        <v>58.695652173913047</v>
      </c>
      <c r="O62" s="862"/>
      <c r="P62" s="874">
        <f>IF(AND($G62&gt;$Q$3-1,$G62-$H62&gt;0),M62,0)</f>
        <v>58.434782608695649</v>
      </c>
      <c r="Q62" s="875">
        <f>IF(AND($G62&gt;$Q$3-1,$G62-$H62&gt;0),N62,0)</f>
        <v>58.695652173913047</v>
      </c>
      <c r="R62" s="613"/>
      <c r="S62" s="628">
        <f>_xlfn.XLOOKUP($E62,'Løp 1'!$E$10:$E$90,'Løp 1'!$M$10:$M$90,0)</f>
        <v>50</v>
      </c>
      <c r="T62" s="629">
        <f>_xlfn.XLOOKUP($E62,'Løp 1'!$E$10:$E$90,'Løp 1'!$O$10:$O$90,0)</f>
        <v>50</v>
      </c>
      <c r="U62" s="629">
        <f>_xlfn.XLOOKUP($E62,'Løp 1'!$E$10:$E$90,'Løp 1'!$L$10:$L$90,0)</f>
        <v>1.8524610136452242E-2</v>
      </c>
      <c r="V62" s="628">
        <f>_xlfn.XLOOKUP($E62,'Løp 2'!$E$10:$E$90,'Løp 2'!$M$10:$M$90,0)</f>
        <v>50</v>
      </c>
      <c r="W62" s="629">
        <f>_xlfn.XLOOKUP($E62,'Løp 2'!$E$10:$E$90,'Løp 2'!$O$10:$O$90,0)</f>
        <v>50</v>
      </c>
      <c r="X62" s="629" t="str">
        <f>_xlfn.XLOOKUP($E62,'Løp 2'!$E$10:$E$90,'Løp 2'!$L$10:$L$90,0)</f>
        <v>Brutt</v>
      </c>
      <c r="Y62" s="628">
        <f>_xlfn.XLOOKUP($E62,'Løp 3'!$E$10:$E$90,'Løp 3'!$M$10:$M$90,0)</f>
        <v>50</v>
      </c>
      <c r="Z62" s="629">
        <f>_xlfn.XLOOKUP($E62,'Løp 3'!$E$10:$E$90,'Løp 3'!$O$10:$O$90,0)</f>
        <v>50</v>
      </c>
      <c r="AA62" s="629">
        <f>_xlfn.XLOOKUP($E62,'Løp 3'!$E$10:$E$90,'Løp 3'!$L$10:$L$90,0)</f>
        <v>1.9995590828924159E-2</v>
      </c>
      <c r="AB62" s="628">
        <f>_xlfn.XLOOKUP($E62,'Løp 4'!$E$10:$E$90,'Løp 4'!$M$10:$M$90,0)</f>
        <v>50</v>
      </c>
      <c r="AC62" s="629">
        <f>_xlfn.XLOOKUP($E62,'Løp 4'!$E$10:$E$90,'Løp 4'!$O$10:$O$90,0)</f>
        <v>50</v>
      </c>
      <c r="AD62" s="629">
        <f>_xlfn.XLOOKUP($E62,'Løp 4'!$E$10:$E$90,'Løp 4'!$L$10:$L$90,0)</f>
        <v>1.6958534621578102E-2</v>
      </c>
      <c r="AE62" s="628">
        <f>_xlfn.XLOOKUP($E62,'Løp 5'!$E$10:$E$90,'Løp 5'!$M$10:$M$90,0)</f>
        <v>50</v>
      </c>
      <c r="AF62" s="629">
        <f>_xlfn.XLOOKUP($E62,'Løp 5'!$E$10:$E$90,'Løp 5'!$O$10:$O$90,0)</f>
        <v>50</v>
      </c>
      <c r="AG62" s="629">
        <f>_xlfn.XLOOKUP($E62,'Løp 5'!$E$10:$E$90,'Løp 5'!$L$10:$L$90,0)</f>
        <v>1.7585358796296295E-2</v>
      </c>
      <c r="AH62" s="628">
        <f>_xlfn.XLOOKUP($E62,'Løp 6'!$E$10:$E$90,'Løp 6'!$M$10:$M$90,0)</f>
        <v>52</v>
      </c>
      <c r="AI62" s="629">
        <f>_xlfn.XLOOKUP($E62,'Løp 6'!$E$10:$E$90,'Løp 6'!$O$10:$O$90,0)</f>
        <v>55</v>
      </c>
      <c r="AJ62" s="629">
        <f>_xlfn.XLOOKUP($E62,'Løp 6'!$E$10:$E$90,'Løp 6'!$L$10:$L$90,0)</f>
        <v>1.5019063180827887E-2</v>
      </c>
      <c r="AK62" s="628">
        <f>_xlfn.XLOOKUP($E62,'Løp 7'!$E$10:$E$90,'Løp 7'!$M$10:$M$90,0)</f>
        <v>77</v>
      </c>
      <c r="AL62" s="629">
        <f>_xlfn.XLOOKUP($E62,'Løp 7'!$E$10:$E$90,'Løp 7'!$O$10:$O$90,0)</f>
        <v>67</v>
      </c>
      <c r="AM62" s="629">
        <f>_xlfn.XLOOKUP($E62,'Løp 7'!$E$10:$E$90,'Løp 7'!$L$10:$L$90,0)</f>
        <v>2.170664983164983E-2</v>
      </c>
      <c r="AN62" s="628">
        <f>_xlfn.XLOOKUP($E62,'Løp 8'!$E$10:$E$91,'Løp 8'!$M$10:$M$91,0)</f>
        <v>50</v>
      </c>
      <c r="AO62" s="629">
        <f>_xlfn.XLOOKUP($E62,'Løp 8'!$E$10:$E$91,'Løp 8'!$O$10:$O$91,0)</f>
        <v>50</v>
      </c>
      <c r="AP62" s="629" t="str">
        <f>_xlfn.XLOOKUP($E62,'Løp 8'!$E$10:$E$91,'Løp 8'!$L$10:$L$91,0)</f>
        <v>Brutt</v>
      </c>
      <c r="AQ62" s="628">
        <f>_xlfn.XLOOKUP($E62,'Løp 9'!$E$10:$E$91,'Løp 9'!$M$10:$M$91,0)</f>
        <v>94</v>
      </c>
      <c r="AR62" s="629">
        <f>_xlfn.XLOOKUP($E62,'Løp 9'!$E$10:$E$91,'Løp 9'!$O$10:$O$91,0)</f>
        <v>94</v>
      </c>
      <c r="AS62" s="629" t="str">
        <f>_xlfn.XLOOKUP($E62,'Løp 9'!$E$10:$E$91,'Løp 9'!$L$10:$L$91,0)</f>
        <v>Arr</v>
      </c>
      <c r="AT62" s="628">
        <f>_xlfn.XLOOKUP($E62,'Løp 10'!$E$10:$E$91,'Løp 10'!$M$10:$M$91,0)</f>
        <v>0</v>
      </c>
      <c r="AU62" s="629">
        <f>_xlfn.XLOOKUP($E62,'Løp 10'!$E$10:$E$91,'Løp 10'!$O$10:$O$91,0)</f>
        <v>0</v>
      </c>
      <c r="AV62" s="629">
        <f>_xlfn.XLOOKUP($E62,'Løp 10'!$E$10:$E$91,'Løp 10'!$L$10:$L$91,0)</f>
        <v>0</v>
      </c>
      <c r="AW62" s="628">
        <f>_xlfn.XLOOKUP($E62,'Løp 11'!$E$10:$E$91,'Løp 11'!$M$10:$M$91,0)</f>
        <v>55</v>
      </c>
      <c r="AX62" s="629">
        <f>_xlfn.XLOOKUP($E62,'Løp 11'!$E$10:$E$91,'Løp 11'!$O$10:$O$91,0)</f>
        <v>58</v>
      </c>
      <c r="AY62" s="629">
        <f>_xlfn.XLOOKUP($E62,'Løp 11'!$E$10:$E$91,'Løp 11'!$L$10:$L$91,0)</f>
        <v>1.3257575757575756E-2</v>
      </c>
      <c r="AZ62" s="628">
        <f>_xlfn.XLOOKUP($E62,'Løp 12'!$E$10:$E$91,'Løp 12'!$M$10:$M$91,0)</f>
        <v>0</v>
      </c>
      <c r="BA62" s="629">
        <f>_xlfn.XLOOKUP($E62,'Løp 12'!$E$10:$E$91,'Løp 12'!$O$10:$O$91,0)</f>
        <v>0</v>
      </c>
      <c r="BB62" s="629">
        <f>_xlfn.XLOOKUP($E62,'Løp 12'!$E$10:$E$91,'Løp 12'!$L$10:$L$91,0)</f>
        <v>0</v>
      </c>
      <c r="BC62" s="628">
        <f>_xlfn.XLOOKUP($E62,'Løp 13'!$E$10:$E$91,'Løp 13'!$M$10:$M$91,0)</f>
        <v>0</v>
      </c>
      <c r="BD62" s="629">
        <f>_xlfn.XLOOKUP($E62,'Løp 13'!$E$10:$E$91,'Løp 13'!$O$10:$O$91,0)</f>
        <v>0</v>
      </c>
      <c r="BE62" s="629">
        <f>_xlfn.XLOOKUP($E62,'Løp 13'!$E$10:$E$91,'Løp 13'!$L$10:$L$91,0)</f>
        <v>0</v>
      </c>
      <c r="BF62" s="628">
        <f>_xlfn.XLOOKUP($E62,'Løp 14'!$E$10:$E$91,'Løp 14'!$M$10:$M$91,0)</f>
        <v>0</v>
      </c>
      <c r="BG62" s="629">
        <f>_xlfn.XLOOKUP($E62,'Løp 14'!$E$10:$E$91,'Løp 14'!$O$10:$O$91,0)</f>
        <v>0</v>
      </c>
      <c r="BH62" s="629">
        <f>_xlfn.XLOOKUP($E62,'Løp 14'!$E$10:$E$91,'Løp 14'!$L$10:$L$91,0)</f>
        <v>0</v>
      </c>
      <c r="BI62" s="628">
        <f>_xlfn.XLOOKUP($E62,'Løp 15'!$E$10:$E$91,'Løp 15'!$M$10:$M$91,0)</f>
        <v>50</v>
      </c>
      <c r="BJ62" s="629">
        <f>_xlfn.XLOOKUP($E62,'Løp 15'!$E$10:$E$91,'Løp 15'!$O$10:$O$91,0)</f>
        <v>50</v>
      </c>
      <c r="BK62" s="629">
        <f>_xlfn.XLOOKUP($E62,'Løp 15'!$E$10:$E$91,'Løp 15'!$L$10:$L$91,0)</f>
        <v>1.8132716049382717E-2</v>
      </c>
      <c r="BL62" s="628">
        <f>_xlfn.XLOOKUP($E62,'Løp 16'!$E$10:$E$91,'Løp 16'!$M$10:$M$91,0)</f>
        <v>50</v>
      </c>
      <c r="BM62" s="629">
        <f>_xlfn.XLOOKUP($E62,'Løp 16'!$E$10:$E$91,'Løp 16'!$O$10:$O$91,0)</f>
        <v>50</v>
      </c>
      <c r="BN62" s="629" t="str">
        <f>_xlfn.XLOOKUP($E62,'Løp 16'!$E$10:$E$91,'Løp 16'!$L$10:$L$91,0)</f>
        <v>Disk</v>
      </c>
      <c r="BO62" s="628">
        <f>_xlfn.XLOOKUP($E62,'Løp 17'!$E$10:$E$91,'Løp 17'!$M$10:$M$91,0)</f>
        <v>100</v>
      </c>
      <c r="BP62" s="629">
        <f>_xlfn.XLOOKUP($E62,'Løp 17'!$E$10:$E$91,'Løp 17'!$O$10:$O$91,0)</f>
        <v>100</v>
      </c>
      <c r="BQ62" s="629" t="str">
        <f>_xlfn.XLOOKUP($E62,'Løp 17'!$E$10:$E$91,'Løp 17'!$L$10:$L$91,0)</f>
        <v>Løype</v>
      </c>
      <c r="BR62" s="628">
        <f>_xlfn.XLOOKUP($E62,'Løp 18'!$E$10:$E$91,'Løp 18'!$M$10:$M$91,0)</f>
        <v>52</v>
      </c>
      <c r="BS62" s="629">
        <f>_xlfn.XLOOKUP($E62,'Løp 18'!$E$10:$E$91,'Løp 18'!$O$10:$O$91,0)</f>
        <v>53</v>
      </c>
      <c r="BT62" s="629">
        <f>_xlfn.XLOOKUP($E62,'Løp 18'!$E$10:$E$91,'Løp 18'!$L$10:$L$91,0)</f>
        <v>1.375E-2</v>
      </c>
      <c r="BU62" s="628">
        <f>_xlfn.XLOOKUP($E62,'Løp 19'!$E$10:$E$91,'Løp 19'!$M$10:$M$91,0)</f>
        <v>58</v>
      </c>
      <c r="BV62" s="629">
        <f>_xlfn.XLOOKUP($E62,'Løp 19'!$E$10:$E$91,'Løp 19'!$O$10:$O$91,0)</f>
        <v>58</v>
      </c>
      <c r="BW62" s="629">
        <f>_xlfn.XLOOKUP($E62,'Løp 19'!$E$10:$E$91,'Løp 19'!$L$10:$L$91,0)</f>
        <v>1.4203960905349795E-2</v>
      </c>
      <c r="BX62" s="628">
        <f>_xlfn.XLOOKUP($E62,'Løp 20'!$E$10:$E$92,'Løp 20'!$M$10:$M$92,0)</f>
        <v>94</v>
      </c>
      <c r="BY62" s="629">
        <f>_xlfn.XLOOKUP($E62,'Løp 20'!$E$10:$E$92,'Løp 20'!$O$10:$O$92,0)</f>
        <v>94</v>
      </c>
      <c r="BZ62" s="629" t="str">
        <f>_xlfn.XLOOKUP($E62,'Løp 20'!$E$10:$E$92,'Løp 20'!$L$10:$L$92,0)</f>
        <v>Arr</v>
      </c>
      <c r="CA62" s="628">
        <f>_xlfn.XLOOKUP($E62,'Løp 21'!$E$10:$E$93,'Løp 21'!$M$10:$M$93,0)</f>
        <v>0</v>
      </c>
      <c r="CB62" s="629">
        <f>_xlfn.XLOOKUP($E62,'Løp 21'!$E$10:$E$93,'Løp 21'!$O$10:$O$93,0)</f>
        <v>0</v>
      </c>
      <c r="CC62" s="629">
        <f>_xlfn.XLOOKUP($E62,'Løp 21'!$E$10:$E$93,'Løp 21'!$L$10:$L$93,0)</f>
        <v>0</v>
      </c>
      <c r="CD62" s="628">
        <f>_xlfn.XLOOKUP($E62,'Løp 22'!$E$10:$E$93,'Løp 22'!$M$10:$M$93,0)</f>
        <v>56</v>
      </c>
      <c r="CE62" s="629">
        <f>_xlfn.XLOOKUP($E62,'Løp 22'!$E$10:$E$93,'Løp 22'!$O$10:$O$93,0)</f>
        <v>59</v>
      </c>
      <c r="CF62" s="629">
        <f>_xlfn.XLOOKUP($E62,'Løp 22'!$E$10:$E$93,'Løp 22'!$L$10:$L$93,0)</f>
        <v>1.2389770723104055E-2</v>
      </c>
      <c r="CG62" s="628">
        <f>_xlfn.XLOOKUP($E62,'Løp 23'!$E$10:$E$93,'Løp 23'!$M$10:$M$93,0)</f>
        <v>0</v>
      </c>
      <c r="CH62" s="629">
        <f>_xlfn.XLOOKUP($E62,'Løp 23'!$E$10:$E$93,'Løp 23'!$O$10:$O$93,0)</f>
        <v>0</v>
      </c>
      <c r="CI62" s="629">
        <f>_xlfn.XLOOKUP($E62,'Løp 23'!$E$10:$E$93,'Løp 23'!$L$10:$L$93,0)</f>
        <v>0</v>
      </c>
      <c r="CJ62" s="628">
        <f>_xlfn.XLOOKUP($E62,'Løp 24'!$E$10:$E$93,'Løp 24'!$M$10:$M$93,0)</f>
        <v>50</v>
      </c>
      <c r="CK62" s="629">
        <f>_xlfn.XLOOKUP($E62,'Løp 24'!$E$10:$E$93,'Løp 24'!$O$10:$O$93,0)</f>
        <v>50</v>
      </c>
      <c r="CL62" s="629">
        <f>_xlfn.XLOOKUP($E62,'Løp 24'!$E$10:$E$93,'Løp 24'!$L$10:$L$93,0)</f>
        <v>1.1926557239057238E-2</v>
      </c>
      <c r="CM62" s="628">
        <f>_xlfn.XLOOKUP($E62,'Løp 25'!$E$10:$E$94,'Løp 25'!$M$10:$M$94,0)</f>
        <v>50</v>
      </c>
      <c r="CN62" s="629">
        <f>_xlfn.XLOOKUP($E62,'Løp 25'!$E$10:$E$94,'Løp 25'!$O$10:$O$94,0)</f>
        <v>50</v>
      </c>
      <c r="CO62" s="629">
        <f>_xlfn.XLOOKUP($E62,'Løp 25'!$E$10:$E$94,'Løp 25'!$L$10:$L$94,0)</f>
        <v>2.0434670781893004E-2</v>
      </c>
      <c r="CP62" s="628">
        <f>_xlfn.XLOOKUP($E62,'Løp 26'!$E$10:$E$94,'Løp 26'!$M$10:$M$94,0)</f>
        <v>56</v>
      </c>
      <c r="CQ62" s="629">
        <f>_xlfn.XLOOKUP($E62,'Løp 26'!$E$10:$E$94,'Løp 26'!$O$10:$O$94,0)</f>
        <v>62</v>
      </c>
      <c r="CR62" s="629">
        <f>_xlfn.XLOOKUP($E62,'Løp 26'!$E$10:$E$94,'Løp 26'!$L$10:$L$94,0)</f>
        <v>1.2562321937321937E-2</v>
      </c>
      <c r="CS62" s="628">
        <f>_xlfn.XLOOKUP($E62,'Løp 27'!$E$10:$E$94,'Løp 27'!$M$10:$M$94,0)</f>
        <v>50</v>
      </c>
      <c r="CT62" s="629">
        <f>_xlfn.XLOOKUP($E62,'Løp 27'!$E$10:$E$94,'Løp 27'!$O$10:$O$94,0)</f>
        <v>50</v>
      </c>
      <c r="CU62" s="629" t="str">
        <f>_xlfn.XLOOKUP($E62,'Løp 27'!$E$10:$E$94,'Løp 27'!$L$10:$L$94,0)</f>
        <v>Disk</v>
      </c>
      <c r="CV62" s="628">
        <f>_xlfn.XLOOKUP($E62,'Løp 28'!$E$10:$E$95,'Løp 28'!$M$10:$M$95,0)</f>
        <v>50</v>
      </c>
      <c r="CW62" s="629">
        <f>_xlfn.XLOOKUP($E62,'Løp 28'!$E$10:$E$95,'Løp 28'!$O$10:$O$95,0)</f>
        <v>50</v>
      </c>
      <c r="CX62" s="629">
        <f>_xlfn.XLOOKUP($E62,'Løp 28'!$E$10:$E$95,'Løp 28'!$L$10:$L$95,0)</f>
        <v>1.5081018518518518E-2</v>
      </c>
      <c r="CY62" s="628">
        <f>_xlfn.XLOOKUP($E62,'Løp 29'!$E$10:$E$95,'Løp 29'!$M$10:$M$95,0)</f>
        <v>50</v>
      </c>
      <c r="CZ62" s="629">
        <f>_xlfn.XLOOKUP($E62,'Løp 29'!$E$10:$E$95,'Løp 29'!$O$10:$O$95,0)</f>
        <v>50</v>
      </c>
      <c r="DA62" s="629">
        <f>_xlfn.XLOOKUP($E62,'Løp 29'!$E$10:$E$95,'Løp 29'!$L$10:$L$95,0)</f>
        <v>1.5502025462962962E-2</v>
      </c>
    </row>
    <row r="63" spans="2:105" ht="26" thickBot="1" x14ac:dyDescent="0.3">
      <c r="B63" s="627">
        <f t="shared" si="0"/>
        <v>54</v>
      </c>
      <c r="C63" s="119" t="s">
        <v>72</v>
      </c>
      <c r="D63" s="620" t="s">
        <v>139</v>
      </c>
      <c r="E63" s="617" t="str">
        <f>_xlfn.CONCAT(C63:D63)</f>
        <v>KåreOnsøyen</v>
      </c>
      <c r="F63" s="610"/>
      <c r="G63" s="653">
        <f>COUNTIF(S63:DA63,"&gt;2")/2</f>
        <v>8</v>
      </c>
      <c r="H63" s="852">
        <f>COUNTIF(S63:DA63,"=Løype")+COUNTIF(S63:DA63,"Arr")</f>
        <v>0</v>
      </c>
      <c r="I63" s="610"/>
      <c r="J63" s="632">
        <f>S63+V63+Y63+AB63+AE63+AH63+AK63+AN63+AQ63+AT63+AW63+AZ63+BC63+BF63+BI63+BL63+BO63+BR63+BU63+BX63+CA63+CD63+CG63+CJ63+CM63+CP63+CS63+CV63+CY63</f>
        <v>451</v>
      </c>
      <c r="K63" s="633">
        <f>T63+W63+Z63+AC63+AF63+AI63+AL63+AO63+AR63+AU63+AX63+BA63+BD63+BG63+BJ63+BM63+BP63+BS63+BV63+BY63+CB63+CE63+CH63+CK63+CN63+CQ63+CT63+CW63+CZ63</f>
        <v>469</v>
      </c>
      <c r="L63" s="613"/>
      <c r="M63" s="658">
        <f>IF($G63&gt;0,J63/G63,0)</f>
        <v>56.375</v>
      </c>
      <c r="N63" s="659">
        <f>IF($G63&gt;0,K63/$G63,0)</f>
        <v>58.625</v>
      </c>
      <c r="O63" s="862"/>
      <c r="P63" s="874">
        <f>IF(AND($G63&gt;$Q$3-1,$G63-$H63&gt;0),M63,0)</f>
        <v>56.375</v>
      </c>
      <c r="Q63" s="875">
        <f>IF(AND($G63&gt;$Q$3-1,$G63-$H63&gt;0),N63,0)</f>
        <v>58.625</v>
      </c>
      <c r="R63" s="613"/>
      <c r="S63" s="628">
        <f>_xlfn.XLOOKUP($E63,'Løp 1'!$E$10:$E$90,'Løp 1'!$M$10:$M$90,0)</f>
        <v>0</v>
      </c>
      <c r="T63" s="629">
        <f>_xlfn.XLOOKUP($E63,'Løp 1'!$E$10:$E$90,'Løp 1'!$O$10:$O$90,0)</f>
        <v>0</v>
      </c>
      <c r="U63" s="629">
        <f>_xlfn.XLOOKUP($E63,'Løp 1'!$E$10:$E$90,'Løp 1'!$L$10:$L$90,0)</f>
        <v>0</v>
      </c>
      <c r="V63" s="628">
        <f>_xlfn.XLOOKUP($E63,'Løp 2'!$E$10:$E$90,'Løp 2'!$M$10:$M$90,0)</f>
        <v>0</v>
      </c>
      <c r="W63" s="629">
        <f>_xlfn.XLOOKUP($E63,'Løp 2'!$E$10:$E$90,'Løp 2'!$O$10:$O$90,0)</f>
        <v>0</v>
      </c>
      <c r="X63" s="629">
        <f>_xlfn.XLOOKUP($E63,'Løp 2'!$E$10:$E$90,'Løp 2'!$L$10:$L$90,0)</f>
        <v>0</v>
      </c>
      <c r="Y63" s="628">
        <f>_xlfn.XLOOKUP($E63,'Løp 3'!$E$10:$E$90,'Løp 3'!$M$10:$M$90,0)</f>
        <v>69</v>
      </c>
      <c r="Z63" s="629">
        <f>_xlfn.XLOOKUP($E63,'Løp 3'!$E$10:$E$90,'Løp 3'!$O$10:$O$90,0)</f>
        <v>71</v>
      </c>
      <c r="AA63" s="629">
        <f>_xlfn.XLOOKUP($E63,'Løp 3'!$E$10:$E$90,'Løp 3'!$L$10:$L$90,0)</f>
        <v>1.3128306878306878E-2</v>
      </c>
      <c r="AB63" s="628">
        <f>_xlfn.XLOOKUP($E63,'Løp 4'!$E$10:$E$90,'Løp 4'!$M$10:$M$90,0)</f>
        <v>0</v>
      </c>
      <c r="AC63" s="629">
        <f>_xlfn.XLOOKUP($E63,'Løp 4'!$E$10:$E$90,'Løp 4'!$O$10:$O$90,0)</f>
        <v>0</v>
      </c>
      <c r="AD63" s="629">
        <f>_xlfn.XLOOKUP($E63,'Løp 4'!$E$10:$E$90,'Løp 4'!$L$10:$L$90,0)</f>
        <v>0</v>
      </c>
      <c r="AE63" s="628">
        <f>_xlfn.XLOOKUP($E63,'Løp 5'!$E$10:$E$90,'Løp 5'!$M$10:$M$90,0)</f>
        <v>50</v>
      </c>
      <c r="AF63" s="629">
        <f>_xlfn.XLOOKUP($E63,'Løp 5'!$E$10:$E$90,'Løp 5'!$O$10:$O$90,0)</f>
        <v>52</v>
      </c>
      <c r="AG63" s="629">
        <f>_xlfn.XLOOKUP($E63,'Løp 5'!$E$10:$E$90,'Løp 5'!$L$10:$L$90,0)</f>
        <v>1.4677372685185186E-2</v>
      </c>
      <c r="AH63" s="628">
        <f>_xlfn.XLOOKUP($E63,'Løp 6'!$E$10:$E$90,'Løp 6'!$M$10:$M$90,0)</f>
        <v>57</v>
      </c>
      <c r="AI63" s="629">
        <f>_xlfn.XLOOKUP($E63,'Løp 6'!$E$10:$E$90,'Løp 6'!$O$10:$O$90,0)</f>
        <v>62</v>
      </c>
      <c r="AJ63" s="629">
        <f>_xlfn.XLOOKUP($E63,'Løp 6'!$E$10:$E$90,'Løp 6'!$L$10:$L$90,0)</f>
        <v>1.3671023965141613E-2</v>
      </c>
      <c r="AK63" s="628">
        <f>_xlfn.XLOOKUP($E63,'Løp 7'!$E$10:$E$90,'Løp 7'!$M$10:$M$90,0)</f>
        <v>0</v>
      </c>
      <c r="AL63" s="629">
        <f>_xlfn.XLOOKUP($E63,'Løp 7'!$E$10:$E$90,'Løp 7'!$O$10:$O$90,0)</f>
        <v>0</v>
      </c>
      <c r="AM63" s="629">
        <f>_xlfn.XLOOKUP($E63,'Løp 7'!$E$10:$E$90,'Løp 7'!$L$10:$L$90,0)</f>
        <v>0</v>
      </c>
      <c r="AN63" s="628">
        <f>_xlfn.XLOOKUP($E63,'Løp 8'!$E$10:$E$91,'Løp 8'!$M$10:$M$91,0)</f>
        <v>0</v>
      </c>
      <c r="AO63" s="629">
        <f>_xlfn.XLOOKUP($E63,'Løp 8'!$E$10:$E$91,'Løp 8'!$O$10:$O$91,0)</f>
        <v>0</v>
      </c>
      <c r="AP63" s="629">
        <f>_xlfn.XLOOKUP($E63,'Løp 8'!$E$10:$E$91,'Løp 8'!$L$10:$L$91,0)</f>
        <v>0</v>
      </c>
      <c r="AQ63" s="628">
        <f>_xlfn.XLOOKUP($E63,'Løp 9'!$E$10:$E$91,'Løp 9'!$M$10:$M$91,0)</f>
        <v>0</v>
      </c>
      <c r="AR63" s="629">
        <f>_xlfn.XLOOKUP($E63,'Løp 9'!$E$10:$E$91,'Løp 9'!$O$10:$O$91,0)</f>
        <v>0</v>
      </c>
      <c r="AS63" s="629">
        <f>_xlfn.XLOOKUP($E63,'Løp 9'!$E$10:$E$91,'Løp 9'!$L$10:$L$91,0)</f>
        <v>0</v>
      </c>
      <c r="AT63" s="628">
        <f>_xlfn.XLOOKUP($E63,'Løp 10'!$E$10:$E$91,'Løp 10'!$M$10:$M$91,0)</f>
        <v>56</v>
      </c>
      <c r="AU63" s="629">
        <f>_xlfn.XLOOKUP($E63,'Løp 10'!$E$10:$E$91,'Løp 10'!$O$10:$O$91,0)</f>
        <v>60</v>
      </c>
      <c r="AV63" s="629">
        <f>_xlfn.XLOOKUP($E63,'Løp 10'!$E$10:$E$91,'Løp 10'!$L$10:$L$91,0)</f>
        <v>1.3194444444444444E-2</v>
      </c>
      <c r="AW63" s="628">
        <f>_xlfn.XLOOKUP($E63,'Løp 11'!$E$10:$E$91,'Løp 11'!$M$10:$M$91,0)</f>
        <v>67</v>
      </c>
      <c r="AX63" s="629">
        <f>_xlfn.XLOOKUP($E63,'Løp 11'!$E$10:$E$91,'Løp 11'!$O$10:$O$91,0)</f>
        <v>73</v>
      </c>
      <c r="AY63" s="629">
        <f>_xlfn.XLOOKUP($E63,'Løp 11'!$E$10:$E$91,'Løp 11'!$L$10:$L$91,0)</f>
        <v>1.0869107744107744E-2</v>
      </c>
      <c r="AZ63" s="628">
        <f>_xlfn.XLOOKUP($E63,'Løp 12'!$E$10:$E$91,'Løp 12'!$M$10:$M$91,0)</f>
        <v>0</v>
      </c>
      <c r="BA63" s="629">
        <f>_xlfn.XLOOKUP($E63,'Løp 12'!$E$10:$E$91,'Løp 12'!$O$10:$O$91,0)</f>
        <v>0</v>
      </c>
      <c r="BB63" s="629">
        <f>_xlfn.XLOOKUP($E63,'Løp 12'!$E$10:$E$91,'Løp 12'!$L$10:$L$91,0)</f>
        <v>0</v>
      </c>
      <c r="BC63" s="628">
        <f>_xlfn.XLOOKUP($E63,'Løp 13'!$E$10:$E$91,'Løp 13'!$M$10:$M$91,0)</f>
        <v>0</v>
      </c>
      <c r="BD63" s="629">
        <f>_xlfn.XLOOKUP($E63,'Løp 13'!$E$10:$E$91,'Løp 13'!$O$10:$O$91,0)</f>
        <v>0</v>
      </c>
      <c r="BE63" s="629">
        <f>_xlfn.XLOOKUP($E63,'Løp 13'!$E$10:$E$91,'Løp 13'!$L$10:$L$91,0)</f>
        <v>0</v>
      </c>
      <c r="BF63" s="628">
        <f>_xlfn.XLOOKUP($E63,'Løp 14'!$E$10:$E$91,'Løp 14'!$M$10:$M$91,0)</f>
        <v>0</v>
      </c>
      <c r="BG63" s="629">
        <f>_xlfn.XLOOKUP($E63,'Løp 14'!$E$10:$E$91,'Løp 14'!$O$10:$O$91,0)</f>
        <v>0</v>
      </c>
      <c r="BH63" s="629">
        <f>_xlfn.XLOOKUP($E63,'Løp 14'!$E$10:$E$91,'Løp 14'!$L$10:$L$91,0)</f>
        <v>0</v>
      </c>
      <c r="BI63" s="628">
        <f>_xlfn.XLOOKUP($E63,'Løp 15'!$E$10:$E$91,'Løp 15'!$M$10:$M$91,0)</f>
        <v>52</v>
      </c>
      <c r="BJ63" s="629">
        <f>_xlfn.XLOOKUP($E63,'Løp 15'!$E$10:$E$91,'Løp 15'!$O$10:$O$91,0)</f>
        <v>51</v>
      </c>
      <c r="BK63" s="629">
        <f>_xlfn.XLOOKUP($E63,'Løp 15'!$E$10:$E$91,'Løp 15'!$L$10:$L$91,0)</f>
        <v>1.6468253968253969E-2</v>
      </c>
      <c r="BL63" s="628">
        <f>_xlfn.XLOOKUP($E63,'Løp 16'!$E$10:$E$91,'Løp 16'!$M$10:$M$91,0)</f>
        <v>50</v>
      </c>
      <c r="BM63" s="629">
        <f>_xlfn.XLOOKUP($E63,'Løp 16'!$E$10:$E$91,'Løp 16'!$O$10:$O$91,0)</f>
        <v>50</v>
      </c>
      <c r="BN63" s="629" t="str">
        <f>_xlfn.XLOOKUP($E63,'Løp 16'!$E$10:$E$91,'Løp 16'!$L$10:$L$91,0)</f>
        <v>Disk</v>
      </c>
      <c r="BO63" s="628">
        <f>_xlfn.XLOOKUP($E63,'Løp 17'!$E$10:$E$91,'Løp 17'!$M$10:$M$91,0)</f>
        <v>0</v>
      </c>
      <c r="BP63" s="629">
        <f>_xlfn.XLOOKUP($E63,'Løp 17'!$E$10:$E$91,'Løp 17'!$O$10:$O$91,0)</f>
        <v>0</v>
      </c>
      <c r="BQ63" s="629">
        <f>_xlfn.XLOOKUP($E63,'Løp 17'!$E$10:$E$91,'Løp 17'!$L$10:$L$91,0)</f>
        <v>0</v>
      </c>
      <c r="BR63" s="628">
        <f>_xlfn.XLOOKUP($E63,'Løp 18'!$E$10:$E$91,'Løp 18'!$M$10:$M$91,0)</f>
        <v>0</v>
      </c>
      <c r="BS63" s="629">
        <f>_xlfn.XLOOKUP($E63,'Løp 18'!$E$10:$E$91,'Løp 18'!$O$10:$O$91,0)</f>
        <v>0</v>
      </c>
      <c r="BT63" s="629">
        <f>_xlfn.XLOOKUP($E63,'Løp 18'!$E$10:$E$91,'Løp 18'!$L$10:$L$91,0)</f>
        <v>0</v>
      </c>
      <c r="BU63" s="628">
        <f>_xlfn.XLOOKUP($E63,'Løp 19'!$E$10:$E$91,'Løp 19'!$M$10:$M$91,0)</f>
        <v>0</v>
      </c>
      <c r="BV63" s="629">
        <f>_xlfn.XLOOKUP($E63,'Løp 19'!$E$10:$E$91,'Løp 19'!$O$10:$O$91,0)</f>
        <v>0</v>
      </c>
      <c r="BW63" s="629">
        <f>_xlfn.XLOOKUP($E63,'Løp 19'!$E$10:$E$91,'Løp 19'!$L$10:$L$91,0)</f>
        <v>0</v>
      </c>
      <c r="BX63" s="628">
        <f>_xlfn.XLOOKUP($E63,'Løp 20'!$E$10:$E$92,'Løp 20'!$M$10:$M$92,0)</f>
        <v>50</v>
      </c>
      <c r="BY63" s="629">
        <f>_xlfn.XLOOKUP($E63,'Løp 20'!$E$10:$E$92,'Løp 20'!$O$10:$O$92,0)</f>
        <v>50</v>
      </c>
      <c r="BZ63" s="629">
        <f>_xlfn.XLOOKUP($E63,'Løp 20'!$E$10:$E$92,'Løp 20'!$L$10:$L$92,0)</f>
        <v>1.6517857142857143E-2</v>
      </c>
      <c r="CA63" s="628">
        <f>_xlfn.XLOOKUP($E63,'Løp 21'!$E$10:$E$93,'Løp 21'!$M$10:$M$93,0)</f>
        <v>0</v>
      </c>
      <c r="CB63" s="629">
        <f>_xlfn.XLOOKUP($E63,'Løp 21'!$E$10:$E$93,'Løp 21'!$O$10:$O$93,0)</f>
        <v>0</v>
      </c>
      <c r="CC63" s="629">
        <f>_xlfn.XLOOKUP($E63,'Løp 21'!$E$10:$E$93,'Løp 21'!$L$10:$L$93,0)</f>
        <v>0</v>
      </c>
      <c r="CD63" s="628">
        <f>_xlfn.XLOOKUP($E63,'Løp 22'!$E$10:$E$93,'Løp 22'!$M$10:$M$93,0)</f>
        <v>0</v>
      </c>
      <c r="CE63" s="629">
        <f>_xlfn.XLOOKUP($E63,'Løp 22'!$E$10:$E$93,'Løp 22'!$O$10:$O$93,0)</f>
        <v>0</v>
      </c>
      <c r="CF63" s="629">
        <f>_xlfn.XLOOKUP($E63,'Løp 22'!$E$10:$E$93,'Løp 22'!$L$10:$L$93,0)</f>
        <v>0</v>
      </c>
      <c r="CG63" s="628">
        <f>_xlfn.XLOOKUP($E63,'Løp 23'!$E$10:$E$93,'Løp 23'!$M$10:$M$93,0)</f>
        <v>0</v>
      </c>
      <c r="CH63" s="629">
        <f>_xlfn.XLOOKUP($E63,'Løp 23'!$E$10:$E$93,'Løp 23'!$O$10:$O$93,0)</f>
        <v>0</v>
      </c>
      <c r="CI63" s="629">
        <f>_xlfn.XLOOKUP($E63,'Løp 23'!$E$10:$E$93,'Løp 23'!$L$10:$L$93,0)</f>
        <v>0</v>
      </c>
      <c r="CJ63" s="628">
        <f>_xlfn.XLOOKUP($E63,'Løp 24'!$E$10:$E$93,'Løp 24'!$M$10:$M$93,0)</f>
        <v>0</v>
      </c>
      <c r="CK63" s="629">
        <f>_xlfn.XLOOKUP($E63,'Løp 24'!$E$10:$E$93,'Løp 24'!$O$10:$O$93,0)</f>
        <v>0</v>
      </c>
      <c r="CL63" s="629">
        <f>_xlfn.XLOOKUP($E63,'Løp 24'!$E$10:$E$93,'Løp 24'!$L$10:$L$93,0)</f>
        <v>0</v>
      </c>
      <c r="CM63" s="628">
        <f>_xlfn.XLOOKUP($E63,'Løp 25'!$E$10:$E$94,'Løp 25'!$M$10:$M$94,0)</f>
        <v>0</v>
      </c>
      <c r="CN63" s="629">
        <f>_xlfn.XLOOKUP($E63,'Løp 25'!$E$10:$E$94,'Løp 25'!$O$10:$O$94,0)</f>
        <v>0</v>
      </c>
      <c r="CO63" s="629">
        <f>_xlfn.XLOOKUP($E63,'Løp 25'!$E$10:$E$94,'Løp 25'!$L$10:$L$94,0)</f>
        <v>0</v>
      </c>
      <c r="CP63" s="628">
        <f>_xlfn.XLOOKUP($E63,'Løp 26'!$E$10:$E$94,'Løp 26'!$M$10:$M$94,0)</f>
        <v>0</v>
      </c>
      <c r="CQ63" s="629">
        <f>_xlfn.XLOOKUP($E63,'Løp 26'!$E$10:$E$94,'Løp 26'!$O$10:$O$94,0)</f>
        <v>0</v>
      </c>
      <c r="CR63" s="629">
        <f>_xlfn.XLOOKUP($E63,'Løp 26'!$E$10:$E$94,'Løp 26'!$L$10:$L$94,0)</f>
        <v>0</v>
      </c>
      <c r="CS63" s="628">
        <f>_xlfn.XLOOKUP($E63,'Løp 27'!$E$10:$E$94,'Løp 27'!$M$10:$M$94,0)</f>
        <v>0</v>
      </c>
      <c r="CT63" s="629">
        <f>_xlfn.XLOOKUP($E63,'Løp 27'!$E$10:$E$94,'Løp 27'!$O$10:$O$94,0)</f>
        <v>0</v>
      </c>
      <c r="CU63" s="629">
        <f>_xlfn.XLOOKUP($E63,'Løp 27'!$E$10:$E$94,'Løp 27'!$L$10:$L$94,0)</f>
        <v>0</v>
      </c>
      <c r="CV63" s="628">
        <f>_xlfn.XLOOKUP($E63,'Løp 28'!$E$10:$E$95,'Løp 28'!$M$10:$M$95,0)</f>
        <v>0</v>
      </c>
      <c r="CW63" s="629">
        <f>_xlfn.XLOOKUP($E63,'Løp 28'!$E$10:$E$95,'Løp 28'!$O$10:$O$95,0)</f>
        <v>0</v>
      </c>
      <c r="CX63" s="629">
        <f>_xlfn.XLOOKUP($E63,'Løp 28'!$E$10:$E$95,'Løp 28'!$L$10:$L$95,0)</f>
        <v>0</v>
      </c>
      <c r="CY63" s="628">
        <f>_xlfn.XLOOKUP($E63,'Løp 29'!$E$10:$E$95,'Løp 29'!$M$10:$M$95,0)</f>
        <v>0</v>
      </c>
      <c r="CZ63" s="629">
        <f>_xlfn.XLOOKUP($E63,'Løp 29'!$E$10:$E$95,'Løp 29'!$O$10:$O$95,0)</f>
        <v>0</v>
      </c>
      <c r="DA63" s="629">
        <f>_xlfn.XLOOKUP($E63,'Løp 29'!$E$10:$E$95,'Løp 29'!$L$10:$L$95,0)</f>
        <v>0</v>
      </c>
    </row>
    <row r="64" spans="2:105" ht="26" thickBot="1" x14ac:dyDescent="0.3">
      <c r="B64" s="627">
        <f t="shared" si="0"/>
        <v>55</v>
      </c>
      <c r="C64" s="119" t="s">
        <v>66</v>
      </c>
      <c r="D64" s="620" t="s">
        <v>67</v>
      </c>
      <c r="E64" s="617" t="str">
        <f>_xlfn.CONCAT(C64:D64)</f>
        <v>FrankBjarkø</v>
      </c>
      <c r="F64" s="610"/>
      <c r="G64" s="653">
        <f>COUNTIF(S64:DA64,"&gt;2")/2</f>
        <v>4</v>
      </c>
      <c r="H64" s="852">
        <f>COUNTIF(S64:DA64,"=Løype")+COUNTIF(S64:DA64,"Arr")</f>
        <v>0</v>
      </c>
      <c r="I64" s="610"/>
      <c r="J64" s="632">
        <f>S64+V64+Y64+AB64+AE64+AH64+AK64+AN64+AQ64+AT64+AW64+AZ64+BC64+BF64+BI64+BL64+BO64+BR64+BU64+BX64+CA64+CD64+CG64+CJ64+CM64+CP64+CS64+CV64+CY64</f>
        <v>237</v>
      </c>
      <c r="K64" s="633">
        <f>T64+W64+Z64+AC64+AF64+AI64+AL64+AO64+AR64+AU64+AX64+BA64+BD64+BG64+BJ64+BM64+BP64+BS64+BV64+BY64+CB64+CE64+CH64+CK64+CN64+CQ64+CT64+CW64+CZ64</f>
        <v>225</v>
      </c>
      <c r="L64" s="613"/>
      <c r="M64" s="658">
        <f>IF($G64&gt;0,J64/G64,0)</f>
        <v>59.25</v>
      </c>
      <c r="N64" s="659">
        <f>IF($G64&gt;0,K64/$G64,0)</f>
        <v>56.25</v>
      </c>
      <c r="O64" s="862"/>
      <c r="P64" s="874">
        <f>IF(AND($G64&gt;$Q$3-1,$G64-$H64&gt;0),M64,0)</f>
        <v>59.25</v>
      </c>
      <c r="Q64" s="875">
        <f>IF(AND($G64&gt;$Q$3-1,$G64-$H64&gt;0),N64,0)</f>
        <v>56.25</v>
      </c>
      <c r="R64" s="613"/>
      <c r="S64" s="628">
        <f>_xlfn.XLOOKUP($E64,'Løp 1'!$E$10:$E$90,'Løp 1'!$M$10:$M$90,0)</f>
        <v>0</v>
      </c>
      <c r="T64" s="629">
        <f>_xlfn.XLOOKUP($E64,'Løp 1'!$E$10:$E$90,'Løp 1'!$O$10:$O$90,0)</f>
        <v>0</v>
      </c>
      <c r="U64" s="629">
        <f>_xlfn.XLOOKUP($E64,'Løp 1'!$E$10:$E$90,'Løp 1'!$L$10:$L$90,0)</f>
        <v>0</v>
      </c>
      <c r="V64" s="628">
        <f>_xlfn.XLOOKUP($E64,'Løp 2'!$E$10:$E$90,'Løp 2'!$M$10:$M$90,0)</f>
        <v>73</v>
      </c>
      <c r="W64" s="629">
        <f>_xlfn.XLOOKUP($E64,'Løp 2'!$E$10:$E$90,'Løp 2'!$O$10:$O$90,0)</f>
        <v>60</v>
      </c>
      <c r="X64" s="629">
        <f>_xlfn.XLOOKUP($E64,'Løp 2'!$E$10:$E$90,'Løp 2'!$L$10:$L$90,0)</f>
        <v>1.226438492063492E-2</v>
      </c>
      <c r="Y64" s="628">
        <f>_xlfn.XLOOKUP($E64,'Løp 3'!$E$10:$E$90,'Løp 3'!$M$10:$M$90,0)</f>
        <v>0</v>
      </c>
      <c r="Z64" s="629">
        <f>_xlfn.XLOOKUP($E64,'Løp 3'!$E$10:$E$90,'Løp 3'!$O$10:$O$90,0)</f>
        <v>0</v>
      </c>
      <c r="AA64" s="629">
        <f>_xlfn.XLOOKUP($E64,'Løp 3'!$E$10:$E$90,'Løp 3'!$L$10:$L$90,0)</f>
        <v>0</v>
      </c>
      <c r="AB64" s="628">
        <f>_xlfn.XLOOKUP($E64,'Løp 4'!$E$10:$E$90,'Løp 4'!$M$10:$M$90,0)</f>
        <v>0</v>
      </c>
      <c r="AC64" s="629">
        <f>_xlfn.XLOOKUP($E64,'Løp 4'!$E$10:$E$90,'Løp 4'!$O$10:$O$90,0)</f>
        <v>0</v>
      </c>
      <c r="AD64" s="629">
        <f>_xlfn.XLOOKUP($E64,'Løp 4'!$E$10:$E$90,'Løp 4'!$L$10:$L$90,0)</f>
        <v>0</v>
      </c>
      <c r="AE64" s="628">
        <f>_xlfn.XLOOKUP($E64,'Løp 5'!$E$10:$E$90,'Løp 5'!$M$10:$M$90,0)</f>
        <v>0</v>
      </c>
      <c r="AF64" s="629">
        <f>_xlfn.XLOOKUP($E64,'Løp 5'!$E$10:$E$90,'Løp 5'!$O$10:$O$90,0)</f>
        <v>0</v>
      </c>
      <c r="AG64" s="629">
        <f>_xlfn.XLOOKUP($E64,'Løp 5'!$E$10:$E$90,'Løp 5'!$L$10:$L$90,0)</f>
        <v>0</v>
      </c>
      <c r="AH64" s="628">
        <f>_xlfn.XLOOKUP($E64,'Løp 6'!$E$10:$E$90,'Løp 6'!$M$10:$M$90,0)</f>
        <v>0</v>
      </c>
      <c r="AI64" s="629">
        <f>_xlfn.XLOOKUP($E64,'Løp 6'!$E$10:$E$90,'Løp 6'!$O$10:$O$90,0)</f>
        <v>0</v>
      </c>
      <c r="AJ64" s="629">
        <f>_xlfn.XLOOKUP($E64,'Løp 6'!$E$10:$E$90,'Løp 6'!$L$10:$L$90,0)</f>
        <v>0</v>
      </c>
      <c r="AK64" s="628">
        <f>_xlfn.XLOOKUP($E64,'Løp 7'!$E$10:$E$90,'Løp 7'!$M$10:$M$90,0)</f>
        <v>0</v>
      </c>
      <c r="AL64" s="629">
        <f>_xlfn.XLOOKUP($E64,'Løp 7'!$E$10:$E$90,'Løp 7'!$O$10:$O$90,0)</f>
        <v>0</v>
      </c>
      <c r="AM64" s="629">
        <f>_xlfn.XLOOKUP($E64,'Løp 7'!$E$10:$E$90,'Løp 7'!$L$10:$L$90,0)</f>
        <v>0</v>
      </c>
      <c r="AN64" s="628">
        <f>_xlfn.XLOOKUP($E64,'Løp 8'!$E$10:$E$91,'Løp 8'!$M$10:$M$91,0)</f>
        <v>0</v>
      </c>
      <c r="AO64" s="629">
        <f>_xlfn.XLOOKUP($E64,'Løp 8'!$E$10:$E$91,'Løp 8'!$O$10:$O$91,0)</f>
        <v>0</v>
      </c>
      <c r="AP64" s="629">
        <f>_xlfn.XLOOKUP($E64,'Løp 8'!$E$10:$E$91,'Løp 8'!$L$10:$L$91,0)</f>
        <v>0</v>
      </c>
      <c r="AQ64" s="628">
        <f>_xlfn.XLOOKUP($E64,'Løp 9'!$E$10:$E$91,'Løp 9'!$M$10:$M$91,0)</f>
        <v>0</v>
      </c>
      <c r="AR64" s="629">
        <f>_xlfn.XLOOKUP($E64,'Løp 9'!$E$10:$E$91,'Løp 9'!$O$10:$O$91,0)</f>
        <v>0</v>
      </c>
      <c r="AS64" s="629">
        <f>_xlfn.XLOOKUP($E64,'Løp 9'!$E$10:$E$91,'Løp 9'!$L$10:$L$91,0)</f>
        <v>0</v>
      </c>
      <c r="AT64" s="628">
        <f>_xlfn.XLOOKUP($E64,'Løp 10'!$E$10:$E$91,'Løp 10'!$M$10:$M$91,0)</f>
        <v>0</v>
      </c>
      <c r="AU64" s="629">
        <f>_xlfn.XLOOKUP($E64,'Løp 10'!$E$10:$E$91,'Løp 10'!$O$10:$O$91,0)</f>
        <v>0</v>
      </c>
      <c r="AV64" s="629">
        <f>_xlfn.XLOOKUP($E64,'Løp 10'!$E$10:$E$91,'Løp 10'!$L$10:$L$91,0)</f>
        <v>0</v>
      </c>
      <c r="AW64" s="628">
        <f>_xlfn.XLOOKUP($E64,'Løp 11'!$E$10:$E$91,'Løp 11'!$M$10:$M$91,0)</f>
        <v>0</v>
      </c>
      <c r="AX64" s="629">
        <f>_xlfn.XLOOKUP($E64,'Løp 11'!$E$10:$E$91,'Løp 11'!$O$10:$O$91,0)</f>
        <v>0</v>
      </c>
      <c r="AY64" s="629">
        <f>_xlfn.XLOOKUP($E64,'Løp 11'!$E$10:$E$91,'Løp 11'!$L$10:$L$91,0)</f>
        <v>0</v>
      </c>
      <c r="AZ64" s="628">
        <f>_xlfn.XLOOKUP($E64,'Løp 12'!$E$10:$E$91,'Løp 12'!$M$10:$M$91,0)</f>
        <v>60</v>
      </c>
      <c r="BA64" s="629">
        <f>_xlfn.XLOOKUP($E64,'Løp 12'!$E$10:$E$91,'Løp 12'!$O$10:$O$91,0)</f>
        <v>62</v>
      </c>
      <c r="BB64" s="629">
        <f>_xlfn.XLOOKUP($E64,'Løp 12'!$E$10:$E$91,'Løp 12'!$L$10:$L$91,0)</f>
        <v>9.2675264550264556E-3</v>
      </c>
      <c r="BC64" s="628">
        <f>_xlfn.XLOOKUP($E64,'Løp 13'!$E$10:$E$91,'Løp 13'!$M$10:$M$91,0)</f>
        <v>0</v>
      </c>
      <c r="BD64" s="629">
        <f>_xlfn.XLOOKUP($E64,'Løp 13'!$E$10:$E$91,'Løp 13'!$O$10:$O$91,0)</f>
        <v>0</v>
      </c>
      <c r="BE64" s="629">
        <f>_xlfn.XLOOKUP($E64,'Løp 13'!$E$10:$E$91,'Løp 13'!$L$10:$L$91,0)</f>
        <v>0</v>
      </c>
      <c r="BF64" s="628">
        <f>_xlfn.XLOOKUP($E64,'Løp 14'!$E$10:$E$91,'Løp 14'!$M$10:$M$91,0)</f>
        <v>0</v>
      </c>
      <c r="BG64" s="629">
        <f>_xlfn.XLOOKUP($E64,'Løp 14'!$E$10:$E$91,'Løp 14'!$O$10:$O$91,0)</f>
        <v>0</v>
      </c>
      <c r="BH64" s="629">
        <f>_xlfn.XLOOKUP($E64,'Løp 14'!$E$10:$E$91,'Løp 14'!$L$10:$L$91,0)</f>
        <v>0</v>
      </c>
      <c r="BI64" s="628">
        <f>_xlfn.XLOOKUP($E64,'Løp 15'!$E$10:$E$91,'Løp 15'!$M$10:$M$91,0)</f>
        <v>0</v>
      </c>
      <c r="BJ64" s="629">
        <f>_xlfn.XLOOKUP($E64,'Løp 15'!$E$10:$E$91,'Løp 15'!$O$10:$O$91,0)</f>
        <v>0</v>
      </c>
      <c r="BK64" s="629">
        <f>_xlfn.XLOOKUP($E64,'Løp 15'!$E$10:$E$91,'Løp 15'!$L$10:$L$91,0)</f>
        <v>0</v>
      </c>
      <c r="BL64" s="628">
        <f>_xlfn.XLOOKUP($E64,'Løp 16'!$E$10:$E$91,'Løp 16'!$M$10:$M$91,0)</f>
        <v>0</v>
      </c>
      <c r="BM64" s="629">
        <f>_xlfn.XLOOKUP($E64,'Løp 16'!$E$10:$E$91,'Løp 16'!$O$10:$O$91,0)</f>
        <v>0</v>
      </c>
      <c r="BN64" s="629">
        <f>_xlfn.XLOOKUP($E64,'Løp 16'!$E$10:$E$91,'Løp 16'!$L$10:$L$91,0)</f>
        <v>0</v>
      </c>
      <c r="BO64" s="628">
        <f>_xlfn.XLOOKUP($E64,'Løp 17'!$E$10:$E$91,'Løp 17'!$M$10:$M$91,0)</f>
        <v>0</v>
      </c>
      <c r="BP64" s="629">
        <f>_xlfn.XLOOKUP($E64,'Løp 17'!$E$10:$E$91,'Løp 17'!$O$10:$O$91,0)</f>
        <v>0</v>
      </c>
      <c r="BQ64" s="629">
        <f>_xlfn.XLOOKUP($E64,'Løp 17'!$E$10:$E$91,'Løp 17'!$L$10:$L$91,0)</f>
        <v>0</v>
      </c>
      <c r="BR64" s="628">
        <f>_xlfn.XLOOKUP($E64,'Løp 18'!$E$10:$E$91,'Løp 18'!$M$10:$M$91,0)</f>
        <v>0</v>
      </c>
      <c r="BS64" s="629">
        <f>_xlfn.XLOOKUP($E64,'Løp 18'!$E$10:$E$91,'Løp 18'!$O$10:$O$91,0)</f>
        <v>0</v>
      </c>
      <c r="BT64" s="629">
        <f>_xlfn.XLOOKUP($E64,'Løp 18'!$E$10:$E$91,'Løp 18'!$L$10:$L$91,0)</f>
        <v>0</v>
      </c>
      <c r="BU64" s="628">
        <f>_xlfn.XLOOKUP($E64,'Løp 19'!$E$10:$E$91,'Løp 19'!$M$10:$M$91,0)</f>
        <v>0</v>
      </c>
      <c r="BV64" s="629">
        <f>_xlfn.XLOOKUP($E64,'Løp 19'!$E$10:$E$91,'Løp 19'!$O$10:$O$91,0)</f>
        <v>0</v>
      </c>
      <c r="BW64" s="629">
        <f>_xlfn.XLOOKUP($E64,'Løp 19'!$E$10:$E$91,'Løp 19'!$L$10:$L$91,0)</f>
        <v>0</v>
      </c>
      <c r="BX64" s="628">
        <f>_xlfn.XLOOKUP($E64,'Løp 20'!$E$10:$E$92,'Løp 20'!$M$10:$M$92,0)</f>
        <v>0</v>
      </c>
      <c r="BY64" s="629">
        <f>_xlfn.XLOOKUP($E64,'Løp 20'!$E$10:$E$92,'Løp 20'!$O$10:$O$92,0)</f>
        <v>0</v>
      </c>
      <c r="BZ64" s="629">
        <f>_xlfn.XLOOKUP($E64,'Løp 20'!$E$10:$E$92,'Løp 20'!$L$10:$L$92,0)</f>
        <v>0</v>
      </c>
      <c r="CA64" s="628">
        <f>_xlfn.XLOOKUP($E64,'Løp 21'!$E$10:$E$93,'Løp 21'!$M$10:$M$93,0)</f>
        <v>0</v>
      </c>
      <c r="CB64" s="629">
        <f>_xlfn.XLOOKUP($E64,'Løp 21'!$E$10:$E$93,'Løp 21'!$O$10:$O$93,0)</f>
        <v>0</v>
      </c>
      <c r="CC64" s="629">
        <f>_xlfn.XLOOKUP($E64,'Løp 21'!$E$10:$E$93,'Løp 21'!$L$10:$L$93,0)</f>
        <v>0</v>
      </c>
      <c r="CD64" s="628">
        <f>_xlfn.XLOOKUP($E64,'Løp 22'!$E$10:$E$93,'Løp 22'!$M$10:$M$93,0)</f>
        <v>0</v>
      </c>
      <c r="CE64" s="629">
        <f>_xlfn.XLOOKUP($E64,'Løp 22'!$E$10:$E$93,'Løp 22'!$O$10:$O$93,0)</f>
        <v>0</v>
      </c>
      <c r="CF64" s="629">
        <f>_xlfn.XLOOKUP($E64,'Løp 22'!$E$10:$E$93,'Løp 22'!$L$10:$L$93,0)</f>
        <v>0</v>
      </c>
      <c r="CG64" s="628">
        <f>_xlfn.XLOOKUP($E64,'Løp 23'!$E$10:$E$93,'Løp 23'!$M$10:$M$93,0)</f>
        <v>0</v>
      </c>
      <c r="CH64" s="629">
        <f>_xlfn.XLOOKUP($E64,'Løp 23'!$E$10:$E$93,'Løp 23'!$O$10:$O$93,0)</f>
        <v>0</v>
      </c>
      <c r="CI64" s="629">
        <f>_xlfn.XLOOKUP($E64,'Løp 23'!$E$10:$E$93,'Løp 23'!$L$10:$L$93,0)</f>
        <v>0</v>
      </c>
      <c r="CJ64" s="628">
        <f>_xlfn.XLOOKUP($E64,'Løp 24'!$E$10:$E$93,'Løp 24'!$M$10:$M$93,0)</f>
        <v>0</v>
      </c>
      <c r="CK64" s="629">
        <f>_xlfn.XLOOKUP($E64,'Løp 24'!$E$10:$E$93,'Løp 24'!$O$10:$O$93,0)</f>
        <v>0</v>
      </c>
      <c r="CL64" s="629">
        <f>_xlfn.XLOOKUP($E64,'Løp 24'!$E$10:$E$93,'Løp 24'!$L$10:$L$93,0)</f>
        <v>0</v>
      </c>
      <c r="CM64" s="628">
        <f>_xlfn.XLOOKUP($E64,'Løp 25'!$E$10:$E$94,'Løp 25'!$M$10:$M$94,0)</f>
        <v>0</v>
      </c>
      <c r="CN64" s="629">
        <f>_xlfn.XLOOKUP($E64,'Løp 25'!$E$10:$E$94,'Løp 25'!$O$10:$O$94,0)</f>
        <v>0</v>
      </c>
      <c r="CO64" s="629">
        <f>_xlfn.XLOOKUP($E64,'Løp 25'!$E$10:$E$94,'Løp 25'!$L$10:$L$94,0)</f>
        <v>0</v>
      </c>
      <c r="CP64" s="628">
        <f>_xlfn.XLOOKUP($E64,'Løp 26'!$E$10:$E$94,'Løp 26'!$M$10:$M$94,0)</f>
        <v>0</v>
      </c>
      <c r="CQ64" s="629">
        <f>_xlfn.XLOOKUP($E64,'Løp 26'!$E$10:$E$94,'Løp 26'!$O$10:$O$94,0)</f>
        <v>0</v>
      </c>
      <c r="CR64" s="629">
        <f>_xlfn.XLOOKUP($E64,'Løp 26'!$E$10:$E$94,'Løp 26'!$L$10:$L$94,0)</f>
        <v>0</v>
      </c>
      <c r="CS64" s="628">
        <f>_xlfn.XLOOKUP($E64,'Løp 27'!$E$10:$E$94,'Løp 27'!$M$10:$M$94,0)</f>
        <v>0</v>
      </c>
      <c r="CT64" s="629">
        <f>_xlfn.XLOOKUP($E64,'Løp 27'!$E$10:$E$94,'Løp 27'!$O$10:$O$94,0)</f>
        <v>0</v>
      </c>
      <c r="CU64" s="629">
        <f>_xlfn.XLOOKUP($E64,'Løp 27'!$E$10:$E$94,'Løp 27'!$L$10:$L$94,0)</f>
        <v>0</v>
      </c>
      <c r="CV64" s="628">
        <f>_xlfn.XLOOKUP($E64,'Løp 28'!$E$10:$E$95,'Løp 28'!$M$10:$M$95,0)</f>
        <v>50</v>
      </c>
      <c r="CW64" s="629">
        <f>_xlfn.XLOOKUP($E64,'Løp 28'!$E$10:$E$95,'Løp 28'!$O$10:$O$95,0)</f>
        <v>50</v>
      </c>
      <c r="CX64" s="629">
        <f>_xlfn.XLOOKUP($E64,'Løp 28'!$E$10:$E$95,'Løp 28'!$L$10:$L$95,0)</f>
        <v>1.434681964573269E-2</v>
      </c>
      <c r="CY64" s="628">
        <f>_xlfn.XLOOKUP($E64,'Løp 29'!$E$10:$E$95,'Løp 29'!$M$10:$M$95,0)</f>
        <v>54</v>
      </c>
      <c r="CZ64" s="629">
        <f>_xlfn.XLOOKUP($E64,'Løp 29'!$E$10:$E$95,'Løp 29'!$O$10:$O$95,0)</f>
        <v>53</v>
      </c>
      <c r="DA64" s="629">
        <f>_xlfn.XLOOKUP($E64,'Løp 29'!$E$10:$E$95,'Løp 29'!$L$10:$L$95,0)</f>
        <v>1.3372189153439155E-2</v>
      </c>
    </row>
    <row r="65" spans="2:105" ht="26" customHeight="1" thickBot="1" x14ac:dyDescent="0.3">
      <c r="B65" s="627">
        <f t="shared" si="0"/>
        <v>56</v>
      </c>
      <c r="C65" s="119" t="s">
        <v>263</v>
      </c>
      <c r="D65" s="620" t="s">
        <v>264</v>
      </c>
      <c r="E65" s="616" t="str">
        <f>_xlfn.CONCAT(C65:D65)</f>
        <v>RuneHolt</v>
      </c>
      <c r="F65" s="610"/>
      <c r="G65" s="653">
        <f>COUNTIF(S65:DA65,"&gt;2")/2</f>
        <v>25</v>
      </c>
      <c r="H65" s="852">
        <f>COUNTIF(S65:DA65,"=Løype")+COUNTIF(S65:DA65,"Arr")</f>
        <v>1</v>
      </c>
      <c r="I65" s="610"/>
      <c r="J65" s="632">
        <f>S65+V65+Y65+AB65+AE65+AH65+AK65+AN65+AQ65+AT65+AW65+AZ65+BC65+BF65+BI65+BL65+BO65+BR65+BU65+BX65+CA65+CD65+CG65+CJ65+CM65+CP65+CS65+CV65+CY65</f>
        <v>1457</v>
      </c>
      <c r="K65" s="633">
        <f>T65+W65+Z65+AC65+AF65+AI65+AL65+AO65+AR65+AU65+AX65+BA65+BD65+BG65+BJ65+BM65+BP65+BS65+BV65+BY65+CB65+CE65+CH65+CK65+CN65+CQ65+CT65+CW65+CZ65</f>
        <v>1397</v>
      </c>
      <c r="L65" s="613"/>
      <c r="M65" s="658">
        <f>IF($G65&gt;0,J65/G65,0)</f>
        <v>58.28</v>
      </c>
      <c r="N65" s="659">
        <f>IF($G65&gt;0,K65/$G65,0)</f>
        <v>55.88</v>
      </c>
      <c r="O65" s="862"/>
      <c r="P65" s="874">
        <f>IF(AND($G65&gt;$Q$3-1,$G65-$H65&gt;0),M65,0)</f>
        <v>58.28</v>
      </c>
      <c r="Q65" s="875">
        <f>IF(AND($G65&gt;$Q$3-1,$G65-$H65&gt;0),N65,0)</f>
        <v>55.88</v>
      </c>
      <c r="R65" s="613"/>
      <c r="S65" s="628">
        <f>_xlfn.XLOOKUP($E65,'Løp 1'!$E$10:$E$90,'Løp 1'!$M$10:$M$90,0)</f>
        <v>0</v>
      </c>
      <c r="T65" s="629">
        <f>_xlfn.XLOOKUP($E65,'Løp 1'!$E$10:$E$90,'Løp 1'!$O$10:$O$90,0)</f>
        <v>0</v>
      </c>
      <c r="U65" s="629">
        <f>_xlfn.XLOOKUP($E65,'Løp 1'!$E$10:$E$90,'Løp 1'!$L$10:$L$90,0)</f>
        <v>0</v>
      </c>
      <c r="V65" s="628">
        <f>_xlfn.XLOOKUP($E65,'Løp 2'!$E$10:$E$90,'Løp 2'!$M$10:$M$90,0)</f>
        <v>53</v>
      </c>
      <c r="W65" s="629">
        <f>_xlfn.XLOOKUP($E65,'Løp 2'!$E$10:$E$90,'Løp 2'!$O$10:$O$90,0)</f>
        <v>50</v>
      </c>
      <c r="X65" s="629">
        <f>_xlfn.XLOOKUP($E65,'Løp 2'!$E$10:$E$90,'Løp 2'!$L$10:$L$90,0)</f>
        <v>1.699074074074074E-2</v>
      </c>
      <c r="Y65" s="628">
        <f>_xlfn.XLOOKUP($E65,'Løp 3'!$E$10:$E$90,'Løp 3'!$M$10:$M$90,0)</f>
        <v>50</v>
      </c>
      <c r="Z65" s="629">
        <f>_xlfn.XLOOKUP($E65,'Løp 3'!$E$10:$E$90,'Løp 3'!$O$10:$O$90,0)</f>
        <v>50</v>
      </c>
      <c r="AA65" s="629">
        <f>_xlfn.XLOOKUP($E65,'Løp 3'!$E$10:$E$90,'Løp 3'!$L$10:$L$90,0)</f>
        <v>2.251984126984127E-2</v>
      </c>
      <c r="AB65" s="628">
        <f>_xlfn.XLOOKUP($E65,'Løp 4'!$E$10:$E$90,'Løp 4'!$M$10:$M$90,0)</f>
        <v>51</v>
      </c>
      <c r="AC65" s="629">
        <f>_xlfn.XLOOKUP($E65,'Løp 4'!$E$10:$E$90,'Løp 4'!$O$10:$O$90,0)</f>
        <v>51</v>
      </c>
      <c r="AD65" s="629">
        <f>_xlfn.XLOOKUP($E65,'Løp 4'!$E$10:$E$90,'Løp 4'!$L$10:$L$90,0)</f>
        <v>1.3742954911433172E-2</v>
      </c>
      <c r="AE65" s="628">
        <f>_xlfn.XLOOKUP($E65,'Løp 5'!$E$10:$E$90,'Løp 5'!$M$10:$M$90,0)</f>
        <v>50</v>
      </c>
      <c r="AF65" s="629">
        <f>_xlfn.XLOOKUP($E65,'Løp 5'!$E$10:$E$90,'Løp 5'!$O$10:$O$90,0)</f>
        <v>50</v>
      </c>
      <c r="AG65" s="629" t="str">
        <f>_xlfn.XLOOKUP($E65,'Løp 5'!$E$10:$E$90,'Løp 5'!$L$10:$L$90,0)</f>
        <v>Brutt</v>
      </c>
      <c r="AH65" s="628">
        <f>_xlfn.XLOOKUP($E65,'Løp 6'!$E$10:$E$90,'Løp 6'!$M$10:$M$90,0)</f>
        <v>50</v>
      </c>
      <c r="AI65" s="629">
        <f>_xlfn.XLOOKUP($E65,'Løp 6'!$E$10:$E$90,'Løp 6'!$O$10:$O$90,0)</f>
        <v>50</v>
      </c>
      <c r="AJ65" s="629">
        <f>_xlfn.XLOOKUP($E65,'Løp 6'!$E$10:$E$90,'Løp 6'!$L$10:$L$90,0)</f>
        <v>1.786492374727669E-2</v>
      </c>
      <c r="AK65" s="628">
        <f>_xlfn.XLOOKUP($E65,'Løp 7'!$E$10:$E$90,'Løp 7'!$M$10:$M$90,0)</f>
        <v>0</v>
      </c>
      <c r="AL65" s="629">
        <f>_xlfn.XLOOKUP($E65,'Løp 7'!$E$10:$E$90,'Løp 7'!$O$10:$O$90,0)</f>
        <v>0</v>
      </c>
      <c r="AM65" s="629">
        <f>_xlfn.XLOOKUP($E65,'Løp 7'!$E$10:$E$90,'Løp 7'!$L$10:$L$90,0)</f>
        <v>0</v>
      </c>
      <c r="AN65" s="628">
        <f>_xlfn.XLOOKUP($E65,'Løp 8'!$E$10:$E$91,'Løp 8'!$M$10:$M$91,0)</f>
        <v>62</v>
      </c>
      <c r="AO65" s="629">
        <f>_xlfn.XLOOKUP($E65,'Løp 8'!$E$10:$E$91,'Løp 8'!$O$10:$O$91,0)</f>
        <v>50</v>
      </c>
      <c r="AP65" s="629">
        <f>_xlfn.XLOOKUP($E65,'Løp 8'!$E$10:$E$91,'Løp 8'!$L$10:$L$91,0)</f>
        <v>1.3819444444444445E-2</v>
      </c>
      <c r="AQ65" s="628">
        <f>_xlfn.XLOOKUP($E65,'Løp 9'!$E$10:$E$91,'Løp 9'!$M$10:$M$91,0)</f>
        <v>80</v>
      </c>
      <c r="AR65" s="629">
        <f>_xlfn.XLOOKUP($E65,'Løp 9'!$E$10:$E$91,'Løp 9'!$O$10:$O$91,0)</f>
        <v>67</v>
      </c>
      <c r="AS65" s="629">
        <f>_xlfn.XLOOKUP($E65,'Løp 9'!$E$10:$E$91,'Løp 9'!$L$10:$L$91,0)</f>
        <v>8.5490319865319866E-3</v>
      </c>
      <c r="AT65" s="628">
        <f>_xlfn.XLOOKUP($E65,'Løp 10'!$E$10:$E$91,'Løp 10'!$M$10:$M$91,0)</f>
        <v>63</v>
      </c>
      <c r="AU65" s="629">
        <f>_xlfn.XLOOKUP($E65,'Løp 10'!$E$10:$E$91,'Løp 10'!$O$10:$O$91,0)</f>
        <v>60</v>
      </c>
      <c r="AV65" s="629">
        <f>_xlfn.XLOOKUP($E65,'Løp 10'!$E$10:$E$91,'Løp 10'!$L$10:$L$91,0)</f>
        <v>1.1718749999999998E-2</v>
      </c>
      <c r="AW65" s="628">
        <f>_xlfn.XLOOKUP($E65,'Løp 11'!$E$10:$E$91,'Løp 11'!$M$10:$M$91,0)</f>
        <v>72</v>
      </c>
      <c r="AX65" s="629">
        <f>_xlfn.XLOOKUP($E65,'Løp 11'!$E$10:$E$91,'Løp 11'!$O$10:$O$91,0)</f>
        <v>69</v>
      </c>
      <c r="AY65" s="629">
        <f>_xlfn.XLOOKUP($E65,'Løp 11'!$E$10:$E$91,'Løp 11'!$L$10:$L$91,0)</f>
        <v>1.0132575757575757E-2</v>
      </c>
      <c r="AZ65" s="628">
        <f>_xlfn.XLOOKUP($E65,'Løp 12'!$E$10:$E$91,'Løp 12'!$M$10:$M$91,0)</f>
        <v>58</v>
      </c>
      <c r="BA65" s="629">
        <f>_xlfn.XLOOKUP($E65,'Løp 12'!$E$10:$E$91,'Løp 12'!$O$10:$O$91,0)</f>
        <v>58</v>
      </c>
      <c r="BB65" s="629">
        <f>_xlfn.XLOOKUP($E65,'Løp 12'!$E$10:$E$91,'Løp 12'!$L$10:$L$91,0)</f>
        <v>9.6000514403292176E-3</v>
      </c>
      <c r="BC65" s="628">
        <f>_xlfn.XLOOKUP($E65,'Løp 13'!$E$10:$E$91,'Løp 13'!$M$10:$M$91,0)</f>
        <v>50</v>
      </c>
      <c r="BD65" s="629">
        <f>_xlfn.XLOOKUP($E65,'Løp 13'!$E$10:$E$91,'Løp 13'!$O$10:$O$91,0)</f>
        <v>50</v>
      </c>
      <c r="BE65" s="629">
        <f>_xlfn.XLOOKUP($E65,'Løp 13'!$E$10:$E$91,'Løp 13'!$L$10:$L$91,0)</f>
        <v>1.3454861111111112E-2</v>
      </c>
      <c r="BF65" s="628">
        <f>_xlfn.XLOOKUP($E65,'Løp 14'!$E$10:$E$91,'Løp 14'!$M$10:$M$91,0)</f>
        <v>62</v>
      </c>
      <c r="BG65" s="629">
        <f>_xlfn.XLOOKUP($E65,'Løp 14'!$E$10:$E$91,'Løp 14'!$O$10:$O$91,0)</f>
        <v>59</v>
      </c>
      <c r="BH65" s="629">
        <f>_xlfn.XLOOKUP($E65,'Løp 14'!$E$10:$E$91,'Løp 14'!$L$10:$L$91,0)</f>
        <v>1.0081018518518519E-2</v>
      </c>
      <c r="BI65" s="628">
        <f>_xlfn.XLOOKUP($E65,'Løp 15'!$E$10:$E$91,'Løp 15'!$M$10:$M$91,0)</f>
        <v>50</v>
      </c>
      <c r="BJ65" s="629">
        <f>_xlfn.XLOOKUP($E65,'Løp 15'!$E$10:$E$91,'Løp 15'!$O$10:$O$91,0)</f>
        <v>50</v>
      </c>
      <c r="BK65" s="629">
        <f>_xlfn.XLOOKUP($E65,'Løp 15'!$E$10:$E$91,'Løp 15'!$L$10:$L$91,0)</f>
        <v>1.9582231040564373E-2</v>
      </c>
      <c r="BL65" s="628">
        <f>_xlfn.XLOOKUP($E65,'Løp 16'!$E$10:$E$91,'Løp 16'!$M$10:$M$91,0)</f>
        <v>100</v>
      </c>
      <c r="BM65" s="629">
        <f>_xlfn.XLOOKUP($E65,'Løp 16'!$E$10:$E$91,'Løp 16'!$O$10:$O$91,0)</f>
        <v>100</v>
      </c>
      <c r="BN65" s="629" t="str">
        <f>_xlfn.XLOOKUP($E65,'Løp 16'!$E$10:$E$91,'Løp 16'!$L$10:$L$91,0)</f>
        <v>Løype</v>
      </c>
      <c r="BO65" s="628">
        <f>_xlfn.XLOOKUP($E65,'Løp 17'!$E$10:$E$91,'Løp 17'!$M$10:$M$91,0)</f>
        <v>50</v>
      </c>
      <c r="BP65" s="629">
        <f>_xlfn.XLOOKUP($E65,'Løp 17'!$E$10:$E$91,'Løp 17'!$O$10:$O$91,0)</f>
        <v>50</v>
      </c>
      <c r="BQ65" s="629">
        <f>_xlfn.XLOOKUP($E65,'Løp 17'!$E$10:$E$91,'Løp 17'!$L$10:$L$91,0)</f>
        <v>1.3626949317738793E-2</v>
      </c>
      <c r="BR65" s="628">
        <f>_xlfn.XLOOKUP($E65,'Løp 18'!$E$10:$E$91,'Løp 18'!$M$10:$M$91,0)</f>
        <v>68</v>
      </c>
      <c r="BS65" s="629">
        <f>_xlfn.XLOOKUP($E65,'Løp 18'!$E$10:$E$91,'Løp 18'!$O$10:$O$91,0)</f>
        <v>61</v>
      </c>
      <c r="BT65" s="629">
        <f>_xlfn.XLOOKUP($E65,'Løp 18'!$E$10:$E$91,'Løp 18'!$L$10:$L$91,0)</f>
        <v>1.0619212962962962E-2</v>
      </c>
      <c r="BU65" s="628">
        <f>_xlfn.XLOOKUP($E65,'Løp 19'!$E$10:$E$91,'Løp 19'!$M$10:$M$91,0)</f>
        <v>50</v>
      </c>
      <c r="BV65" s="629">
        <f>_xlfn.XLOOKUP($E65,'Løp 19'!$E$10:$E$91,'Løp 19'!$O$10:$O$91,0)</f>
        <v>50</v>
      </c>
      <c r="BW65" s="629" t="str">
        <f>_xlfn.XLOOKUP($E65,'Løp 19'!$E$10:$E$91,'Løp 19'!$L$10:$L$91,0)</f>
        <v>Brutt</v>
      </c>
      <c r="BX65" s="628">
        <f>_xlfn.XLOOKUP($E65,'Løp 20'!$E$10:$E$92,'Løp 20'!$M$10:$M$92,0)</f>
        <v>53</v>
      </c>
      <c r="BY65" s="629">
        <f>_xlfn.XLOOKUP($E65,'Løp 20'!$E$10:$E$92,'Løp 20'!$O$10:$O$92,0)</f>
        <v>50</v>
      </c>
      <c r="BZ65" s="629">
        <f>_xlfn.XLOOKUP($E65,'Løp 20'!$E$10:$E$92,'Løp 20'!$L$10:$L$92,0)</f>
        <v>1.4710097001763667E-2</v>
      </c>
      <c r="CA65" s="628">
        <f>_xlfn.XLOOKUP($E65,'Løp 21'!$E$10:$E$93,'Løp 21'!$M$10:$M$93,0)</f>
        <v>0</v>
      </c>
      <c r="CB65" s="629">
        <f>_xlfn.XLOOKUP($E65,'Løp 21'!$E$10:$E$93,'Løp 21'!$O$10:$O$93,0)</f>
        <v>0</v>
      </c>
      <c r="CC65" s="629">
        <f>_xlfn.XLOOKUP($E65,'Løp 21'!$E$10:$E$93,'Løp 21'!$L$10:$L$93,0)</f>
        <v>0</v>
      </c>
      <c r="CD65" s="628">
        <f>_xlfn.XLOOKUP($E65,'Løp 22'!$E$10:$E$93,'Løp 22'!$M$10:$M$93,0)</f>
        <v>69</v>
      </c>
      <c r="CE65" s="629">
        <f>_xlfn.XLOOKUP($E65,'Løp 22'!$E$10:$E$93,'Løp 22'!$O$10:$O$93,0)</f>
        <v>65</v>
      </c>
      <c r="CF65" s="629">
        <f>_xlfn.XLOOKUP($E65,'Løp 22'!$E$10:$E$93,'Løp 22'!$L$10:$L$93,0)</f>
        <v>1.0201719576719576E-2</v>
      </c>
      <c r="CG65" s="628">
        <f>_xlfn.XLOOKUP($E65,'Løp 23'!$E$10:$E$93,'Løp 23'!$M$10:$M$93,0)</f>
        <v>50</v>
      </c>
      <c r="CH65" s="629">
        <f>_xlfn.XLOOKUP($E65,'Løp 23'!$E$10:$E$93,'Løp 23'!$O$10:$O$93,0)</f>
        <v>50</v>
      </c>
      <c r="CI65" s="629">
        <f>_xlfn.XLOOKUP($E65,'Løp 23'!$E$10:$E$93,'Løp 23'!$L$10:$L$93,0)</f>
        <v>1.1085390946502056E-2</v>
      </c>
      <c r="CJ65" s="628">
        <f>_xlfn.XLOOKUP($E65,'Løp 24'!$E$10:$E$93,'Løp 24'!$M$10:$M$93,0)</f>
        <v>58</v>
      </c>
      <c r="CK65" s="629">
        <f>_xlfn.XLOOKUP($E65,'Løp 24'!$E$10:$E$93,'Løp 24'!$O$10:$O$93,0)</f>
        <v>50</v>
      </c>
      <c r="CL65" s="629">
        <f>_xlfn.XLOOKUP($E65,'Løp 24'!$E$10:$E$93,'Løp 24'!$L$10:$L$93,0)</f>
        <v>9.1487794612794601E-3</v>
      </c>
      <c r="CM65" s="628">
        <f>_xlfn.XLOOKUP($E65,'Løp 25'!$E$10:$E$94,'Løp 25'!$M$10:$M$94,0)</f>
        <v>50</v>
      </c>
      <c r="CN65" s="629">
        <f>_xlfn.XLOOKUP($E65,'Løp 25'!$E$10:$E$94,'Løp 25'!$O$10:$O$94,0)</f>
        <v>50</v>
      </c>
      <c r="CO65" s="629">
        <f>_xlfn.XLOOKUP($E65,'Løp 25'!$E$10:$E$94,'Løp 25'!$L$10:$L$94,0)</f>
        <v>1.6518775720164608E-2</v>
      </c>
      <c r="CP65" s="628">
        <f>_xlfn.XLOOKUP($E65,'Løp 26'!$E$10:$E$94,'Løp 26'!$M$10:$M$94,0)</f>
        <v>58</v>
      </c>
      <c r="CQ65" s="629">
        <f>_xlfn.XLOOKUP($E65,'Løp 26'!$E$10:$E$94,'Løp 26'!$O$10:$O$94,0)</f>
        <v>57</v>
      </c>
      <c r="CR65" s="629">
        <f>_xlfn.XLOOKUP($E65,'Løp 26'!$E$10:$E$94,'Løp 26'!$L$10:$L$94,0)</f>
        <v>1.2272970085470085E-2</v>
      </c>
      <c r="CS65" s="628">
        <f>_xlfn.XLOOKUP($E65,'Løp 27'!$E$10:$E$94,'Løp 27'!$M$10:$M$94,0)</f>
        <v>50</v>
      </c>
      <c r="CT65" s="629">
        <f>_xlfn.XLOOKUP($E65,'Løp 27'!$E$10:$E$94,'Løp 27'!$O$10:$O$94,0)</f>
        <v>50</v>
      </c>
      <c r="CU65" s="629">
        <f>_xlfn.XLOOKUP($E65,'Løp 27'!$E$10:$E$94,'Løp 27'!$L$10:$L$94,0)</f>
        <v>1.9373713991769549E-2</v>
      </c>
      <c r="CV65" s="628">
        <f>_xlfn.XLOOKUP($E65,'Løp 28'!$E$10:$E$95,'Løp 28'!$M$10:$M$95,0)</f>
        <v>0</v>
      </c>
      <c r="CW65" s="629">
        <f>_xlfn.XLOOKUP($E65,'Løp 28'!$E$10:$E$95,'Løp 28'!$O$10:$O$95,0)</f>
        <v>0</v>
      </c>
      <c r="CX65" s="629">
        <f>_xlfn.XLOOKUP($E65,'Løp 28'!$E$10:$E$95,'Løp 28'!$L$10:$L$95,0)</f>
        <v>0</v>
      </c>
      <c r="CY65" s="628">
        <f>_xlfn.XLOOKUP($E65,'Løp 29'!$E$10:$E$95,'Løp 29'!$M$10:$M$95,0)</f>
        <v>50</v>
      </c>
      <c r="CZ65" s="629">
        <f>_xlfn.XLOOKUP($E65,'Løp 29'!$E$10:$E$95,'Løp 29'!$O$10:$O$95,0)</f>
        <v>50</v>
      </c>
      <c r="DA65" s="629">
        <f>_xlfn.XLOOKUP($E65,'Løp 29'!$E$10:$E$95,'Løp 29'!$L$10:$L$95,0)</f>
        <v>1.4662905092592592E-2</v>
      </c>
    </row>
    <row r="66" spans="2:105" ht="26" thickBot="1" x14ac:dyDescent="0.3">
      <c r="B66" s="627">
        <f t="shared" si="0"/>
        <v>57</v>
      </c>
      <c r="C66" s="119" t="s">
        <v>248</v>
      </c>
      <c r="D66" s="620" t="s">
        <v>249</v>
      </c>
      <c r="E66" s="616" t="str">
        <f>_xlfn.CONCAT(C66:D66)</f>
        <v>ErikLund</v>
      </c>
      <c r="F66" s="610"/>
      <c r="G66" s="653">
        <f>COUNTIF(S66:DA66,"&gt;2")/2</f>
        <v>14</v>
      </c>
      <c r="H66" s="852">
        <f>COUNTIF(S66:DA66,"=Løype")+COUNTIF(S66:DA66,"Arr")</f>
        <v>0</v>
      </c>
      <c r="I66" s="610"/>
      <c r="J66" s="632">
        <f>S66+V66+Y66+AB66+AE66+AH66+AK66+AN66+AQ66+AT66+AW66+AZ66+BC66+BF66+BI66+BL66+BO66+BR66+BU66+BX66+CA66+CD66+CG66+CJ66+CM66+CP66+CS66+CV66+CY66</f>
        <v>724</v>
      </c>
      <c r="K66" s="633">
        <f>T66+W66+Z66+AC66+AF66+AI66+AL66+AO66+AR66+AU66+AX66+BA66+BD66+BG66+BJ66+BM66+BP66+BS66+BV66+BY66+CB66+CE66+CH66+CK66+CN66+CQ66+CT66+CW66+CZ66</f>
        <v>779</v>
      </c>
      <c r="L66" s="613"/>
      <c r="M66" s="658">
        <f>IF($G66&gt;0,J66/G66,0)</f>
        <v>51.714285714285715</v>
      </c>
      <c r="N66" s="659">
        <f>IF($G66&gt;0,K66/$G66,0)</f>
        <v>55.642857142857146</v>
      </c>
      <c r="O66" s="862"/>
      <c r="P66" s="874">
        <f>IF(AND($G66&gt;$Q$3-1,$G66-$H66&gt;0),M66,0)</f>
        <v>51.714285714285715</v>
      </c>
      <c r="Q66" s="875">
        <f>IF(AND($G66&gt;$Q$3-1,$G66-$H66&gt;0),N66,0)</f>
        <v>55.642857142857146</v>
      </c>
      <c r="R66" s="613"/>
      <c r="S66" s="628">
        <f>_xlfn.XLOOKUP($E66,'Løp 1'!$E$10:$E$90,'Løp 1'!$M$10:$M$90,0)</f>
        <v>0</v>
      </c>
      <c r="T66" s="629">
        <f>_xlfn.XLOOKUP($E66,'Løp 1'!$E$10:$E$90,'Løp 1'!$O$10:$O$90,0)</f>
        <v>0</v>
      </c>
      <c r="U66" s="629">
        <f>_xlfn.XLOOKUP($E66,'Løp 1'!$E$10:$E$90,'Løp 1'!$L$10:$L$90,0)</f>
        <v>0</v>
      </c>
      <c r="V66" s="628">
        <f>_xlfn.XLOOKUP($E66,'Løp 2'!$E$10:$E$90,'Løp 2'!$M$10:$M$90,0)</f>
        <v>0</v>
      </c>
      <c r="W66" s="629">
        <f>_xlfn.XLOOKUP($E66,'Løp 2'!$E$10:$E$90,'Løp 2'!$O$10:$O$90,0)</f>
        <v>0</v>
      </c>
      <c r="X66" s="629">
        <f>_xlfn.XLOOKUP($E66,'Løp 2'!$E$10:$E$90,'Løp 2'!$L$10:$L$90,0)</f>
        <v>0</v>
      </c>
      <c r="Y66" s="628">
        <f>_xlfn.XLOOKUP($E66,'Løp 3'!$E$10:$E$90,'Løp 3'!$M$10:$M$90,0)</f>
        <v>0</v>
      </c>
      <c r="Z66" s="629">
        <f>_xlfn.XLOOKUP($E66,'Løp 3'!$E$10:$E$90,'Løp 3'!$O$10:$O$90,0)</f>
        <v>0</v>
      </c>
      <c r="AA66" s="629">
        <f>_xlfn.XLOOKUP($E66,'Løp 3'!$E$10:$E$90,'Løp 3'!$L$10:$L$90,0)</f>
        <v>0</v>
      </c>
      <c r="AB66" s="628">
        <f>_xlfn.XLOOKUP($E66,'Løp 4'!$E$10:$E$90,'Løp 4'!$M$10:$M$90,0)</f>
        <v>50</v>
      </c>
      <c r="AC66" s="629">
        <f>_xlfn.XLOOKUP($E66,'Løp 4'!$E$10:$E$90,'Løp 4'!$O$10:$O$90,0)</f>
        <v>56</v>
      </c>
      <c r="AD66" s="629">
        <f>_xlfn.XLOOKUP($E66,'Løp 4'!$E$10:$E$90,'Løp 4'!$L$10:$L$90,0)</f>
        <v>1.4663848631239939E-2</v>
      </c>
      <c r="AE66" s="628">
        <f>_xlfn.XLOOKUP($E66,'Løp 5'!$E$10:$E$90,'Løp 5'!$M$10:$M$90,0)</f>
        <v>50</v>
      </c>
      <c r="AF66" s="629">
        <f>_xlfn.XLOOKUP($E66,'Løp 5'!$E$10:$E$90,'Løp 5'!$O$10:$O$90,0)</f>
        <v>52</v>
      </c>
      <c r="AG66" s="629">
        <f>_xlfn.XLOOKUP($E66,'Løp 5'!$E$10:$E$90,'Løp 5'!$L$10:$L$90,0)</f>
        <v>1.4879918981481482E-2</v>
      </c>
      <c r="AH66" s="628">
        <f>_xlfn.XLOOKUP($E66,'Løp 6'!$E$10:$E$90,'Løp 6'!$M$10:$M$90,0)</f>
        <v>50</v>
      </c>
      <c r="AI66" s="629">
        <f>_xlfn.XLOOKUP($E66,'Løp 6'!$E$10:$E$90,'Løp 6'!$O$10:$O$90,0)</f>
        <v>50</v>
      </c>
      <c r="AJ66" s="629">
        <f>_xlfn.XLOOKUP($E66,'Løp 6'!$E$10:$E$90,'Løp 6'!$L$10:$L$90,0)</f>
        <v>1.8144063180827886E-2</v>
      </c>
      <c r="AK66" s="628">
        <f>_xlfn.XLOOKUP($E66,'Løp 7'!$E$10:$E$90,'Løp 7'!$M$10:$M$90,0)</f>
        <v>0</v>
      </c>
      <c r="AL66" s="629">
        <f>_xlfn.XLOOKUP($E66,'Løp 7'!$E$10:$E$90,'Løp 7'!$O$10:$O$90,0)</f>
        <v>0</v>
      </c>
      <c r="AM66" s="629">
        <f>_xlfn.XLOOKUP($E66,'Løp 7'!$E$10:$E$90,'Løp 7'!$L$10:$L$90,0)</f>
        <v>0</v>
      </c>
      <c r="AN66" s="628">
        <f>_xlfn.XLOOKUP($E66,'Løp 8'!$E$10:$E$91,'Løp 8'!$M$10:$M$91,0)</f>
        <v>0</v>
      </c>
      <c r="AO66" s="629">
        <f>_xlfn.XLOOKUP($E66,'Løp 8'!$E$10:$E$91,'Løp 8'!$O$10:$O$91,0)</f>
        <v>0</v>
      </c>
      <c r="AP66" s="629">
        <f>_xlfn.XLOOKUP($E66,'Løp 8'!$E$10:$E$91,'Løp 8'!$L$10:$L$91,0)</f>
        <v>0</v>
      </c>
      <c r="AQ66" s="628">
        <f>_xlfn.XLOOKUP($E66,'Løp 9'!$E$10:$E$91,'Løp 9'!$M$10:$M$91,0)</f>
        <v>0</v>
      </c>
      <c r="AR66" s="629">
        <f>_xlfn.XLOOKUP($E66,'Løp 9'!$E$10:$E$91,'Løp 9'!$O$10:$O$91,0)</f>
        <v>0</v>
      </c>
      <c r="AS66" s="629">
        <f>_xlfn.XLOOKUP($E66,'Løp 9'!$E$10:$E$91,'Løp 9'!$L$10:$L$91,0)</f>
        <v>0</v>
      </c>
      <c r="AT66" s="628">
        <f>_xlfn.XLOOKUP($E66,'Løp 10'!$E$10:$E$91,'Løp 10'!$M$10:$M$91,0)</f>
        <v>0</v>
      </c>
      <c r="AU66" s="629">
        <f>_xlfn.XLOOKUP($E66,'Løp 10'!$E$10:$E$91,'Løp 10'!$O$10:$O$91,0)</f>
        <v>0</v>
      </c>
      <c r="AV66" s="629">
        <f>_xlfn.XLOOKUP($E66,'Løp 10'!$E$10:$E$91,'Løp 10'!$L$10:$L$91,0)</f>
        <v>0</v>
      </c>
      <c r="AW66" s="628">
        <f>_xlfn.XLOOKUP($E66,'Løp 11'!$E$10:$E$91,'Løp 11'!$M$10:$M$91,0)</f>
        <v>0</v>
      </c>
      <c r="AX66" s="629">
        <f>_xlfn.XLOOKUP($E66,'Løp 11'!$E$10:$E$91,'Løp 11'!$O$10:$O$91,0)</f>
        <v>0</v>
      </c>
      <c r="AY66" s="629">
        <f>_xlfn.XLOOKUP($E66,'Løp 11'!$E$10:$E$91,'Løp 11'!$L$10:$L$91,0)</f>
        <v>0</v>
      </c>
      <c r="AZ66" s="628">
        <f>_xlfn.XLOOKUP($E66,'Løp 12'!$E$10:$E$91,'Løp 12'!$M$10:$M$91,0)</f>
        <v>0</v>
      </c>
      <c r="BA66" s="629">
        <f>_xlfn.XLOOKUP($E66,'Løp 12'!$E$10:$E$91,'Løp 12'!$O$10:$O$91,0)</f>
        <v>0</v>
      </c>
      <c r="BB66" s="629">
        <f>_xlfn.XLOOKUP($E66,'Løp 12'!$E$10:$E$91,'Løp 12'!$L$10:$L$91,0)</f>
        <v>0</v>
      </c>
      <c r="BC66" s="628">
        <f>_xlfn.XLOOKUP($E66,'Løp 13'!$E$10:$E$91,'Løp 13'!$M$10:$M$91,0)</f>
        <v>0</v>
      </c>
      <c r="BD66" s="629">
        <f>_xlfn.XLOOKUP($E66,'Løp 13'!$E$10:$E$91,'Løp 13'!$O$10:$O$91,0)</f>
        <v>0</v>
      </c>
      <c r="BE66" s="629">
        <f>_xlfn.XLOOKUP($E66,'Løp 13'!$E$10:$E$91,'Løp 13'!$L$10:$L$91,0)</f>
        <v>0</v>
      </c>
      <c r="BF66" s="628">
        <f>_xlfn.XLOOKUP($E66,'Løp 14'!$E$10:$E$91,'Løp 14'!$M$10:$M$91,0)</f>
        <v>0</v>
      </c>
      <c r="BG66" s="629">
        <f>_xlfn.XLOOKUP($E66,'Løp 14'!$E$10:$E$91,'Løp 14'!$O$10:$O$91,0)</f>
        <v>0</v>
      </c>
      <c r="BH66" s="629">
        <f>_xlfn.XLOOKUP($E66,'Løp 14'!$E$10:$E$91,'Løp 14'!$L$10:$L$91,0)</f>
        <v>0</v>
      </c>
      <c r="BI66" s="628">
        <f>_xlfn.XLOOKUP($E66,'Løp 15'!$E$10:$E$91,'Løp 15'!$M$10:$M$91,0)</f>
        <v>0</v>
      </c>
      <c r="BJ66" s="629">
        <f>_xlfn.XLOOKUP($E66,'Løp 15'!$E$10:$E$91,'Løp 15'!$O$10:$O$91,0)</f>
        <v>0</v>
      </c>
      <c r="BK66" s="629">
        <f>_xlfn.XLOOKUP($E66,'Løp 15'!$E$10:$E$91,'Løp 15'!$L$10:$L$91,0)</f>
        <v>0</v>
      </c>
      <c r="BL66" s="628">
        <f>_xlfn.XLOOKUP($E66,'Løp 16'!$E$10:$E$91,'Løp 16'!$M$10:$M$91,0)</f>
        <v>50</v>
      </c>
      <c r="BM66" s="629">
        <f>_xlfn.XLOOKUP($E66,'Løp 16'!$E$10:$E$91,'Løp 16'!$O$10:$O$91,0)</f>
        <v>55</v>
      </c>
      <c r="BN66" s="629">
        <f>_xlfn.XLOOKUP($E66,'Løp 16'!$E$10:$E$91,'Løp 16'!$L$10:$L$91,0)</f>
        <v>1.4437399355877617E-2</v>
      </c>
      <c r="BO66" s="628">
        <f>_xlfn.XLOOKUP($E66,'Løp 17'!$E$10:$E$91,'Løp 17'!$M$10:$M$91,0)</f>
        <v>50</v>
      </c>
      <c r="BP66" s="629">
        <f>_xlfn.XLOOKUP($E66,'Løp 17'!$E$10:$E$91,'Løp 17'!$O$10:$O$91,0)</f>
        <v>51</v>
      </c>
      <c r="BQ66" s="629">
        <f>_xlfn.XLOOKUP($E66,'Løp 17'!$E$10:$E$91,'Løp 17'!$L$10:$L$91,0)</f>
        <v>1.4254385964912282E-2</v>
      </c>
      <c r="BR66" s="628">
        <f>_xlfn.XLOOKUP($E66,'Løp 18'!$E$10:$E$91,'Løp 18'!$M$10:$M$91,0)</f>
        <v>56</v>
      </c>
      <c r="BS66" s="629">
        <f>_xlfn.XLOOKUP($E66,'Løp 18'!$E$10:$E$91,'Løp 18'!$O$10:$O$91,0)</f>
        <v>60</v>
      </c>
      <c r="BT66" s="629">
        <f>_xlfn.XLOOKUP($E66,'Løp 18'!$E$10:$E$91,'Løp 18'!$L$10:$L$91,0)</f>
        <v>1.2743055555555556E-2</v>
      </c>
      <c r="BU66" s="628">
        <f>_xlfn.XLOOKUP($E66,'Løp 19'!$E$10:$E$91,'Løp 19'!$M$10:$M$91,0)</f>
        <v>50</v>
      </c>
      <c r="BV66" s="629">
        <f>_xlfn.XLOOKUP($E66,'Løp 19'!$E$10:$E$91,'Løp 19'!$O$10:$O$91,0)</f>
        <v>50</v>
      </c>
      <c r="BW66" s="629">
        <f>_xlfn.XLOOKUP($E66,'Løp 19'!$E$10:$E$91,'Løp 19'!$L$10:$L$91,0)</f>
        <v>2.494212962962963E-2</v>
      </c>
      <c r="BX66" s="628">
        <f>_xlfn.XLOOKUP($E66,'Løp 20'!$E$10:$E$92,'Løp 20'!$M$10:$M$92,0)</f>
        <v>50</v>
      </c>
      <c r="BY66" s="629">
        <f>_xlfn.XLOOKUP($E66,'Løp 20'!$E$10:$E$92,'Løp 20'!$O$10:$O$92,0)</f>
        <v>50</v>
      </c>
      <c r="BZ66" s="629">
        <f>_xlfn.XLOOKUP($E66,'Løp 20'!$E$10:$E$92,'Løp 20'!$L$10:$L$92,0)</f>
        <v>1.8259479717813047E-2</v>
      </c>
      <c r="CA66" s="628">
        <f>_xlfn.XLOOKUP($E66,'Løp 21'!$E$10:$E$93,'Løp 21'!$M$10:$M$93,0)</f>
        <v>62</v>
      </c>
      <c r="CB66" s="629">
        <f>_xlfn.XLOOKUP($E66,'Løp 21'!$E$10:$E$93,'Løp 21'!$O$10:$O$93,0)</f>
        <v>70</v>
      </c>
      <c r="CC66" s="629">
        <f>_xlfn.XLOOKUP($E66,'Løp 21'!$E$10:$E$93,'Løp 21'!$L$10:$L$93,0)</f>
        <v>9.8731884057971023E-3</v>
      </c>
      <c r="CD66" s="628">
        <f>_xlfn.XLOOKUP($E66,'Løp 22'!$E$10:$E$93,'Løp 22'!$M$10:$M$93,0)</f>
        <v>0</v>
      </c>
      <c r="CE66" s="629">
        <f>_xlfn.XLOOKUP($E66,'Løp 22'!$E$10:$E$93,'Løp 22'!$O$10:$O$93,0)</f>
        <v>0</v>
      </c>
      <c r="CF66" s="629">
        <f>_xlfn.XLOOKUP($E66,'Løp 22'!$E$10:$E$93,'Løp 22'!$L$10:$L$93,0)</f>
        <v>0</v>
      </c>
      <c r="CG66" s="628">
        <f>_xlfn.XLOOKUP($E66,'Løp 23'!$E$10:$E$93,'Løp 23'!$M$10:$M$93,0)</f>
        <v>51</v>
      </c>
      <c r="CH66" s="629">
        <f>_xlfn.XLOOKUP($E66,'Løp 23'!$E$10:$E$93,'Løp 23'!$O$10:$O$93,0)</f>
        <v>57</v>
      </c>
      <c r="CI66" s="629">
        <f>_xlfn.XLOOKUP($E66,'Løp 23'!$E$10:$E$93,'Løp 23'!$L$10:$L$93,0)</f>
        <v>1.0198045267489712E-2</v>
      </c>
      <c r="CJ66" s="628">
        <f>_xlfn.XLOOKUP($E66,'Løp 24'!$E$10:$E$93,'Løp 24'!$M$10:$M$93,0)</f>
        <v>0</v>
      </c>
      <c r="CK66" s="629">
        <f>_xlfn.XLOOKUP($E66,'Løp 24'!$E$10:$E$93,'Løp 24'!$O$10:$O$93,0)</f>
        <v>0</v>
      </c>
      <c r="CL66" s="629">
        <f>_xlfn.XLOOKUP($E66,'Løp 24'!$E$10:$E$93,'Løp 24'!$L$10:$L$93,0)</f>
        <v>0</v>
      </c>
      <c r="CM66" s="628">
        <f>_xlfn.XLOOKUP($E66,'Løp 25'!$E$10:$E$94,'Løp 25'!$M$10:$M$94,0)</f>
        <v>50</v>
      </c>
      <c r="CN66" s="629">
        <f>_xlfn.XLOOKUP($E66,'Løp 25'!$E$10:$E$94,'Løp 25'!$O$10:$O$94,0)</f>
        <v>50</v>
      </c>
      <c r="CO66" s="629">
        <f>_xlfn.XLOOKUP($E66,'Løp 25'!$E$10:$E$94,'Løp 25'!$L$10:$L$94,0)</f>
        <v>1.9708076131687239E-2</v>
      </c>
      <c r="CP66" s="628">
        <f>_xlfn.XLOOKUP($E66,'Løp 26'!$E$10:$E$94,'Løp 26'!$M$10:$M$94,0)</f>
        <v>55</v>
      </c>
      <c r="CQ66" s="629">
        <f>_xlfn.XLOOKUP($E66,'Løp 26'!$E$10:$E$94,'Løp 26'!$O$10:$O$94,0)</f>
        <v>64</v>
      </c>
      <c r="CR66" s="629">
        <f>_xlfn.XLOOKUP($E66,'Løp 26'!$E$10:$E$94,'Løp 26'!$L$10:$L$94,0)</f>
        <v>1.2816061253561254E-2</v>
      </c>
      <c r="CS66" s="628">
        <f>_xlfn.XLOOKUP($E66,'Løp 27'!$E$10:$E$94,'Løp 27'!$M$10:$M$94,0)</f>
        <v>50</v>
      </c>
      <c r="CT66" s="629">
        <f>_xlfn.XLOOKUP($E66,'Løp 27'!$E$10:$E$94,'Løp 27'!$O$10:$O$94,0)</f>
        <v>57</v>
      </c>
      <c r="CU66" s="629">
        <f>_xlfn.XLOOKUP($E66,'Løp 27'!$E$10:$E$94,'Løp 27'!$L$10:$L$94,0)</f>
        <v>1.3908179012345678E-2</v>
      </c>
      <c r="CV66" s="628">
        <f>_xlfn.XLOOKUP($E66,'Løp 28'!$E$10:$E$95,'Løp 28'!$M$10:$M$95,0)</f>
        <v>50</v>
      </c>
      <c r="CW66" s="629">
        <f>_xlfn.XLOOKUP($E66,'Løp 28'!$E$10:$E$95,'Løp 28'!$O$10:$O$95,0)</f>
        <v>57</v>
      </c>
      <c r="CX66" s="629">
        <f>_xlfn.XLOOKUP($E66,'Løp 28'!$E$10:$E$95,'Løp 28'!$L$10:$L$95,0)</f>
        <v>1.4074074074074074E-2</v>
      </c>
      <c r="CY66" s="628">
        <f>_xlfn.XLOOKUP($E66,'Løp 29'!$E$10:$E$95,'Løp 29'!$M$10:$M$95,0)</f>
        <v>0</v>
      </c>
      <c r="CZ66" s="629">
        <f>_xlfn.XLOOKUP($E66,'Løp 29'!$E$10:$E$95,'Løp 29'!$O$10:$O$95,0)</f>
        <v>0</v>
      </c>
      <c r="DA66" s="629">
        <f>_xlfn.XLOOKUP($E66,'Løp 29'!$E$10:$E$95,'Løp 29'!$L$10:$L$95,0)</f>
        <v>0</v>
      </c>
    </row>
    <row r="67" spans="2:105" ht="26" thickBot="1" x14ac:dyDescent="0.3">
      <c r="B67" s="627">
        <f t="shared" si="0"/>
        <v>58</v>
      </c>
      <c r="C67" s="119" t="s">
        <v>60</v>
      </c>
      <c r="D67" s="620" t="s">
        <v>372</v>
      </c>
      <c r="E67" s="616" t="str">
        <f>_xlfn.CONCAT(C67:D67)</f>
        <v>JosteinGrepstad</v>
      </c>
      <c r="F67" s="610"/>
      <c r="G67" s="653">
        <f>COUNTIF(S67:DA67,"&gt;2")/2</f>
        <v>15</v>
      </c>
      <c r="H67" s="852">
        <f>COUNTIF(S67:DA67,"=Løype")+COUNTIF(S67:DA67,"Arr")</f>
        <v>1</v>
      </c>
      <c r="I67" s="610"/>
      <c r="J67" s="632">
        <f>S67+V67+Y67+AB67+AE67+AH67+AK67+AN67+AQ67+AT67+AW67+AZ67+BC67+BF67+BI67+BL67+BO67+BR67+BU67+BX67+CA67+CD67+CG67+CJ67+CM67+CP67+CS67+CV67+CY67</f>
        <v>836</v>
      </c>
      <c r="K67" s="633">
        <f>T67+W67+Z67+AC67+AF67+AI67+AL67+AO67+AR67+AU67+AX67+BA67+BD67+BG67+BJ67+BM67+BP67+BS67+BV67+BY67+CB67+CE67+CH67+CK67+CN67+CQ67+CT67+CW67+CZ67</f>
        <v>825</v>
      </c>
      <c r="L67" s="613"/>
      <c r="M67" s="658">
        <f>IF($G67&gt;0,J67/G67,0)</f>
        <v>55.733333333333334</v>
      </c>
      <c r="N67" s="659">
        <f>IF($G67&gt;0,K67/$G67,0)</f>
        <v>55</v>
      </c>
      <c r="O67" s="862"/>
      <c r="P67" s="874">
        <f>IF(AND($G67&gt;$Q$3-1,$G67-$H67&gt;0),M67,0)</f>
        <v>55.733333333333334</v>
      </c>
      <c r="Q67" s="875">
        <f>IF(AND($G67&gt;$Q$3-1,$G67-$H67&gt;0),N67,0)</f>
        <v>55</v>
      </c>
      <c r="R67" s="613"/>
      <c r="S67" s="628">
        <f>_xlfn.XLOOKUP($E67,'Løp 1'!$E$10:$E$90,'Løp 1'!$M$10:$M$90,0)</f>
        <v>0</v>
      </c>
      <c r="T67" s="629">
        <f>_xlfn.XLOOKUP($E67,'Løp 1'!$E$10:$E$90,'Løp 1'!$O$10:$O$90,0)</f>
        <v>0</v>
      </c>
      <c r="U67" s="629">
        <f>_xlfn.XLOOKUP($E67,'Løp 1'!$E$10:$E$90,'Løp 1'!$L$10:$L$90,0)</f>
        <v>0</v>
      </c>
      <c r="V67" s="628">
        <f>_xlfn.XLOOKUP($E67,'Løp 2'!$E$10:$E$90,'Løp 2'!$M$10:$M$90,0)</f>
        <v>0</v>
      </c>
      <c r="W67" s="629">
        <f>_xlfn.XLOOKUP($E67,'Løp 2'!$E$10:$E$90,'Løp 2'!$O$10:$O$90,0)</f>
        <v>0</v>
      </c>
      <c r="X67" s="629">
        <f>_xlfn.XLOOKUP($E67,'Løp 2'!$E$10:$E$90,'Løp 2'!$L$10:$L$90,0)</f>
        <v>0</v>
      </c>
      <c r="Y67" s="628">
        <f>_xlfn.XLOOKUP($E67,'Løp 3'!$E$10:$E$90,'Løp 3'!$M$10:$M$90,0)</f>
        <v>0</v>
      </c>
      <c r="Z67" s="629">
        <f>_xlfn.XLOOKUP($E67,'Løp 3'!$E$10:$E$90,'Løp 3'!$O$10:$O$90,0)</f>
        <v>0</v>
      </c>
      <c r="AA67" s="629">
        <f>_xlfn.XLOOKUP($E67,'Løp 3'!$E$10:$E$90,'Løp 3'!$L$10:$L$90,0)</f>
        <v>0</v>
      </c>
      <c r="AB67" s="628">
        <f>_xlfn.XLOOKUP($E67,'Løp 4'!$E$10:$E$90,'Løp 4'!$M$10:$M$90,0)</f>
        <v>0</v>
      </c>
      <c r="AC67" s="629">
        <f>_xlfn.XLOOKUP($E67,'Løp 4'!$E$10:$E$90,'Løp 4'!$O$10:$O$90,0)</f>
        <v>0</v>
      </c>
      <c r="AD67" s="629">
        <f>_xlfn.XLOOKUP($E67,'Løp 4'!$E$10:$E$90,'Løp 4'!$L$10:$L$90,0)</f>
        <v>0</v>
      </c>
      <c r="AE67" s="628">
        <f>_xlfn.XLOOKUP($E67,'Løp 5'!$E$10:$E$90,'Løp 5'!$M$10:$M$90,0)</f>
        <v>0</v>
      </c>
      <c r="AF67" s="629">
        <f>_xlfn.XLOOKUP($E67,'Løp 5'!$E$10:$E$90,'Løp 5'!$O$10:$O$90,0)</f>
        <v>0</v>
      </c>
      <c r="AG67" s="629">
        <f>_xlfn.XLOOKUP($E67,'Løp 5'!$E$10:$E$90,'Løp 5'!$L$10:$L$90,0)</f>
        <v>0</v>
      </c>
      <c r="AH67" s="628">
        <f>_xlfn.XLOOKUP($E67,'Løp 6'!$E$10:$E$90,'Løp 6'!$M$10:$M$90,0)</f>
        <v>50</v>
      </c>
      <c r="AI67" s="629">
        <f>_xlfn.XLOOKUP($E67,'Løp 6'!$E$10:$E$90,'Løp 6'!$O$10:$O$90,0)</f>
        <v>50</v>
      </c>
      <c r="AJ67" s="629">
        <f>_xlfn.XLOOKUP($E67,'Løp 6'!$E$10:$E$90,'Løp 6'!$L$10:$L$90,0)</f>
        <v>1.8443627450980393E-2</v>
      </c>
      <c r="AK67" s="628">
        <f>_xlfn.XLOOKUP($E67,'Løp 7'!$E$10:$E$90,'Løp 7'!$M$10:$M$90,0)</f>
        <v>0</v>
      </c>
      <c r="AL67" s="629">
        <f>_xlfn.XLOOKUP($E67,'Løp 7'!$E$10:$E$90,'Løp 7'!$O$10:$O$90,0)</f>
        <v>0</v>
      </c>
      <c r="AM67" s="629">
        <f>_xlfn.XLOOKUP($E67,'Løp 7'!$E$10:$E$90,'Løp 7'!$L$10:$L$90,0)</f>
        <v>0</v>
      </c>
      <c r="AN67" s="628">
        <f>_xlfn.XLOOKUP($E67,'Løp 8'!$E$10:$E$91,'Løp 8'!$M$10:$M$91,0)</f>
        <v>0</v>
      </c>
      <c r="AO67" s="629">
        <f>_xlfn.XLOOKUP($E67,'Løp 8'!$E$10:$E$91,'Løp 8'!$O$10:$O$91,0)</f>
        <v>0</v>
      </c>
      <c r="AP67" s="629">
        <f>_xlfn.XLOOKUP($E67,'Løp 8'!$E$10:$E$91,'Løp 8'!$L$10:$L$91,0)</f>
        <v>0</v>
      </c>
      <c r="AQ67" s="628">
        <f>_xlfn.XLOOKUP($E67,'Løp 9'!$E$10:$E$91,'Løp 9'!$M$10:$M$91,0)</f>
        <v>0</v>
      </c>
      <c r="AR67" s="629">
        <f>_xlfn.XLOOKUP($E67,'Løp 9'!$E$10:$E$91,'Løp 9'!$O$10:$O$91,0)</f>
        <v>0</v>
      </c>
      <c r="AS67" s="629">
        <f>_xlfn.XLOOKUP($E67,'Løp 9'!$E$10:$E$91,'Løp 9'!$L$10:$L$91,0)</f>
        <v>0</v>
      </c>
      <c r="AT67" s="628">
        <f>_xlfn.XLOOKUP($E67,'Løp 10'!$E$10:$E$91,'Løp 10'!$M$10:$M$91,0)</f>
        <v>0</v>
      </c>
      <c r="AU67" s="629">
        <f>_xlfn.XLOOKUP($E67,'Løp 10'!$E$10:$E$91,'Løp 10'!$O$10:$O$91,0)</f>
        <v>0</v>
      </c>
      <c r="AV67" s="629">
        <f>_xlfn.XLOOKUP($E67,'Løp 10'!$E$10:$E$91,'Løp 10'!$L$10:$L$91,0)</f>
        <v>0</v>
      </c>
      <c r="AW67" s="628">
        <f>_xlfn.XLOOKUP($E67,'Løp 11'!$E$10:$E$91,'Løp 11'!$M$10:$M$91,0)</f>
        <v>58</v>
      </c>
      <c r="AX67" s="629">
        <f>_xlfn.XLOOKUP($E67,'Løp 11'!$E$10:$E$91,'Løp 11'!$O$10:$O$91,0)</f>
        <v>58</v>
      </c>
      <c r="AY67" s="629">
        <f>_xlfn.XLOOKUP($E67,'Løp 11'!$E$10:$E$91,'Løp 11'!$L$10:$L$91,0)</f>
        <v>1.2605218855218854E-2</v>
      </c>
      <c r="AZ67" s="628">
        <f>_xlfn.XLOOKUP($E67,'Løp 12'!$E$10:$E$91,'Løp 12'!$M$10:$M$91,0)</f>
        <v>50</v>
      </c>
      <c r="BA67" s="629">
        <f>_xlfn.XLOOKUP($E67,'Løp 12'!$E$10:$E$91,'Løp 12'!$O$10:$O$91,0)</f>
        <v>52</v>
      </c>
      <c r="BB67" s="629">
        <f>_xlfn.XLOOKUP($E67,'Løp 12'!$E$10:$E$91,'Løp 12'!$L$10:$L$91,0)</f>
        <v>1.1207561728395061E-2</v>
      </c>
      <c r="BC67" s="628">
        <f>_xlfn.XLOOKUP($E67,'Løp 13'!$E$10:$E$91,'Løp 13'!$M$10:$M$91,0)</f>
        <v>0</v>
      </c>
      <c r="BD67" s="629">
        <f>_xlfn.XLOOKUP($E67,'Løp 13'!$E$10:$E$91,'Løp 13'!$O$10:$O$91,0)</f>
        <v>0</v>
      </c>
      <c r="BE67" s="629">
        <f>_xlfn.XLOOKUP($E67,'Løp 13'!$E$10:$E$91,'Løp 13'!$L$10:$L$91,0)</f>
        <v>0</v>
      </c>
      <c r="BF67" s="628">
        <f>_xlfn.XLOOKUP($E67,'Løp 14'!$E$10:$E$91,'Løp 14'!$M$10:$M$91,0)</f>
        <v>0</v>
      </c>
      <c r="BG67" s="629">
        <f>_xlfn.XLOOKUP($E67,'Løp 14'!$E$10:$E$91,'Løp 14'!$O$10:$O$91,0)</f>
        <v>0</v>
      </c>
      <c r="BH67" s="629">
        <f>_xlfn.XLOOKUP($E67,'Løp 14'!$E$10:$E$91,'Løp 14'!$L$10:$L$91,0)</f>
        <v>0</v>
      </c>
      <c r="BI67" s="628">
        <f>_xlfn.XLOOKUP($E67,'Løp 15'!$E$10:$E$91,'Løp 15'!$M$10:$M$91,0)</f>
        <v>54</v>
      </c>
      <c r="BJ67" s="629">
        <f>_xlfn.XLOOKUP($E67,'Løp 15'!$E$10:$E$91,'Løp 15'!$O$10:$O$91,0)</f>
        <v>50</v>
      </c>
      <c r="BK67" s="629">
        <f>_xlfn.XLOOKUP($E67,'Løp 15'!$E$10:$E$91,'Løp 15'!$L$10:$L$91,0)</f>
        <v>1.6082451499118165E-2</v>
      </c>
      <c r="BL67" s="628">
        <f>_xlfn.XLOOKUP($E67,'Løp 16'!$E$10:$E$91,'Løp 16'!$M$10:$M$91,0)</f>
        <v>100</v>
      </c>
      <c r="BM67" s="629">
        <f>_xlfn.XLOOKUP($E67,'Løp 16'!$E$10:$E$91,'Løp 16'!$O$10:$O$91,0)</f>
        <v>100</v>
      </c>
      <c r="BN67" s="629" t="str">
        <f>_xlfn.XLOOKUP($E67,'Løp 16'!$E$10:$E$91,'Løp 16'!$L$10:$L$91,0)</f>
        <v>Løype</v>
      </c>
      <c r="BO67" s="628">
        <f>_xlfn.XLOOKUP($E67,'Løp 17'!$E$10:$E$91,'Løp 17'!$M$10:$M$91,0)</f>
        <v>50</v>
      </c>
      <c r="BP67" s="629">
        <f>_xlfn.XLOOKUP($E67,'Løp 17'!$E$10:$E$91,'Løp 17'!$O$10:$O$91,0)</f>
        <v>50</v>
      </c>
      <c r="BQ67" s="629">
        <f>_xlfn.XLOOKUP($E67,'Løp 17'!$E$10:$E$91,'Løp 17'!$L$10:$L$91,0)</f>
        <v>1.3322368421052633E-2</v>
      </c>
      <c r="BR67" s="628">
        <f>_xlfn.XLOOKUP($E67,'Løp 18'!$E$10:$E$91,'Løp 18'!$M$10:$M$91,0)</f>
        <v>60</v>
      </c>
      <c r="BS67" s="629">
        <f>_xlfn.XLOOKUP($E67,'Løp 18'!$E$10:$E$91,'Løp 18'!$O$10:$O$91,0)</f>
        <v>56</v>
      </c>
      <c r="BT67" s="629">
        <f>_xlfn.XLOOKUP($E67,'Løp 18'!$E$10:$E$91,'Løp 18'!$L$10:$L$91,0)</f>
        <v>1.2054398148148147E-2</v>
      </c>
      <c r="BU67" s="628">
        <f>_xlfn.XLOOKUP($E67,'Løp 19'!$E$10:$E$91,'Løp 19'!$M$10:$M$91,0)</f>
        <v>0</v>
      </c>
      <c r="BV67" s="629">
        <f>_xlfn.XLOOKUP($E67,'Løp 19'!$E$10:$E$91,'Løp 19'!$O$10:$O$91,0)</f>
        <v>0</v>
      </c>
      <c r="BW67" s="629">
        <f>_xlfn.XLOOKUP($E67,'Løp 19'!$E$10:$E$91,'Løp 19'!$L$10:$L$91,0)</f>
        <v>0</v>
      </c>
      <c r="BX67" s="628">
        <f>_xlfn.XLOOKUP($E67,'Løp 20'!$E$10:$E$92,'Løp 20'!$M$10:$M$92,0)</f>
        <v>53</v>
      </c>
      <c r="BY67" s="629">
        <f>_xlfn.XLOOKUP($E67,'Løp 20'!$E$10:$E$92,'Løp 20'!$O$10:$O$92,0)</f>
        <v>51</v>
      </c>
      <c r="BZ67" s="629">
        <f>_xlfn.XLOOKUP($E67,'Løp 20'!$E$10:$E$92,'Løp 20'!$L$10:$L$92,0)</f>
        <v>1.4710097001763667E-2</v>
      </c>
      <c r="CA67" s="628">
        <f>_xlfn.XLOOKUP($E67,'Løp 21'!$E$10:$E$93,'Løp 21'!$M$10:$M$93,0)</f>
        <v>58</v>
      </c>
      <c r="CB67" s="629">
        <f>_xlfn.XLOOKUP($E67,'Løp 21'!$E$10:$E$93,'Løp 21'!$O$10:$O$93,0)</f>
        <v>58</v>
      </c>
      <c r="CC67" s="629">
        <f>_xlfn.XLOOKUP($E67,'Løp 21'!$E$10:$E$93,'Løp 21'!$L$10:$L$93,0)</f>
        <v>1.0542471819645733E-2</v>
      </c>
      <c r="CD67" s="628">
        <f>_xlfn.XLOOKUP($E67,'Løp 22'!$E$10:$E$93,'Løp 22'!$M$10:$M$93,0)</f>
        <v>0</v>
      </c>
      <c r="CE67" s="629">
        <f>_xlfn.XLOOKUP($E67,'Løp 22'!$E$10:$E$93,'Løp 22'!$O$10:$O$93,0)</f>
        <v>0</v>
      </c>
      <c r="CF67" s="629">
        <f>_xlfn.XLOOKUP($E67,'Løp 22'!$E$10:$E$93,'Løp 22'!$L$10:$L$93,0)</f>
        <v>0</v>
      </c>
      <c r="CG67" s="628">
        <f>_xlfn.XLOOKUP($E67,'Løp 23'!$E$10:$E$93,'Løp 23'!$M$10:$M$93,0)</f>
        <v>50</v>
      </c>
      <c r="CH67" s="629">
        <f>_xlfn.XLOOKUP($E67,'Løp 23'!$E$10:$E$93,'Løp 23'!$O$10:$O$93,0)</f>
        <v>50</v>
      </c>
      <c r="CI67" s="629">
        <f>_xlfn.XLOOKUP($E67,'Løp 23'!$E$10:$E$93,'Løp 23'!$L$10:$L$93,0)</f>
        <v>1.9560185185185184E-2</v>
      </c>
      <c r="CJ67" s="628">
        <f>_xlfn.XLOOKUP($E67,'Løp 24'!$E$10:$E$93,'Løp 24'!$M$10:$M$93,0)</f>
        <v>53</v>
      </c>
      <c r="CK67" s="629">
        <f>_xlfn.XLOOKUP($E67,'Løp 24'!$E$10:$E$93,'Løp 24'!$O$10:$O$93,0)</f>
        <v>50</v>
      </c>
      <c r="CL67" s="629">
        <f>_xlfn.XLOOKUP($E67,'Løp 24'!$E$10:$E$93,'Løp 24'!$L$10:$L$93,0)</f>
        <v>1.0048400673400673E-2</v>
      </c>
      <c r="CM67" s="628">
        <f>_xlfn.XLOOKUP($E67,'Løp 25'!$E$10:$E$94,'Løp 25'!$M$10:$M$94,0)</f>
        <v>50</v>
      </c>
      <c r="CN67" s="629">
        <f>_xlfn.XLOOKUP($E67,'Løp 25'!$E$10:$E$94,'Løp 25'!$O$10:$O$94,0)</f>
        <v>50</v>
      </c>
      <c r="CO67" s="629">
        <f>_xlfn.XLOOKUP($E67,'Løp 25'!$E$10:$E$94,'Løp 25'!$L$10:$L$94,0)</f>
        <v>2.1199845679012345E-2</v>
      </c>
      <c r="CP67" s="628">
        <f>_xlfn.XLOOKUP($E67,'Løp 26'!$E$10:$E$94,'Løp 26'!$M$10:$M$94,0)</f>
        <v>0</v>
      </c>
      <c r="CQ67" s="629">
        <f>_xlfn.XLOOKUP($E67,'Løp 26'!$E$10:$E$94,'Løp 26'!$O$10:$O$94,0)</f>
        <v>0</v>
      </c>
      <c r="CR67" s="629">
        <f>_xlfn.XLOOKUP($E67,'Løp 26'!$E$10:$E$94,'Løp 26'!$L$10:$L$94,0)</f>
        <v>0</v>
      </c>
      <c r="CS67" s="628">
        <f>_xlfn.XLOOKUP($E67,'Løp 27'!$E$10:$E$94,'Løp 27'!$M$10:$M$94,0)</f>
        <v>50</v>
      </c>
      <c r="CT67" s="629">
        <f>_xlfn.XLOOKUP($E67,'Løp 27'!$E$10:$E$94,'Løp 27'!$O$10:$O$94,0)</f>
        <v>50</v>
      </c>
      <c r="CU67" s="629">
        <f>_xlfn.XLOOKUP($E67,'Løp 27'!$E$10:$E$94,'Løp 27'!$L$10:$L$94,0)</f>
        <v>2.238940329218107E-2</v>
      </c>
      <c r="CV67" s="628">
        <f>_xlfn.XLOOKUP($E67,'Løp 28'!$E$10:$E$95,'Løp 28'!$M$10:$M$95,0)</f>
        <v>50</v>
      </c>
      <c r="CW67" s="629">
        <f>_xlfn.XLOOKUP($E67,'Løp 28'!$E$10:$E$95,'Løp 28'!$O$10:$O$95,0)</f>
        <v>50</v>
      </c>
      <c r="CX67" s="629">
        <f>_xlfn.XLOOKUP($E67,'Løp 28'!$E$10:$E$95,'Løp 28'!$L$10:$L$95,0)</f>
        <v>1.9589120370370371E-2</v>
      </c>
      <c r="CY67" s="628">
        <f>_xlfn.XLOOKUP($E67,'Løp 29'!$E$10:$E$95,'Løp 29'!$M$10:$M$95,0)</f>
        <v>50</v>
      </c>
      <c r="CZ67" s="629">
        <f>_xlfn.XLOOKUP($E67,'Løp 29'!$E$10:$E$95,'Løp 29'!$O$10:$O$95,0)</f>
        <v>50</v>
      </c>
      <c r="DA67" s="629">
        <f>_xlfn.XLOOKUP($E67,'Løp 29'!$E$10:$E$95,'Løp 29'!$L$10:$L$95,0)</f>
        <v>2.6417824074074073E-2</v>
      </c>
    </row>
    <row r="68" spans="2:105" ht="26" thickBot="1" x14ac:dyDescent="0.3">
      <c r="B68" s="627">
        <f t="shared" si="0"/>
        <v>59</v>
      </c>
      <c r="C68" s="119" t="s">
        <v>269</v>
      </c>
      <c r="D68" s="620" t="s">
        <v>270</v>
      </c>
      <c r="E68" s="616" t="str">
        <f>_xlfn.CONCAT(C68:D68)</f>
        <v>Per OlavJohansen</v>
      </c>
      <c r="F68" s="610"/>
      <c r="G68" s="653">
        <f>COUNTIF(S68:DA68,"&gt;2")/2</f>
        <v>12</v>
      </c>
      <c r="H68" s="852">
        <f>COUNTIF(S68:DA68,"=Løype")+COUNTIF(S68:DA68,"Arr")</f>
        <v>0</v>
      </c>
      <c r="I68" s="610"/>
      <c r="J68" s="632">
        <f>S68+V68+Y68+AB68+AE68+AH68+AK68+AN68+AQ68+AT68+AW68+AZ68+BC68+BF68+BI68+BL68+BO68+BR68+BU68+BX68+CA68+CD68+CG68+CJ68+CM68+CP68+CS68+CV68+CY68</f>
        <v>732</v>
      </c>
      <c r="K68" s="633">
        <f>T68+W68+Z68+AC68+AF68+AI68+AL68+AO68+AR68+AU68+AX68+BA68+BD68+BG68+BJ68+BM68+BP68+BS68+BV68+BY68+CB68+CE68+CH68+CK68+CN68+CQ68+CT68+CW68+CZ68</f>
        <v>651</v>
      </c>
      <c r="L68" s="613"/>
      <c r="M68" s="658">
        <f>IF($G68&gt;0,J68/G68,0)</f>
        <v>61</v>
      </c>
      <c r="N68" s="659">
        <f>IF($G68&gt;0,K68/$G68,0)</f>
        <v>54.25</v>
      </c>
      <c r="O68" s="862"/>
      <c r="P68" s="874">
        <f>IF(AND($G68&gt;$Q$3-1,$G68-$H68&gt;0),M68,0)</f>
        <v>61</v>
      </c>
      <c r="Q68" s="875">
        <f>IF(AND($G68&gt;$Q$3-1,$G68-$H68&gt;0),N68,0)</f>
        <v>54.25</v>
      </c>
      <c r="R68" s="613"/>
      <c r="S68" s="628">
        <f>_xlfn.XLOOKUP($E68,'Løp 1'!$E$10:$E$90,'Løp 1'!$M$10:$M$90,0)</f>
        <v>67</v>
      </c>
      <c r="T68" s="629">
        <f>_xlfn.XLOOKUP($E68,'Løp 1'!$E$10:$E$90,'Løp 1'!$O$10:$O$90,0)</f>
        <v>59</v>
      </c>
      <c r="U68" s="629">
        <f>_xlfn.XLOOKUP($E68,'Løp 1'!$E$10:$E$90,'Løp 1'!$L$10:$L$90,0)</f>
        <v>1.1997126436781609E-2</v>
      </c>
      <c r="V68" s="628">
        <f>_xlfn.XLOOKUP($E68,'Løp 2'!$E$10:$E$90,'Løp 2'!$M$10:$M$90,0)</f>
        <v>0</v>
      </c>
      <c r="W68" s="629">
        <f>_xlfn.XLOOKUP($E68,'Løp 2'!$E$10:$E$90,'Løp 2'!$O$10:$O$90,0)</f>
        <v>0</v>
      </c>
      <c r="X68" s="629">
        <f>_xlfn.XLOOKUP($E68,'Løp 2'!$E$10:$E$90,'Løp 2'!$L$10:$L$90,0)</f>
        <v>0</v>
      </c>
      <c r="Y68" s="628">
        <f>_xlfn.XLOOKUP($E68,'Løp 3'!$E$10:$E$90,'Løp 3'!$M$10:$M$90,0)</f>
        <v>0</v>
      </c>
      <c r="Z68" s="629">
        <f>_xlfn.XLOOKUP($E68,'Løp 3'!$E$10:$E$90,'Løp 3'!$O$10:$O$90,0)</f>
        <v>0</v>
      </c>
      <c r="AA68" s="629">
        <f>_xlfn.XLOOKUP($E68,'Løp 3'!$E$10:$E$90,'Løp 3'!$L$10:$L$90,0)</f>
        <v>0</v>
      </c>
      <c r="AB68" s="628">
        <f>_xlfn.XLOOKUP($E68,'Løp 4'!$E$10:$E$90,'Løp 4'!$M$10:$M$90,0)</f>
        <v>50</v>
      </c>
      <c r="AC68" s="629">
        <f>_xlfn.XLOOKUP($E68,'Løp 4'!$E$10:$E$90,'Løp 4'!$O$10:$O$90,0)</f>
        <v>50</v>
      </c>
      <c r="AD68" s="629">
        <f>_xlfn.XLOOKUP($E68,'Løp 4'!$E$10:$E$90,'Løp 4'!$L$10:$L$90,0)</f>
        <v>1.3898953301127217E-2</v>
      </c>
      <c r="AE68" s="628">
        <f>_xlfn.XLOOKUP($E68,'Løp 5'!$E$10:$E$90,'Løp 5'!$M$10:$M$90,0)</f>
        <v>68</v>
      </c>
      <c r="AF68" s="629">
        <f>_xlfn.XLOOKUP($E68,'Løp 5'!$E$10:$E$90,'Løp 5'!$O$10:$O$90,0)</f>
        <v>57</v>
      </c>
      <c r="AG68" s="629">
        <f>_xlfn.XLOOKUP($E68,'Løp 5'!$E$10:$E$90,'Løp 5'!$L$10:$L$90,0)</f>
        <v>1.0566700960219479E-2</v>
      </c>
      <c r="AH68" s="628">
        <f>_xlfn.XLOOKUP($E68,'Løp 6'!$E$10:$E$90,'Løp 6'!$M$10:$M$90,0)</f>
        <v>0</v>
      </c>
      <c r="AI68" s="629">
        <f>_xlfn.XLOOKUP($E68,'Løp 6'!$E$10:$E$90,'Løp 6'!$O$10:$O$90,0)</f>
        <v>0</v>
      </c>
      <c r="AJ68" s="629">
        <f>_xlfn.XLOOKUP($E68,'Løp 6'!$E$10:$E$90,'Løp 6'!$L$10:$L$90,0)</f>
        <v>0</v>
      </c>
      <c r="AK68" s="628">
        <f>_xlfn.XLOOKUP($E68,'Løp 7'!$E$10:$E$90,'Løp 7'!$M$10:$M$90,0)</f>
        <v>0</v>
      </c>
      <c r="AL68" s="629">
        <f>_xlfn.XLOOKUP($E68,'Løp 7'!$E$10:$E$90,'Løp 7'!$O$10:$O$90,0)</f>
        <v>0</v>
      </c>
      <c r="AM68" s="629">
        <f>_xlfn.XLOOKUP($E68,'Løp 7'!$E$10:$E$90,'Løp 7'!$L$10:$L$90,0)</f>
        <v>0</v>
      </c>
      <c r="AN68" s="628">
        <f>_xlfn.XLOOKUP($E68,'Løp 8'!$E$10:$E$91,'Løp 8'!$M$10:$M$91,0)</f>
        <v>0</v>
      </c>
      <c r="AO68" s="629">
        <f>_xlfn.XLOOKUP($E68,'Løp 8'!$E$10:$E$91,'Løp 8'!$O$10:$O$91,0)</f>
        <v>0</v>
      </c>
      <c r="AP68" s="629">
        <f>_xlfn.XLOOKUP($E68,'Løp 8'!$E$10:$E$91,'Løp 8'!$L$10:$L$91,0)</f>
        <v>0</v>
      </c>
      <c r="AQ68" s="628">
        <f>_xlfn.XLOOKUP($E68,'Løp 9'!$E$10:$E$91,'Løp 9'!$M$10:$M$91,0)</f>
        <v>0</v>
      </c>
      <c r="AR68" s="629">
        <f>_xlfn.XLOOKUP($E68,'Løp 9'!$E$10:$E$91,'Løp 9'!$O$10:$O$91,0)</f>
        <v>0</v>
      </c>
      <c r="AS68" s="629">
        <f>_xlfn.XLOOKUP($E68,'Løp 9'!$E$10:$E$91,'Løp 9'!$L$10:$L$91,0)</f>
        <v>0</v>
      </c>
      <c r="AT68" s="628">
        <f>_xlfn.XLOOKUP($E68,'Løp 10'!$E$10:$E$91,'Løp 10'!$M$10:$M$91,0)</f>
        <v>50</v>
      </c>
      <c r="AU68" s="629">
        <f>_xlfn.XLOOKUP($E68,'Løp 10'!$E$10:$E$91,'Løp 10'!$O$10:$O$91,0)</f>
        <v>50</v>
      </c>
      <c r="AV68" s="629" t="str">
        <f>_xlfn.XLOOKUP($E68,'Løp 10'!$E$10:$E$91,'Løp 10'!$L$10:$L$91,0)</f>
        <v>Brutt</v>
      </c>
      <c r="AW68" s="628">
        <f>_xlfn.XLOOKUP($E68,'Løp 11'!$E$10:$E$91,'Løp 11'!$M$10:$M$91,0)</f>
        <v>76</v>
      </c>
      <c r="AX68" s="629">
        <f>_xlfn.XLOOKUP($E68,'Løp 11'!$E$10:$E$91,'Løp 11'!$O$10:$O$91,0)</f>
        <v>65</v>
      </c>
      <c r="AY68" s="629">
        <f>_xlfn.XLOOKUP($E68,'Løp 11'!$E$10:$E$91,'Løp 11'!$L$10:$L$91,0)</f>
        <v>9.6906565656565639E-3</v>
      </c>
      <c r="AZ68" s="628">
        <f>_xlfn.XLOOKUP($E68,'Løp 12'!$E$10:$E$91,'Løp 12'!$M$10:$M$91,0)</f>
        <v>0</v>
      </c>
      <c r="BA68" s="629">
        <f>_xlfn.XLOOKUP($E68,'Løp 12'!$E$10:$E$91,'Løp 12'!$O$10:$O$91,0)</f>
        <v>0</v>
      </c>
      <c r="BB68" s="629">
        <f>_xlfn.XLOOKUP($E68,'Løp 12'!$E$10:$E$91,'Løp 12'!$L$10:$L$91,0)</f>
        <v>0</v>
      </c>
      <c r="BC68" s="628">
        <f>_xlfn.XLOOKUP($E68,'Løp 13'!$E$10:$E$91,'Løp 13'!$M$10:$M$91,0)</f>
        <v>0</v>
      </c>
      <c r="BD68" s="629">
        <f>_xlfn.XLOOKUP($E68,'Løp 13'!$E$10:$E$91,'Løp 13'!$O$10:$O$91,0)</f>
        <v>0</v>
      </c>
      <c r="BE68" s="629">
        <f>_xlfn.XLOOKUP($E68,'Løp 13'!$E$10:$E$91,'Løp 13'!$L$10:$L$91,0)</f>
        <v>0</v>
      </c>
      <c r="BF68" s="628">
        <f>_xlfn.XLOOKUP($E68,'Løp 14'!$E$10:$E$91,'Løp 14'!$M$10:$M$91,0)</f>
        <v>0</v>
      </c>
      <c r="BG68" s="629">
        <f>_xlfn.XLOOKUP($E68,'Løp 14'!$E$10:$E$91,'Løp 14'!$O$10:$O$91,0)</f>
        <v>0</v>
      </c>
      <c r="BH68" s="629">
        <f>_xlfn.XLOOKUP($E68,'Løp 14'!$E$10:$E$91,'Løp 14'!$L$10:$L$91,0)</f>
        <v>0</v>
      </c>
      <c r="BI68" s="628">
        <f>_xlfn.XLOOKUP($E68,'Løp 15'!$E$10:$E$91,'Løp 15'!$M$10:$M$91,0)</f>
        <v>63</v>
      </c>
      <c r="BJ68" s="629">
        <f>_xlfn.XLOOKUP($E68,'Løp 15'!$E$10:$E$91,'Løp 15'!$O$10:$O$91,0)</f>
        <v>50</v>
      </c>
      <c r="BK68" s="629">
        <f>_xlfn.XLOOKUP($E68,'Løp 15'!$E$10:$E$91,'Løp 15'!$L$10:$L$91,0)</f>
        <v>1.3701499118165785E-2</v>
      </c>
      <c r="BL68" s="628">
        <f>_xlfn.XLOOKUP($E68,'Løp 16'!$E$10:$E$91,'Løp 16'!$M$10:$M$91,0)</f>
        <v>60</v>
      </c>
      <c r="BM68" s="629">
        <f>_xlfn.XLOOKUP($E68,'Løp 16'!$E$10:$E$91,'Løp 16'!$O$10:$O$91,0)</f>
        <v>53</v>
      </c>
      <c r="BN68" s="629">
        <f>_xlfn.XLOOKUP($E68,'Løp 16'!$E$10:$E$91,'Løp 16'!$L$10:$L$91,0)</f>
        <v>1.1397946859903382E-2</v>
      </c>
      <c r="BO68" s="628">
        <f>_xlfn.XLOOKUP($E68,'Løp 17'!$E$10:$E$91,'Løp 17'!$M$10:$M$91,0)</f>
        <v>0</v>
      </c>
      <c r="BP68" s="629">
        <f>_xlfn.XLOOKUP($E68,'Løp 17'!$E$10:$E$91,'Løp 17'!$O$10:$O$91,0)</f>
        <v>0</v>
      </c>
      <c r="BQ68" s="629">
        <f>_xlfn.XLOOKUP($E68,'Løp 17'!$E$10:$E$91,'Løp 17'!$L$10:$L$91,0)</f>
        <v>0</v>
      </c>
      <c r="BR68" s="628">
        <f>_xlfn.XLOOKUP($E68,'Løp 18'!$E$10:$E$91,'Løp 18'!$M$10:$M$91,0)</f>
        <v>0</v>
      </c>
      <c r="BS68" s="629">
        <f>_xlfn.XLOOKUP($E68,'Løp 18'!$E$10:$E$91,'Løp 18'!$O$10:$O$91,0)</f>
        <v>0</v>
      </c>
      <c r="BT68" s="629">
        <f>_xlfn.XLOOKUP($E68,'Løp 18'!$E$10:$E$91,'Løp 18'!$L$10:$L$91,0)</f>
        <v>0</v>
      </c>
      <c r="BU68" s="628">
        <f>_xlfn.XLOOKUP($E68,'Løp 19'!$E$10:$E$91,'Løp 19'!$M$10:$M$91,0)</f>
        <v>0</v>
      </c>
      <c r="BV68" s="629">
        <f>_xlfn.XLOOKUP($E68,'Løp 19'!$E$10:$E$91,'Løp 19'!$O$10:$O$91,0)</f>
        <v>0</v>
      </c>
      <c r="BW68" s="629">
        <f>_xlfn.XLOOKUP($E68,'Løp 19'!$E$10:$E$91,'Løp 19'!$L$10:$L$91,0)</f>
        <v>0</v>
      </c>
      <c r="BX68" s="628">
        <f>_xlfn.XLOOKUP($E68,'Løp 20'!$E$10:$E$92,'Løp 20'!$M$10:$M$92,0)</f>
        <v>69</v>
      </c>
      <c r="BY68" s="629">
        <f>_xlfn.XLOOKUP($E68,'Løp 20'!$E$10:$E$92,'Løp 20'!$O$10:$O$92,0)</f>
        <v>57</v>
      </c>
      <c r="BZ68" s="629">
        <f>_xlfn.XLOOKUP($E68,'Løp 20'!$E$10:$E$92,'Løp 20'!$L$10:$L$92,0)</f>
        <v>1.1177248677248676E-2</v>
      </c>
      <c r="CA68" s="628">
        <f>_xlfn.XLOOKUP($E68,'Løp 21'!$E$10:$E$93,'Løp 21'!$M$10:$M$93,0)</f>
        <v>0</v>
      </c>
      <c r="CB68" s="629">
        <f>_xlfn.XLOOKUP($E68,'Løp 21'!$E$10:$E$93,'Løp 21'!$O$10:$O$93,0)</f>
        <v>0</v>
      </c>
      <c r="CC68" s="629">
        <f>_xlfn.XLOOKUP($E68,'Løp 21'!$E$10:$E$93,'Løp 21'!$L$10:$L$93,0)</f>
        <v>0</v>
      </c>
      <c r="CD68" s="628">
        <f>_xlfn.XLOOKUP($E68,'Løp 22'!$E$10:$E$93,'Løp 22'!$M$10:$M$93,0)</f>
        <v>60</v>
      </c>
      <c r="CE68" s="629">
        <f>_xlfn.XLOOKUP($E68,'Løp 22'!$E$10:$E$93,'Løp 22'!$O$10:$O$93,0)</f>
        <v>51</v>
      </c>
      <c r="CF68" s="629">
        <f>_xlfn.XLOOKUP($E68,'Løp 22'!$E$10:$E$93,'Løp 22'!$L$10:$L$93,0)</f>
        <v>1.1552028218694884E-2</v>
      </c>
      <c r="CG68" s="628">
        <f>_xlfn.XLOOKUP($E68,'Løp 23'!$E$10:$E$93,'Løp 23'!$M$10:$M$93,0)</f>
        <v>50</v>
      </c>
      <c r="CH68" s="629">
        <f>_xlfn.XLOOKUP($E68,'Løp 23'!$E$10:$E$93,'Løp 23'!$O$10:$O$93,0)</f>
        <v>50</v>
      </c>
      <c r="CI68" s="629">
        <f>_xlfn.XLOOKUP($E68,'Løp 23'!$E$10:$E$93,'Løp 23'!$L$10:$L$93,0)</f>
        <v>1.305298353909465E-2</v>
      </c>
      <c r="CJ68" s="628">
        <f>_xlfn.XLOOKUP($E68,'Løp 24'!$E$10:$E$93,'Løp 24'!$M$10:$M$93,0)</f>
        <v>0</v>
      </c>
      <c r="CK68" s="629">
        <f>_xlfn.XLOOKUP($E68,'Løp 24'!$E$10:$E$93,'Løp 24'!$O$10:$O$93,0)</f>
        <v>0</v>
      </c>
      <c r="CL68" s="629">
        <f>_xlfn.XLOOKUP($E68,'Løp 24'!$E$10:$E$93,'Løp 24'!$L$10:$L$93,0)</f>
        <v>0</v>
      </c>
      <c r="CM68" s="628">
        <f>_xlfn.XLOOKUP($E68,'Løp 25'!$E$10:$E$94,'Løp 25'!$M$10:$M$94,0)</f>
        <v>0</v>
      </c>
      <c r="CN68" s="629">
        <f>_xlfn.XLOOKUP($E68,'Løp 25'!$E$10:$E$94,'Løp 25'!$O$10:$O$94,0)</f>
        <v>0</v>
      </c>
      <c r="CO68" s="629">
        <f>_xlfn.XLOOKUP($E68,'Løp 25'!$E$10:$E$94,'Løp 25'!$L$10:$L$94,0)</f>
        <v>0</v>
      </c>
      <c r="CP68" s="628">
        <f>_xlfn.XLOOKUP($E68,'Løp 26'!$E$10:$E$94,'Løp 26'!$M$10:$M$94,0)</f>
        <v>0</v>
      </c>
      <c r="CQ68" s="629">
        <f>_xlfn.XLOOKUP($E68,'Løp 26'!$E$10:$E$94,'Løp 26'!$O$10:$O$94,0)</f>
        <v>0</v>
      </c>
      <c r="CR68" s="629">
        <f>_xlfn.XLOOKUP($E68,'Løp 26'!$E$10:$E$94,'Løp 26'!$L$10:$L$94,0)</f>
        <v>0</v>
      </c>
      <c r="CS68" s="628">
        <f>_xlfn.XLOOKUP($E68,'Løp 27'!$E$10:$E$94,'Løp 27'!$M$10:$M$94,0)</f>
        <v>50</v>
      </c>
      <c r="CT68" s="629">
        <f>_xlfn.XLOOKUP($E68,'Løp 27'!$E$10:$E$94,'Løp 27'!$O$10:$O$94,0)</f>
        <v>50</v>
      </c>
      <c r="CU68" s="629" t="str">
        <f>_xlfn.XLOOKUP($E68,'Løp 27'!$E$10:$E$94,'Løp 27'!$L$10:$L$94,0)</f>
        <v>Disk</v>
      </c>
      <c r="CV68" s="628">
        <f>_xlfn.XLOOKUP($E68,'Løp 28'!$E$10:$E$95,'Løp 28'!$M$10:$M$95,0)</f>
        <v>0</v>
      </c>
      <c r="CW68" s="629">
        <f>_xlfn.XLOOKUP($E68,'Løp 28'!$E$10:$E$95,'Løp 28'!$O$10:$O$95,0)</f>
        <v>0</v>
      </c>
      <c r="CX68" s="629">
        <f>_xlfn.XLOOKUP($E68,'Løp 28'!$E$10:$E$95,'Løp 28'!$L$10:$L$95,0)</f>
        <v>0</v>
      </c>
      <c r="CY68" s="628">
        <f>_xlfn.XLOOKUP($E68,'Løp 29'!$E$10:$E$95,'Løp 29'!$M$10:$M$95,0)</f>
        <v>69</v>
      </c>
      <c r="CZ68" s="629">
        <f>_xlfn.XLOOKUP($E68,'Løp 29'!$E$10:$E$95,'Løp 29'!$O$10:$O$95,0)</f>
        <v>59</v>
      </c>
      <c r="DA68" s="629">
        <f>_xlfn.XLOOKUP($E68,'Løp 29'!$E$10:$E$95,'Løp 29'!$L$10:$L$95,0)</f>
        <v>1.0597511574074073E-2</v>
      </c>
    </row>
    <row r="69" spans="2:105" ht="26" customHeight="1" thickBot="1" x14ac:dyDescent="0.3">
      <c r="B69" s="627">
        <f t="shared" si="0"/>
        <v>60</v>
      </c>
      <c r="C69" s="119" t="s">
        <v>411</v>
      </c>
      <c r="D69" s="620" t="s">
        <v>412</v>
      </c>
      <c r="E69" s="616" t="str">
        <f>_xlfn.CONCAT(C69:D69)</f>
        <v>HenrySundsetvik</v>
      </c>
      <c r="F69" s="610"/>
      <c r="G69" s="653">
        <f>COUNTIF(S69:DA69,"&gt;2")/2</f>
        <v>5</v>
      </c>
      <c r="H69" s="852">
        <f>COUNTIF(S69:DA69,"=Løype")+COUNTIF(S69:DA69,"Arr")</f>
        <v>0</v>
      </c>
      <c r="I69" s="610"/>
      <c r="J69" s="632">
        <f>S69+V69+Y69+AB69+AE69+AH69+AK69+AN69+AQ69+AT69+AW69+AZ69+BC69+BF69+BI69+BL69+BO69+BR69+BU69+BX69+CA69+CD69+CG69+CJ69+CM69+CP69+CS69+CV69+CY69</f>
        <v>250</v>
      </c>
      <c r="K69" s="633">
        <f>T69+W69+Z69+AC69+AF69+AI69+AL69+AO69+AR69+AU69+AX69+BA69+BD69+BG69+BJ69+BM69+BP69+BS69+BV69+BY69+CB69+CE69+CH69+CK69+CN69+CQ69+CT69+CW69+CZ69</f>
        <v>271</v>
      </c>
      <c r="L69" s="613"/>
      <c r="M69" s="658">
        <f>IF($G69&gt;0,J69/G69,0)</f>
        <v>50</v>
      </c>
      <c r="N69" s="659">
        <f>IF($G69&gt;0,K69/$G69,0)</f>
        <v>54.2</v>
      </c>
      <c r="O69" s="862"/>
      <c r="P69" s="874">
        <f>IF(AND($G69&gt;$Q$3-1,$G69-$H69&gt;0),M69,0)</f>
        <v>50</v>
      </c>
      <c r="Q69" s="875">
        <f>IF(AND($G69&gt;$Q$3-1,$G69-$H69&gt;0),N69,0)</f>
        <v>54.2</v>
      </c>
      <c r="R69" s="613"/>
      <c r="S69" s="628">
        <f>_xlfn.XLOOKUP($E69,'Løp 1'!$E$10:$E$90,'Løp 1'!$M$10:$M$90,0)</f>
        <v>0</v>
      </c>
      <c r="T69" s="629">
        <f>_xlfn.XLOOKUP($E69,'Løp 1'!$E$10:$E$90,'Løp 1'!$O$10:$O$90,0)</f>
        <v>0</v>
      </c>
      <c r="U69" s="629">
        <f>_xlfn.XLOOKUP($E69,'Løp 1'!$E$10:$E$90,'Løp 1'!$L$10:$L$90,0)</f>
        <v>0</v>
      </c>
      <c r="V69" s="628">
        <f>_xlfn.XLOOKUP($E69,'Løp 2'!$E$10:$E$90,'Løp 2'!$M$10:$M$90,0)</f>
        <v>0</v>
      </c>
      <c r="W69" s="629">
        <f>_xlfn.XLOOKUP($E69,'Løp 2'!$E$10:$E$90,'Løp 2'!$O$10:$O$90,0)</f>
        <v>0</v>
      </c>
      <c r="X69" s="629">
        <f>_xlfn.XLOOKUP($E69,'Løp 2'!$E$10:$E$90,'Løp 2'!$L$10:$L$90,0)</f>
        <v>0</v>
      </c>
      <c r="Y69" s="628">
        <f>_xlfn.XLOOKUP($E69,'Løp 3'!$E$10:$E$90,'Løp 3'!$M$10:$M$90,0)</f>
        <v>0</v>
      </c>
      <c r="Z69" s="629">
        <f>_xlfn.XLOOKUP($E69,'Løp 3'!$E$10:$E$90,'Løp 3'!$O$10:$O$90,0)</f>
        <v>0</v>
      </c>
      <c r="AA69" s="629">
        <f>_xlfn.XLOOKUP($E69,'Løp 3'!$E$10:$E$90,'Løp 3'!$L$10:$L$90,0)</f>
        <v>0</v>
      </c>
      <c r="AB69" s="628">
        <f>_xlfn.XLOOKUP($E69,'Løp 4'!$E$10:$E$90,'Løp 4'!$M$10:$M$90,0)</f>
        <v>0</v>
      </c>
      <c r="AC69" s="629">
        <f>_xlfn.XLOOKUP($E69,'Løp 4'!$E$10:$E$90,'Løp 4'!$O$10:$O$90,0)</f>
        <v>0</v>
      </c>
      <c r="AD69" s="629">
        <f>_xlfn.XLOOKUP($E69,'Løp 4'!$E$10:$E$90,'Løp 4'!$L$10:$L$90,0)</f>
        <v>0</v>
      </c>
      <c r="AE69" s="628">
        <f>_xlfn.XLOOKUP($E69,'Løp 5'!$E$10:$E$90,'Løp 5'!$M$10:$M$90,0)</f>
        <v>0</v>
      </c>
      <c r="AF69" s="629">
        <f>_xlfn.XLOOKUP($E69,'Løp 5'!$E$10:$E$90,'Løp 5'!$O$10:$O$90,0)</f>
        <v>0</v>
      </c>
      <c r="AG69" s="629">
        <f>_xlfn.XLOOKUP($E69,'Løp 5'!$E$10:$E$90,'Løp 5'!$L$10:$L$90,0)</f>
        <v>0</v>
      </c>
      <c r="AH69" s="628">
        <f>_xlfn.XLOOKUP($E69,'Løp 6'!$E$10:$E$90,'Løp 6'!$M$10:$M$90,0)</f>
        <v>0</v>
      </c>
      <c r="AI69" s="629">
        <f>_xlfn.XLOOKUP($E69,'Løp 6'!$E$10:$E$90,'Løp 6'!$O$10:$O$90,0)</f>
        <v>0</v>
      </c>
      <c r="AJ69" s="629">
        <f>_xlfn.XLOOKUP($E69,'Løp 6'!$E$10:$E$90,'Løp 6'!$L$10:$L$90,0)</f>
        <v>0</v>
      </c>
      <c r="AK69" s="628">
        <f>_xlfn.XLOOKUP($E69,'Løp 7'!$E$10:$E$90,'Løp 7'!$M$10:$M$90,0)</f>
        <v>0</v>
      </c>
      <c r="AL69" s="629">
        <f>_xlfn.XLOOKUP($E69,'Løp 7'!$E$10:$E$90,'Løp 7'!$O$10:$O$90,0)</f>
        <v>0</v>
      </c>
      <c r="AM69" s="629">
        <f>_xlfn.XLOOKUP($E69,'Løp 7'!$E$10:$E$90,'Løp 7'!$L$10:$L$90,0)</f>
        <v>0</v>
      </c>
      <c r="AN69" s="628">
        <f>_xlfn.XLOOKUP($E69,'Løp 8'!$E$10:$E$91,'Løp 8'!$M$10:$M$91,0)</f>
        <v>0</v>
      </c>
      <c r="AO69" s="629">
        <f>_xlfn.XLOOKUP($E69,'Løp 8'!$E$10:$E$91,'Løp 8'!$O$10:$O$91,0)</f>
        <v>0</v>
      </c>
      <c r="AP69" s="629">
        <f>_xlfn.XLOOKUP($E69,'Løp 8'!$E$10:$E$91,'Løp 8'!$L$10:$L$91,0)</f>
        <v>0</v>
      </c>
      <c r="AQ69" s="628">
        <f>_xlfn.XLOOKUP($E69,'Løp 9'!$E$10:$E$91,'Løp 9'!$M$10:$M$91,0)</f>
        <v>0</v>
      </c>
      <c r="AR69" s="629">
        <f>_xlfn.XLOOKUP($E69,'Løp 9'!$E$10:$E$91,'Løp 9'!$O$10:$O$91,0)</f>
        <v>0</v>
      </c>
      <c r="AS69" s="629">
        <f>_xlfn.XLOOKUP($E69,'Løp 9'!$E$10:$E$91,'Løp 9'!$L$10:$L$91,0)</f>
        <v>0</v>
      </c>
      <c r="AT69" s="628">
        <f>_xlfn.XLOOKUP($E69,'Løp 10'!$E$10:$E$91,'Løp 10'!$M$10:$M$91,0)</f>
        <v>0</v>
      </c>
      <c r="AU69" s="629">
        <f>_xlfn.XLOOKUP($E69,'Løp 10'!$E$10:$E$91,'Løp 10'!$O$10:$O$91,0)</f>
        <v>0</v>
      </c>
      <c r="AV69" s="629">
        <f>_xlfn.XLOOKUP($E69,'Løp 10'!$E$10:$E$91,'Løp 10'!$L$10:$L$91,0)</f>
        <v>0</v>
      </c>
      <c r="AW69" s="628">
        <f>_xlfn.XLOOKUP($E69,'Løp 11'!$E$10:$E$91,'Løp 11'!$M$10:$M$91,0)</f>
        <v>0</v>
      </c>
      <c r="AX69" s="629">
        <f>_xlfn.XLOOKUP($E69,'Løp 11'!$E$10:$E$91,'Løp 11'!$O$10:$O$91,0)</f>
        <v>0</v>
      </c>
      <c r="AY69" s="629">
        <f>_xlfn.XLOOKUP($E69,'Løp 11'!$E$10:$E$91,'Løp 11'!$L$10:$L$91,0)</f>
        <v>0</v>
      </c>
      <c r="AZ69" s="628">
        <f>_xlfn.XLOOKUP($E69,'Løp 12'!$E$10:$E$91,'Løp 12'!$M$10:$M$91,0)</f>
        <v>0</v>
      </c>
      <c r="BA69" s="629">
        <f>_xlfn.XLOOKUP($E69,'Løp 12'!$E$10:$E$91,'Løp 12'!$O$10:$O$91,0)</f>
        <v>0</v>
      </c>
      <c r="BB69" s="629">
        <f>_xlfn.XLOOKUP($E69,'Løp 12'!$E$10:$E$91,'Løp 12'!$L$10:$L$91,0)</f>
        <v>0</v>
      </c>
      <c r="BC69" s="628">
        <f>_xlfn.XLOOKUP($E69,'Løp 13'!$E$10:$E$91,'Løp 13'!$M$10:$M$91,0)</f>
        <v>0</v>
      </c>
      <c r="BD69" s="629">
        <f>_xlfn.XLOOKUP($E69,'Løp 13'!$E$10:$E$91,'Løp 13'!$O$10:$O$91,0)</f>
        <v>0</v>
      </c>
      <c r="BE69" s="629">
        <f>_xlfn.XLOOKUP($E69,'Løp 13'!$E$10:$E$91,'Løp 13'!$L$10:$L$91,0)</f>
        <v>0</v>
      </c>
      <c r="BF69" s="628">
        <f>_xlfn.XLOOKUP($E69,'Løp 14'!$E$10:$E$91,'Løp 14'!$M$10:$M$91,0)</f>
        <v>0</v>
      </c>
      <c r="BG69" s="629">
        <f>_xlfn.XLOOKUP($E69,'Løp 14'!$E$10:$E$91,'Løp 14'!$O$10:$O$91,0)</f>
        <v>0</v>
      </c>
      <c r="BH69" s="629">
        <f>_xlfn.XLOOKUP($E69,'Løp 14'!$E$10:$E$91,'Løp 14'!$L$10:$L$91,0)</f>
        <v>0</v>
      </c>
      <c r="BI69" s="628">
        <f>_xlfn.XLOOKUP($E69,'Løp 15'!$E$10:$E$91,'Løp 15'!$M$10:$M$91,0)</f>
        <v>0</v>
      </c>
      <c r="BJ69" s="629">
        <f>_xlfn.XLOOKUP($E69,'Løp 15'!$E$10:$E$91,'Løp 15'!$O$10:$O$91,0)</f>
        <v>0</v>
      </c>
      <c r="BK69" s="629">
        <f>_xlfn.XLOOKUP($E69,'Løp 15'!$E$10:$E$91,'Løp 15'!$L$10:$L$91,0)</f>
        <v>0</v>
      </c>
      <c r="BL69" s="628">
        <f>_xlfn.XLOOKUP($E69,'Løp 16'!$E$10:$E$91,'Løp 16'!$M$10:$M$91,0)</f>
        <v>0</v>
      </c>
      <c r="BM69" s="629">
        <f>_xlfn.XLOOKUP($E69,'Løp 16'!$E$10:$E$91,'Løp 16'!$O$10:$O$91,0)</f>
        <v>0</v>
      </c>
      <c r="BN69" s="629">
        <f>_xlfn.XLOOKUP($E69,'Løp 16'!$E$10:$E$91,'Løp 16'!$L$10:$L$91,0)</f>
        <v>0</v>
      </c>
      <c r="BO69" s="628">
        <f>_xlfn.XLOOKUP($E69,'Løp 17'!$E$10:$E$91,'Løp 17'!$M$10:$M$91,0)</f>
        <v>0</v>
      </c>
      <c r="BP69" s="629">
        <f>_xlfn.XLOOKUP($E69,'Løp 17'!$E$10:$E$91,'Løp 17'!$O$10:$O$91,0)</f>
        <v>0</v>
      </c>
      <c r="BQ69" s="629">
        <f>_xlfn.XLOOKUP($E69,'Løp 17'!$E$10:$E$91,'Løp 17'!$L$10:$L$91,0)</f>
        <v>0</v>
      </c>
      <c r="BR69" s="628">
        <f>_xlfn.XLOOKUP($E69,'Løp 18'!$E$10:$E$91,'Løp 18'!$M$10:$M$91,0)</f>
        <v>0</v>
      </c>
      <c r="BS69" s="629">
        <f>_xlfn.XLOOKUP($E69,'Løp 18'!$E$10:$E$91,'Løp 18'!$O$10:$O$91,0)</f>
        <v>0</v>
      </c>
      <c r="BT69" s="629">
        <f>_xlfn.XLOOKUP($E69,'Løp 18'!$E$10:$E$91,'Løp 18'!$L$10:$L$91,0)</f>
        <v>0</v>
      </c>
      <c r="BU69" s="628">
        <f>_xlfn.XLOOKUP($E69,'Løp 19'!$E$10:$E$91,'Løp 19'!$M$10:$M$91,0)</f>
        <v>0</v>
      </c>
      <c r="BV69" s="629">
        <f>_xlfn.XLOOKUP($E69,'Løp 19'!$E$10:$E$91,'Løp 19'!$O$10:$O$91,0)</f>
        <v>0</v>
      </c>
      <c r="BW69" s="629">
        <f>_xlfn.XLOOKUP($E69,'Løp 19'!$E$10:$E$91,'Løp 19'!$L$10:$L$91,0)</f>
        <v>0</v>
      </c>
      <c r="BX69" s="628">
        <f>_xlfn.XLOOKUP($E69,'Løp 20'!$E$10:$E$92,'Løp 20'!$M$10:$M$92,0)</f>
        <v>0</v>
      </c>
      <c r="BY69" s="629">
        <f>_xlfn.XLOOKUP($E69,'Løp 20'!$E$10:$E$92,'Løp 20'!$O$10:$O$92,0)</f>
        <v>0</v>
      </c>
      <c r="BZ69" s="629">
        <f>_xlfn.XLOOKUP($E69,'Løp 20'!$E$10:$E$92,'Løp 20'!$L$10:$L$92,0)</f>
        <v>0</v>
      </c>
      <c r="CA69" s="628">
        <f>_xlfn.XLOOKUP($E69,'Løp 21'!$E$10:$E$93,'Løp 21'!$M$10:$M$93,0)</f>
        <v>0</v>
      </c>
      <c r="CB69" s="629">
        <f>_xlfn.XLOOKUP($E69,'Løp 21'!$E$10:$E$93,'Løp 21'!$O$10:$O$93,0)</f>
        <v>0</v>
      </c>
      <c r="CC69" s="629">
        <f>_xlfn.XLOOKUP($E69,'Løp 21'!$E$10:$E$93,'Løp 21'!$L$10:$L$93,0)</f>
        <v>0</v>
      </c>
      <c r="CD69" s="628">
        <f>_xlfn.XLOOKUP($E69,'Løp 22'!$E$10:$E$93,'Løp 22'!$M$10:$M$93,0)</f>
        <v>0</v>
      </c>
      <c r="CE69" s="629">
        <f>_xlfn.XLOOKUP($E69,'Løp 22'!$E$10:$E$93,'Løp 22'!$O$10:$O$93,0)</f>
        <v>0</v>
      </c>
      <c r="CF69" s="629">
        <f>_xlfn.XLOOKUP($E69,'Løp 22'!$E$10:$E$93,'Løp 22'!$L$10:$L$93,0)</f>
        <v>0</v>
      </c>
      <c r="CG69" s="628">
        <f>_xlfn.XLOOKUP($E69,'Løp 23'!$E$10:$E$93,'Løp 23'!$M$10:$M$93,0)</f>
        <v>0</v>
      </c>
      <c r="CH69" s="629">
        <f>_xlfn.XLOOKUP($E69,'Løp 23'!$E$10:$E$93,'Løp 23'!$O$10:$O$93,0)</f>
        <v>0</v>
      </c>
      <c r="CI69" s="629">
        <f>_xlfn.XLOOKUP($E69,'Løp 23'!$E$10:$E$93,'Løp 23'!$L$10:$L$93,0)</f>
        <v>0</v>
      </c>
      <c r="CJ69" s="628">
        <f>_xlfn.XLOOKUP($E69,'Løp 24'!$E$10:$E$93,'Løp 24'!$M$10:$M$93,0)</f>
        <v>0</v>
      </c>
      <c r="CK69" s="629">
        <f>_xlfn.XLOOKUP($E69,'Løp 24'!$E$10:$E$93,'Løp 24'!$O$10:$O$93,0)</f>
        <v>0</v>
      </c>
      <c r="CL69" s="629">
        <f>_xlfn.XLOOKUP($E69,'Løp 24'!$E$10:$E$93,'Løp 24'!$L$10:$L$93,0)</f>
        <v>0</v>
      </c>
      <c r="CM69" s="628">
        <f>_xlfn.XLOOKUP($E69,'Løp 25'!$E$10:$E$94,'Løp 25'!$M$10:$M$94,0)</f>
        <v>50</v>
      </c>
      <c r="CN69" s="629">
        <f>_xlfn.XLOOKUP($E69,'Løp 25'!$E$10:$E$94,'Løp 25'!$O$10:$O$94,0)</f>
        <v>50</v>
      </c>
      <c r="CO69" s="629">
        <f>_xlfn.XLOOKUP($E69,'Løp 25'!$E$10:$E$94,'Løp 25'!$L$10:$L$94,0)</f>
        <v>2.2987397119341564E-2</v>
      </c>
      <c r="CP69" s="628">
        <f>_xlfn.XLOOKUP($E69,'Løp 26'!$E$10:$E$94,'Løp 26'!$M$10:$M$94,0)</f>
        <v>50</v>
      </c>
      <c r="CQ69" s="629">
        <f>_xlfn.XLOOKUP($E69,'Løp 26'!$E$10:$E$94,'Løp 26'!$O$10:$O$94,0)</f>
        <v>66</v>
      </c>
      <c r="CR69" s="629">
        <f>_xlfn.XLOOKUP($E69,'Løp 26'!$E$10:$E$94,'Løp 26'!$L$10:$L$94,0)</f>
        <v>1.5883190883190883E-2</v>
      </c>
      <c r="CS69" s="628">
        <f>_xlfn.XLOOKUP($E69,'Løp 27'!$E$10:$E$94,'Løp 27'!$M$10:$M$94,0)</f>
        <v>50</v>
      </c>
      <c r="CT69" s="629">
        <f>_xlfn.XLOOKUP($E69,'Løp 27'!$E$10:$E$94,'Løp 27'!$O$10:$O$94,0)</f>
        <v>51</v>
      </c>
      <c r="CU69" s="629">
        <f>_xlfn.XLOOKUP($E69,'Løp 27'!$E$10:$E$94,'Løp 27'!$L$10:$L$94,0)</f>
        <v>2.0158179012345682E-2</v>
      </c>
      <c r="CV69" s="628">
        <f>_xlfn.XLOOKUP($E69,'Løp 28'!$E$10:$E$95,'Løp 28'!$M$10:$M$95,0)</f>
        <v>50</v>
      </c>
      <c r="CW69" s="629">
        <f>_xlfn.XLOOKUP($E69,'Løp 28'!$E$10:$E$95,'Løp 28'!$O$10:$O$95,0)</f>
        <v>54</v>
      </c>
      <c r="CX69" s="629">
        <f>_xlfn.XLOOKUP($E69,'Løp 28'!$E$10:$E$95,'Løp 28'!$L$10:$L$95,0)</f>
        <v>1.8778935185185187E-2</v>
      </c>
      <c r="CY69" s="628">
        <f>_xlfn.XLOOKUP($E69,'Løp 29'!$E$10:$E$95,'Løp 29'!$M$10:$M$95,0)</f>
        <v>50</v>
      </c>
      <c r="CZ69" s="629">
        <f>_xlfn.XLOOKUP($E69,'Løp 29'!$E$10:$E$95,'Løp 29'!$O$10:$O$95,0)</f>
        <v>50</v>
      </c>
      <c r="DA69" s="629">
        <f>_xlfn.XLOOKUP($E69,'Løp 29'!$E$10:$E$95,'Løp 29'!$L$10:$L$95,0)</f>
        <v>2.1440972222222219E-2</v>
      </c>
    </row>
    <row r="70" spans="2:105" ht="26" thickBot="1" x14ac:dyDescent="0.3">
      <c r="B70" s="627">
        <f t="shared" si="0"/>
        <v>61</v>
      </c>
      <c r="C70" s="119" t="s">
        <v>155</v>
      </c>
      <c r="D70" s="620" t="s">
        <v>156</v>
      </c>
      <c r="E70" s="616" t="str">
        <f>_xlfn.CONCAT(C70:D70)</f>
        <v>KjellrunSporild</v>
      </c>
      <c r="F70" s="610"/>
      <c r="G70" s="653">
        <f>COUNTIF(S70:DA70,"&gt;2")/2</f>
        <v>2</v>
      </c>
      <c r="H70" s="852">
        <f>COUNTIF(S70:DA70,"=Løype")+COUNTIF(S70:DA70,"Arr")</f>
        <v>0</v>
      </c>
      <c r="I70" s="610"/>
      <c r="J70" s="632">
        <f>S70+V70+Y70+AB70+AE70+AH70+AK70+AN70+AQ70+AT70+AW70+AZ70+BC70+BF70+BI70+BL70+BO70+BR70+BU70+BX70+CA70+CD70+CG70+CJ70+CM70+CP70+CS70+CV70+CY70</f>
        <v>180</v>
      </c>
      <c r="K70" s="633">
        <f>T70+W70+Z70+AC70+AF70+AI70+AL70+AO70+AR70+AU70+AX70+BA70+BD70+BG70+BJ70+BM70+BP70+BS70+BV70+BY70+CB70+CE70+CH70+CK70+CN70+CQ70+CT70+CW70+CZ70</f>
        <v>200</v>
      </c>
      <c r="L70" s="613"/>
      <c r="M70" s="658">
        <f>IF($G70&gt;0,J70/G70,0)</f>
        <v>90</v>
      </c>
      <c r="N70" s="659">
        <f>IF($G70&gt;0,K70/$G70,0)</f>
        <v>100</v>
      </c>
      <c r="O70" s="862"/>
      <c r="P70" s="874">
        <f>IF(AND($G70&gt;$Q$3-1,$G70-$H70&gt;0),M70,0)</f>
        <v>0</v>
      </c>
      <c r="Q70" s="875">
        <f>IF(AND($G70&gt;$Q$3-1,$G70-$H70&gt;0),N70,0)</f>
        <v>0</v>
      </c>
      <c r="R70" s="613"/>
      <c r="S70" s="628">
        <f>_xlfn.XLOOKUP($E70,'Løp 1'!$E$10:$E$90,'Løp 1'!$M$10:$M$90,0)</f>
        <v>0</v>
      </c>
      <c r="T70" s="629">
        <f>_xlfn.XLOOKUP($E70,'Løp 1'!$E$10:$E$90,'Løp 1'!$O$10:$O$90,0)</f>
        <v>0</v>
      </c>
      <c r="U70" s="629">
        <f>_xlfn.XLOOKUP($E70,'Løp 1'!$E$10:$E$90,'Løp 1'!$L$10:$L$90,0)</f>
        <v>0</v>
      </c>
      <c r="V70" s="628">
        <f>_xlfn.XLOOKUP($E70,'Løp 2'!$E$10:$E$90,'Løp 2'!$M$10:$M$90,0)</f>
        <v>0</v>
      </c>
      <c r="W70" s="629">
        <f>_xlfn.XLOOKUP($E70,'Løp 2'!$E$10:$E$90,'Løp 2'!$O$10:$O$90,0)</f>
        <v>0</v>
      </c>
      <c r="X70" s="629">
        <f>_xlfn.XLOOKUP($E70,'Løp 2'!$E$10:$E$90,'Løp 2'!$L$10:$L$90,0)</f>
        <v>0</v>
      </c>
      <c r="Y70" s="628">
        <f>_xlfn.XLOOKUP($E70,'Løp 3'!$E$10:$E$90,'Løp 3'!$M$10:$M$90,0)</f>
        <v>0</v>
      </c>
      <c r="Z70" s="629">
        <f>_xlfn.XLOOKUP($E70,'Løp 3'!$E$10:$E$90,'Løp 3'!$O$10:$O$90,0)</f>
        <v>0</v>
      </c>
      <c r="AA70" s="629">
        <f>_xlfn.XLOOKUP($E70,'Løp 3'!$E$10:$E$90,'Løp 3'!$L$10:$L$90,0)</f>
        <v>0</v>
      </c>
      <c r="AB70" s="628">
        <f>_xlfn.XLOOKUP($E70,'Løp 4'!$E$10:$E$90,'Løp 4'!$M$10:$M$90,0)</f>
        <v>0</v>
      </c>
      <c r="AC70" s="629">
        <f>_xlfn.XLOOKUP($E70,'Løp 4'!$E$10:$E$90,'Løp 4'!$O$10:$O$90,0)</f>
        <v>0</v>
      </c>
      <c r="AD70" s="629">
        <f>_xlfn.XLOOKUP($E70,'Løp 4'!$E$10:$E$90,'Løp 4'!$L$10:$L$90,0)</f>
        <v>0</v>
      </c>
      <c r="AE70" s="628">
        <f>_xlfn.XLOOKUP($E70,'Løp 5'!$E$10:$E$90,'Løp 5'!$M$10:$M$90,0)</f>
        <v>83</v>
      </c>
      <c r="AF70" s="629">
        <f>_xlfn.XLOOKUP($E70,'Løp 5'!$E$10:$E$90,'Løp 5'!$O$10:$O$90,0)</f>
        <v>100</v>
      </c>
      <c r="AG70" s="629">
        <f>_xlfn.XLOOKUP($E70,'Løp 5'!$E$10:$E$90,'Løp 5'!$L$10:$L$90,0)</f>
        <v>8.6676954732510282E-3</v>
      </c>
      <c r="AH70" s="628">
        <f>_xlfn.XLOOKUP($E70,'Løp 6'!$E$10:$E$90,'Løp 6'!$M$10:$M$90,0)</f>
        <v>0</v>
      </c>
      <c r="AI70" s="629">
        <f>_xlfn.XLOOKUP($E70,'Løp 6'!$E$10:$E$90,'Løp 6'!$O$10:$O$90,0)</f>
        <v>0</v>
      </c>
      <c r="AJ70" s="629">
        <f>_xlfn.XLOOKUP($E70,'Løp 6'!$E$10:$E$90,'Løp 6'!$L$10:$L$90,0)</f>
        <v>0</v>
      </c>
      <c r="AK70" s="628">
        <f>_xlfn.XLOOKUP($E70,'Løp 7'!$E$10:$E$90,'Løp 7'!$M$10:$M$90,0)</f>
        <v>0</v>
      </c>
      <c r="AL70" s="629">
        <f>_xlfn.XLOOKUP($E70,'Løp 7'!$E$10:$E$90,'Løp 7'!$O$10:$O$90,0)</f>
        <v>0</v>
      </c>
      <c r="AM70" s="629">
        <f>_xlfn.XLOOKUP($E70,'Løp 7'!$E$10:$E$90,'Løp 7'!$L$10:$L$90,0)</f>
        <v>0</v>
      </c>
      <c r="AN70" s="628">
        <f>_xlfn.XLOOKUP($E70,'Løp 8'!$E$10:$E$91,'Løp 8'!$M$10:$M$91,0)</f>
        <v>97</v>
      </c>
      <c r="AO70" s="629">
        <f>_xlfn.XLOOKUP($E70,'Løp 8'!$E$10:$E$91,'Løp 8'!$O$10:$O$91,0)</f>
        <v>100</v>
      </c>
      <c r="AP70" s="629">
        <f>_xlfn.XLOOKUP($E70,'Løp 8'!$E$10:$E$91,'Løp 8'!$L$10:$L$91,0)</f>
        <v>8.8226010101010079E-3</v>
      </c>
      <c r="AQ70" s="628">
        <f>_xlfn.XLOOKUP($E70,'Løp 9'!$E$10:$E$91,'Løp 9'!$M$10:$M$91,0)</f>
        <v>0</v>
      </c>
      <c r="AR70" s="629">
        <f>_xlfn.XLOOKUP($E70,'Løp 9'!$E$10:$E$91,'Løp 9'!$O$10:$O$91,0)</f>
        <v>0</v>
      </c>
      <c r="AS70" s="629">
        <f>_xlfn.XLOOKUP($E70,'Løp 9'!$E$10:$E$91,'Løp 9'!$L$10:$L$91,0)</f>
        <v>0</v>
      </c>
      <c r="AT70" s="628">
        <f>_xlfn.XLOOKUP($E70,'Løp 10'!$E$10:$E$91,'Løp 10'!$M$10:$M$91,0)</f>
        <v>0</v>
      </c>
      <c r="AU70" s="629">
        <f>_xlfn.XLOOKUP($E70,'Løp 10'!$E$10:$E$91,'Løp 10'!$O$10:$O$91,0)</f>
        <v>0</v>
      </c>
      <c r="AV70" s="629">
        <f>_xlfn.XLOOKUP($E70,'Løp 10'!$E$10:$E$91,'Løp 10'!$L$10:$L$91,0)</f>
        <v>0</v>
      </c>
      <c r="AW70" s="628">
        <f>_xlfn.XLOOKUP($E70,'Løp 11'!$E$10:$E$91,'Løp 11'!$M$10:$M$91,0)</f>
        <v>0</v>
      </c>
      <c r="AX70" s="629">
        <f>_xlfn.XLOOKUP($E70,'Løp 11'!$E$10:$E$91,'Løp 11'!$O$10:$O$91,0)</f>
        <v>0</v>
      </c>
      <c r="AY70" s="629">
        <f>_xlfn.XLOOKUP($E70,'Løp 11'!$E$10:$E$91,'Løp 11'!$L$10:$L$91,0)</f>
        <v>0</v>
      </c>
      <c r="AZ70" s="628">
        <f>_xlfn.XLOOKUP($E70,'Løp 12'!$E$10:$E$91,'Løp 12'!$M$10:$M$91,0)</f>
        <v>0</v>
      </c>
      <c r="BA70" s="629">
        <f>_xlfn.XLOOKUP($E70,'Løp 12'!$E$10:$E$91,'Løp 12'!$O$10:$O$91,0)</f>
        <v>0</v>
      </c>
      <c r="BB70" s="629">
        <f>_xlfn.XLOOKUP($E70,'Løp 12'!$E$10:$E$91,'Løp 12'!$L$10:$L$91,0)</f>
        <v>0</v>
      </c>
      <c r="BC70" s="628">
        <f>_xlfn.XLOOKUP($E70,'Løp 13'!$E$10:$E$91,'Løp 13'!$M$10:$M$91,0)</f>
        <v>0</v>
      </c>
      <c r="BD70" s="629">
        <f>_xlfn.XLOOKUP($E70,'Løp 13'!$E$10:$E$91,'Løp 13'!$O$10:$O$91,0)</f>
        <v>0</v>
      </c>
      <c r="BE70" s="629">
        <f>_xlfn.XLOOKUP($E70,'Løp 13'!$E$10:$E$91,'Løp 13'!$L$10:$L$91,0)</f>
        <v>0</v>
      </c>
      <c r="BF70" s="628">
        <f>_xlfn.XLOOKUP($E70,'Løp 14'!$E$10:$E$91,'Løp 14'!$M$10:$M$91,0)</f>
        <v>0</v>
      </c>
      <c r="BG70" s="629">
        <f>_xlfn.XLOOKUP($E70,'Løp 14'!$E$10:$E$91,'Løp 14'!$O$10:$O$91,0)</f>
        <v>0</v>
      </c>
      <c r="BH70" s="629">
        <f>_xlfn.XLOOKUP($E70,'Løp 14'!$E$10:$E$91,'Løp 14'!$L$10:$L$91,0)</f>
        <v>0</v>
      </c>
      <c r="BI70" s="628">
        <f>_xlfn.XLOOKUP($E70,'Løp 15'!$E$10:$E$91,'Løp 15'!$M$10:$M$91,0)</f>
        <v>0</v>
      </c>
      <c r="BJ70" s="629">
        <f>_xlfn.XLOOKUP($E70,'Løp 15'!$E$10:$E$91,'Løp 15'!$O$10:$O$91,0)</f>
        <v>0</v>
      </c>
      <c r="BK70" s="629">
        <f>_xlfn.XLOOKUP($E70,'Løp 15'!$E$10:$E$91,'Løp 15'!$L$10:$L$91,0)</f>
        <v>0</v>
      </c>
      <c r="BL70" s="628">
        <f>_xlfn.XLOOKUP($E70,'Løp 16'!$E$10:$E$91,'Løp 16'!$M$10:$M$91,0)</f>
        <v>0</v>
      </c>
      <c r="BM70" s="629">
        <f>_xlfn.XLOOKUP($E70,'Løp 16'!$E$10:$E$91,'Løp 16'!$O$10:$O$91,0)</f>
        <v>0</v>
      </c>
      <c r="BN70" s="629">
        <f>_xlfn.XLOOKUP($E70,'Løp 16'!$E$10:$E$91,'Løp 16'!$L$10:$L$91,0)</f>
        <v>0</v>
      </c>
      <c r="BO70" s="628">
        <f>_xlfn.XLOOKUP($E70,'Løp 17'!$E$10:$E$91,'Løp 17'!$M$10:$M$91,0)</f>
        <v>0</v>
      </c>
      <c r="BP70" s="629">
        <f>_xlfn.XLOOKUP($E70,'Løp 17'!$E$10:$E$91,'Løp 17'!$O$10:$O$91,0)</f>
        <v>0</v>
      </c>
      <c r="BQ70" s="629">
        <f>_xlfn.XLOOKUP($E70,'Løp 17'!$E$10:$E$91,'Løp 17'!$L$10:$L$91,0)</f>
        <v>0</v>
      </c>
      <c r="BR70" s="628">
        <f>_xlfn.XLOOKUP($E70,'Løp 18'!$E$10:$E$91,'Løp 18'!$M$10:$M$91,0)</f>
        <v>0</v>
      </c>
      <c r="BS70" s="629">
        <f>_xlfn.XLOOKUP($E70,'Løp 18'!$E$10:$E$91,'Løp 18'!$O$10:$O$91,0)</f>
        <v>0</v>
      </c>
      <c r="BT70" s="629">
        <f>_xlfn.XLOOKUP($E70,'Løp 18'!$E$10:$E$91,'Løp 18'!$L$10:$L$91,0)</f>
        <v>0</v>
      </c>
      <c r="BU70" s="628">
        <f>_xlfn.XLOOKUP($E70,'Løp 19'!$E$10:$E$91,'Løp 19'!$M$10:$M$91,0)</f>
        <v>0</v>
      </c>
      <c r="BV70" s="629">
        <f>_xlfn.XLOOKUP($E70,'Løp 19'!$E$10:$E$91,'Løp 19'!$O$10:$O$91,0)</f>
        <v>0</v>
      </c>
      <c r="BW70" s="629">
        <f>_xlfn.XLOOKUP($E70,'Løp 19'!$E$10:$E$91,'Løp 19'!$L$10:$L$91,0)</f>
        <v>0</v>
      </c>
      <c r="BX70" s="628">
        <f>_xlfn.XLOOKUP($E70,'Løp 20'!$E$10:$E$92,'Løp 20'!$M$10:$M$92,0)</f>
        <v>0</v>
      </c>
      <c r="BY70" s="629">
        <f>_xlfn.XLOOKUP($E70,'Løp 20'!$E$10:$E$92,'Løp 20'!$O$10:$O$92,0)</f>
        <v>0</v>
      </c>
      <c r="BZ70" s="629">
        <f>_xlfn.XLOOKUP($E70,'Løp 20'!$E$10:$E$92,'Løp 20'!$L$10:$L$92,0)</f>
        <v>0</v>
      </c>
      <c r="CA70" s="628">
        <f>_xlfn.XLOOKUP($E70,'Løp 21'!$E$10:$E$93,'Løp 21'!$M$10:$M$93,0)</f>
        <v>0</v>
      </c>
      <c r="CB70" s="629">
        <f>_xlfn.XLOOKUP($E70,'Løp 21'!$E$10:$E$93,'Løp 21'!$O$10:$O$93,0)</f>
        <v>0</v>
      </c>
      <c r="CC70" s="629">
        <f>_xlfn.XLOOKUP($E70,'Løp 21'!$E$10:$E$93,'Løp 21'!$L$10:$L$93,0)</f>
        <v>0</v>
      </c>
      <c r="CD70" s="628">
        <f>_xlfn.XLOOKUP($E70,'Løp 22'!$E$10:$E$93,'Løp 22'!$M$10:$M$93,0)</f>
        <v>0</v>
      </c>
      <c r="CE70" s="629">
        <f>_xlfn.XLOOKUP($E70,'Løp 22'!$E$10:$E$93,'Løp 22'!$O$10:$O$93,0)</f>
        <v>0</v>
      </c>
      <c r="CF70" s="629">
        <f>_xlfn.XLOOKUP($E70,'Løp 22'!$E$10:$E$93,'Løp 22'!$L$10:$L$93,0)</f>
        <v>0</v>
      </c>
      <c r="CG70" s="628">
        <f>_xlfn.XLOOKUP($E70,'Løp 23'!$E$10:$E$93,'Løp 23'!$M$10:$M$93,0)</f>
        <v>0</v>
      </c>
      <c r="CH70" s="629">
        <f>_xlfn.XLOOKUP($E70,'Løp 23'!$E$10:$E$93,'Løp 23'!$O$10:$O$93,0)</f>
        <v>0</v>
      </c>
      <c r="CI70" s="629">
        <f>_xlfn.XLOOKUP($E70,'Løp 23'!$E$10:$E$93,'Løp 23'!$L$10:$L$93,0)</f>
        <v>0</v>
      </c>
      <c r="CJ70" s="628">
        <f>_xlfn.XLOOKUP($E70,'Løp 24'!$E$10:$E$93,'Løp 24'!$M$10:$M$93,0)</f>
        <v>0</v>
      </c>
      <c r="CK70" s="629">
        <f>_xlfn.XLOOKUP($E70,'Løp 24'!$E$10:$E$93,'Løp 24'!$O$10:$O$93,0)</f>
        <v>0</v>
      </c>
      <c r="CL70" s="629">
        <f>_xlfn.XLOOKUP($E70,'Løp 24'!$E$10:$E$93,'Løp 24'!$L$10:$L$93,0)</f>
        <v>0</v>
      </c>
      <c r="CM70" s="628">
        <f>_xlfn.XLOOKUP($E70,'Løp 25'!$E$10:$E$94,'Løp 25'!$M$10:$M$94,0)</f>
        <v>0</v>
      </c>
      <c r="CN70" s="629">
        <f>_xlfn.XLOOKUP($E70,'Løp 25'!$E$10:$E$94,'Løp 25'!$O$10:$O$94,0)</f>
        <v>0</v>
      </c>
      <c r="CO70" s="629">
        <f>_xlfn.XLOOKUP($E70,'Løp 25'!$E$10:$E$94,'Løp 25'!$L$10:$L$94,0)</f>
        <v>0</v>
      </c>
      <c r="CP70" s="628">
        <f>_xlfn.XLOOKUP($E70,'Løp 26'!$E$10:$E$94,'Løp 26'!$M$10:$M$94,0)</f>
        <v>0</v>
      </c>
      <c r="CQ70" s="629">
        <f>_xlfn.XLOOKUP($E70,'Løp 26'!$E$10:$E$94,'Løp 26'!$O$10:$O$94,0)</f>
        <v>0</v>
      </c>
      <c r="CR70" s="629">
        <f>_xlfn.XLOOKUP($E70,'Løp 26'!$E$10:$E$94,'Løp 26'!$L$10:$L$94,0)</f>
        <v>0</v>
      </c>
      <c r="CS70" s="628">
        <f>_xlfn.XLOOKUP($E70,'Løp 27'!$E$10:$E$94,'Løp 27'!$M$10:$M$94,0)</f>
        <v>0</v>
      </c>
      <c r="CT70" s="629">
        <f>_xlfn.XLOOKUP($E70,'Løp 27'!$E$10:$E$94,'Løp 27'!$O$10:$O$94,0)</f>
        <v>0</v>
      </c>
      <c r="CU70" s="629">
        <f>_xlfn.XLOOKUP($E70,'Løp 27'!$E$10:$E$94,'Løp 27'!$L$10:$L$94,0)</f>
        <v>0</v>
      </c>
      <c r="CV70" s="628">
        <f>_xlfn.XLOOKUP($E70,'Løp 28'!$E$10:$E$95,'Løp 28'!$M$10:$M$95,0)</f>
        <v>0</v>
      </c>
      <c r="CW70" s="629">
        <f>_xlfn.XLOOKUP($E70,'Løp 28'!$E$10:$E$95,'Løp 28'!$O$10:$O$95,0)</f>
        <v>0</v>
      </c>
      <c r="CX70" s="629">
        <f>_xlfn.XLOOKUP($E70,'Løp 28'!$E$10:$E$95,'Løp 28'!$L$10:$L$95,0)</f>
        <v>0</v>
      </c>
      <c r="CY70" s="628">
        <f>_xlfn.XLOOKUP($E70,'Løp 29'!$E$10:$E$95,'Løp 29'!$M$10:$M$95,0)</f>
        <v>0</v>
      </c>
      <c r="CZ70" s="629">
        <f>_xlfn.XLOOKUP($E70,'Løp 29'!$E$10:$E$95,'Løp 29'!$O$10:$O$95,0)</f>
        <v>0</v>
      </c>
      <c r="DA70" s="629">
        <f>_xlfn.XLOOKUP($E70,'Løp 29'!$E$10:$E$95,'Løp 29'!$L$10:$L$95,0)</f>
        <v>0</v>
      </c>
    </row>
    <row r="71" spans="2:105" ht="26" thickBot="1" x14ac:dyDescent="0.3">
      <c r="B71" s="627">
        <f t="shared" si="0"/>
        <v>62</v>
      </c>
      <c r="C71" s="119" t="s">
        <v>166</v>
      </c>
      <c r="D71" s="620" t="s">
        <v>167</v>
      </c>
      <c r="E71" s="616" t="str">
        <f>_xlfn.CONCAT(C71:D71)</f>
        <v>GunnarØsterbø</v>
      </c>
      <c r="F71" s="610"/>
      <c r="G71" s="653">
        <f>COUNTIF(S71:DA71,"&gt;2")/2</f>
        <v>3</v>
      </c>
      <c r="H71" s="852">
        <f>COUNTIF(S71:DA71,"=Løype")+COUNTIF(S71:DA71,"Arr")</f>
        <v>0</v>
      </c>
      <c r="I71" s="610"/>
      <c r="J71" s="632">
        <f>S71+V71+Y71+AB71+AE71+AH71+AK71+AN71+AQ71+AT71+AW71+AZ71+BC71+BF71+BI71+BL71+BO71+BR71+BU71+BX71+CA71+CD71+CG71+CJ71+CM71+CP71+CS71+CV71+CY71</f>
        <v>221</v>
      </c>
      <c r="K71" s="633">
        <f>T71+W71+Z71+AC71+AF71+AI71+AL71+AO71+AR71+AU71+AX71+BA71+BD71+BG71+BJ71+BM71+BP71+BS71+BV71+BY71+CB71+CE71+CH71+CK71+CN71+CQ71+CT71+CW71+CZ71</f>
        <v>297</v>
      </c>
      <c r="L71" s="613"/>
      <c r="M71" s="658">
        <f>IF($G71&gt;0,J71/G71,0)</f>
        <v>73.666666666666671</v>
      </c>
      <c r="N71" s="659">
        <f>IF($G71&gt;0,K71/$G71,0)</f>
        <v>99</v>
      </c>
      <c r="O71" s="862"/>
      <c r="P71" s="874">
        <f>IF(AND($G71&gt;$Q$3-1,$G71-$H71&gt;0),M71,0)</f>
        <v>0</v>
      </c>
      <c r="Q71" s="875">
        <f>IF(AND($G71&gt;$Q$3-1,$G71-$H71&gt;0),N71,0)</f>
        <v>0</v>
      </c>
      <c r="R71" s="613"/>
      <c r="S71" s="628">
        <f>_xlfn.XLOOKUP($E71,'Løp 1'!$E$10:$E$90,'Løp 1'!$M$10:$M$90,0)</f>
        <v>0</v>
      </c>
      <c r="T71" s="629">
        <f>_xlfn.XLOOKUP($E71,'Løp 1'!$E$10:$E$90,'Løp 1'!$O$10:$O$90,0)</f>
        <v>0</v>
      </c>
      <c r="U71" s="629">
        <f>_xlfn.XLOOKUP($E71,'Løp 1'!$E$10:$E$90,'Løp 1'!$L$10:$L$90,0)</f>
        <v>0</v>
      </c>
      <c r="V71" s="628">
        <f>_xlfn.XLOOKUP($E71,'Løp 2'!$E$10:$E$90,'Løp 2'!$M$10:$M$90,0)</f>
        <v>80</v>
      </c>
      <c r="W71" s="629">
        <f>_xlfn.XLOOKUP($E71,'Løp 2'!$E$10:$E$90,'Løp 2'!$O$10:$O$90,0)</f>
        <v>100</v>
      </c>
      <c r="X71" s="629">
        <f>_xlfn.XLOOKUP($E71,'Løp 2'!$E$10:$E$90,'Løp 2'!$L$10:$L$90,0)</f>
        <v>1.1168981481481481E-2</v>
      </c>
      <c r="Y71" s="628">
        <f>_xlfn.XLOOKUP($E71,'Løp 3'!$E$10:$E$90,'Løp 3'!$M$10:$M$90,0)</f>
        <v>0</v>
      </c>
      <c r="Z71" s="629">
        <f>_xlfn.XLOOKUP($E71,'Løp 3'!$E$10:$E$90,'Løp 3'!$O$10:$O$90,0)</f>
        <v>0</v>
      </c>
      <c r="AA71" s="629">
        <f>_xlfn.XLOOKUP($E71,'Løp 3'!$E$10:$E$90,'Løp 3'!$L$10:$L$90,0)</f>
        <v>0</v>
      </c>
      <c r="AB71" s="628">
        <f>_xlfn.XLOOKUP($E71,'Løp 4'!$E$10:$E$90,'Løp 4'!$M$10:$M$90,0)</f>
        <v>0</v>
      </c>
      <c r="AC71" s="629">
        <f>_xlfn.XLOOKUP($E71,'Løp 4'!$E$10:$E$90,'Løp 4'!$O$10:$O$90,0)</f>
        <v>0</v>
      </c>
      <c r="AD71" s="629">
        <f>_xlfn.XLOOKUP($E71,'Løp 4'!$E$10:$E$90,'Løp 4'!$L$10:$L$90,0)</f>
        <v>0</v>
      </c>
      <c r="AE71" s="628">
        <f>_xlfn.XLOOKUP($E71,'Løp 5'!$E$10:$E$90,'Løp 5'!$M$10:$M$90,0)</f>
        <v>0</v>
      </c>
      <c r="AF71" s="629">
        <f>_xlfn.XLOOKUP($E71,'Løp 5'!$E$10:$E$90,'Løp 5'!$O$10:$O$90,0)</f>
        <v>0</v>
      </c>
      <c r="AG71" s="629">
        <f>_xlfn.XLOOKUP($E71,'Løp 5'!$E$10:$E$90,'Løp 5'!$L$10:$L$90,0)</f>
        <v>0</v>
      </c>
      <c r="AH71" s="628">
        <f>_xlfn.XLOOKUP($E71,'Løp 6'!$E$10:$E$90,'Løp 6'!$M$10:$M$90,0)</f>
        <v>0</v>
      </c>
      <c r="AI71" s="629">
        <f>_xlfn.XLOOKUP($E71,'Løp 6'!$E$10:$E$90,'Løp 6'!$O$10:$O$90,0)</f>
        <v>0</v>
      </c>
      <c r="AJ71" s="629">
        <f>_xlfn.XLOOKUP($E71,'Løp 6'!$E$10:$E$90,'Løp 6'!$L$10:$L$90,0)</f>
        <v>0</v>
      </c>
      <c r="AK71" s="628">
        <f>_xlfn.XLOOKUP($E71,'Løp 7'!$E$10:$E$90,'Løp 7'!$M$10:$M$90,0)</f>
        <v>0</v>
      </c>
      <c r="AL71" s="629">
        <f>_xlfn.XLOOKUP($E71,'Løp 7'!$E$10:$E$90,'Løp 7'!$O$10:$O$90,0)</f>
        <v>0</v>
      </c>
      <c r="AM71" s="629">
        <f>_xlfn.XLOOKUP($E71,'Løp 7'!$E$10:$E$90,'Løp 7'!$L$10:$L$90,0)</f>
        <v>0</v>
      </c>
      <c r="AN71" s="628">
        <f>_xlfn.XLOOKUP($E71,'Løp 8'!$E$10:$E$91,'Løp 8'!$M$10:$M$91,0)</f>
        <v>0</v>
      </c>
      <c r="AO71" s="629">
        <f>_xlfn.XLOOKUP($E71,'Løp 8'!$E$10:$E$91,'Løp 8'!$O$10:$O$91,0)</f>
        <v>0</v>
      </c>
      <c r="AP71" s="629">
        <f>_xlfn.XLOOKUP($E71,'Løp 8'!$E$10:$E$91,'Løp 8'!$L$10:$L$91,0)</f>
        <v>0</v>
      </c>
      <c r="AQ71" s="628">
        <f>_xlfn.XLOOKUP($E71,'Løp 9'!$E$10:$E$91,'Løp 9'!$M$10:$M$91,0)</f>
        <v>0</v>
      </c>
      <c r="AR71" s="629">
        <f>_xlfn.XLOOKUP($E71,'Løp 9'!$E$10:$E$91,'Løp 9'!$O$10:$O$91,0)</f>
        <v>0</v>
      </c>
      <c r="AS71" s="629">
        <f>_xlfn.XLOOKUP($E71,'Løp 9'!$E$10:$E$91,'Løp 9'!$L$10:$L$91,0)</f>
        <v>0</v>
      </c>
      <c r="AT71" s="628">
        <f>_xlfn.XLOOKUP($E71,'Løp 10'!$E$10:$E$91,'Løp 10'!$M$10:$M$91,0)</f>
        <v>0</v>
      </c>
      <c r="AU71" s="629">
        <f>_xlfn.XLOOKUP($E71,'Løp 10'!$E$10:$E$91,'Løp 10'!$O$10:$O$91,0)</f>
        <v>0</v>
      </c>
      <c r="AV71" s="629">
        <f>_xlfn.XLOOKUP($E71,'Løp 10'!$E$10:$E$91,'Løp 10'!$L$10:$L$91,0)</f>
        <v>0</v>
      </c>
      <c r="AW71" s="628">
        <f>_xlfn.XLOOKUP($E71,'Løp 11'!$E$10:$E$91,'Løp 11'!$M$10:$M$91,0)</f>
        <v>0</v>
      </c>
      <c r="AX71" s="629">
        <f>_xlfn.XLOOKUP($E71,'Løp 11'!$E$10:$E$91,'Løp 11'!$O$10:$O$91,0)</f>
        <v>0</v>
      </c>
      <c r="AY71" s="629">
        <f>_xlfn.XLOOKUP($E71,'Løp 11'!$E$10:$E$91,'Løp 11'!$L$10:$L$91,0)</f>
        <v>0</v>
      </c>
      <c r="AZ71" s="628">
        <f>_xlfn.XLOOKUP($E71,'Løp 12'!$E$10:$E$91,'Løp 12'!$M$10:$M$91,0)</f>
        <v>0</v>
      </c>
      <c r="BA71" s="629">
        <f>_xlfn.XLOOKUP($E71,'Løp 12'!$E$10:$E$91,'Løp 12'!$O$10:$O$91,0)</f>
        <v>0</v>
      </c>
      <c r="BB71" s="629">
        <f>_xlfn.XLOOKUP($E71,'Løp 12'!$E$10:$E$91,'Løp 12'!$L$10:$L$91,0)</f>
        <v>0</v>
      </c>
      <c r="BC71" s="628">
        <f>_xlfn.XLOOKUP($E71,'Løp 13'!$E$10:$E$91,'Løp 13'!$M$10:$M$91,0)</f>
        <v>0</v>
      </c>
      <c r="BD71" s="629">
        <f>_xlfn.XLOOKUP($E71,'Løp 13'!$E$10:$E$91,'Løp 13'!$O$10:$O$91,0)</f>
        <v>0</v>
      </c>
      <c r="BE71" s="629">
        <f>_xlfn.XLOOKUP($E71,'Løp 13'!$E$10:$E$91,'Løp 13'!$L$10:$L$91,0)</f>
        <v>0</v>
      </c>
      <c r="BF71" s="628">
        <f>_xlfn.XLOOKUP($E71,'Løp 14'!$E$10:$E$91,'Løp 14'!$M$10:$M$91,0)</f>
        <v>0</v>
      </c>
      <c r="BG71" s="629">
        <f>_xlfn.XLOOKUP($E71,'Løp 14'!$E$10:$E$91,'Løp 14'!$O$10:$O$91,0)</f>
        <v>0</v>
      </c>
      <c r="BH71" s="629">
        <f>_xlfn.XLOOKUP($E71,'Løp 14'!$E$10:$E$91,'Løp 14'!$L$10:$L$91,0)</f>
        <v>0</v>
      </c>
      <c r="BI71" s="628">
        <f>_xlfn.XLOOKUP($E71,'Løp 15'!$E$10:$E$91,'Løp 15'!$M$10:$M$91,0)</f>
        <v>0</v>
      </c>
      <c r="BJ71" s="629">
        <f>_xlfn.XLOOKUP($E71,'Løp 15'!$E$10:$E$91,'Løp 15'!$O$10:$O$91,0)</f>
        <v>0</v>
      </c>
      <c r="BK71" s="629">
        <f>_xlfn.XLOOKUP($E71,'Løp 15'!$E$10:$E$91,'Løp 15'!$L$10:$L$91,0)</f>
        <v>0</v>
      </c>
      <c r="BL71" s="628">
        <f>_xlfn.XLOOKUP($E71,'Løp 16'!$E$10:$E$91,'Løp 16'!$M$10:$M$91,0)</f>
        <v>0</v>
      </c>
      <c r="BM71" s="629">
        <f>_xlfn.XLOOKUP($E71,'Løp 16'!$E$10:$E$91,'Løp 16'!$O$10:$O$91,0)</f>
        <v>0</v>
      </c>
      <c r="BN71" s="629">
        <f>_xlfn.XLOOKUP($E71,'Løp 16'!$E$10:$E$91,'Løp 16'!$L$10:$L$91,0)</f>
        <v>0</v>
      </c>
      <c r="BO71" s="628">
        <f>_xlfn.XLOOKUP($E71,'Løp 17'!$E$10:$E$91,'Løp 17'!$M$10:$M$91,0)</f>
        <v>0</v>
      </c>
      <c r="BP71" s="629">
        <f>_xlfn.XLOOKUP($E71,'Løp 17'!$E$10:$E$91,'Løp 17'!$O$10:$O$91,0)</f>
        <v>0</v>
      </c>
      <c r="BQ71" s="629">
        <f>_xlfn.XLOOKUP($E71,'Løp 17'!$E$10:$E$91,'Løp 17'!$L$10:$L$91,0)</f>
        <v>0</v>
      </c>
      <c r="BR71" s="628">
        <f>_xlfn.XLOOKUP($E71,'Løp 18'!$E$10:$E$91,'Løp 18'!$M$10:$M$91,0)</f>
        <v>0</v>
      </c>
      <c r="BS71" s="629">
        <f>_xlfn.XLOOKUP($E71,'Løp 18'!$E$10:$E$91,'Løp 18'!$O$10:$O$91,0)</f>
        <v>0</v>
      </c>
      <c r="BT71" s="629">
        <f>_xlfn.XLOOKUP($E71,'Løp 18'!$E$10:$E$91,'Løp 18'!$L$10:$L$91,0)</f>
        <v>0</v>
      </c>
      <c r="BU71" s="628">
        <f>_xlfn.XLOOKUP($E71,'Løp 19'!$E$10:$E$91,'Løp 19'!$M$10:$M$91,0)</f>
        <v>0</v>
      </c>
      <c r="BV71" s="629">
        <f>_xlfn.XLOOKUP($E71,'Løp 19'!$E$10:$E$91,'Løp 19'!$O$10:$O$91,0)</f>
        <v>0</v>
      </c>
      <c r="BW71" s="629">
        <f>_xlfn.XLOOKUP($E71,'Løp 19'!$E$10:$E$91,'Løp 19'!$L$10:$L$91,0)</f>
        <v>0</v>
      </c>
      <c r="BX71" s="628">
        <f>_xlfn.XLOOKUP($E71,'Løp 20'!$E$10:$E$92,'Løp 20'!$M$10:$M$92,0)</f>
        <v>0</v>
      </c>
      <c r="BY71" s="629">
        <f>_xlfn.XLOOKUP($E71,'Løp 20'!$E$10:$E$92,'Løp 20'!$O$10:$O$92,0)</f>
        <v>0</v>
      </c>
      <c r="BZ71" s="629">
        <f>_xlfn.XLOOKUP($E71,'Løp 20'!$E$10:$E$92,'Løp 20'!$L$10:$L$92,0)</f>
        <v>0</v>
      </c>
      <c r="CA71" s="628">
        <f>_xlfn.XLOOKUP($E71,'Løp 21'!$E$10:$E$93,'Løp 21'!$M$10:$M$93,0)</f>
        <v>0</v>
      </c>
      <c r="CB71" s="629">
        <f>_xlfn.XLOOKUP($E71,'Løp 21'!$E$10:$E$93,'Løp 21'!$O$10:$O$93,0)</f>
        <v>0</v>
      </c>
      <c r="CC71" s="629">
        <f>_xlfn.XLOOKUP($E71,'Løp 21'!$E$10:$E$93,'Løp 21'!$L$10:$L$93,0)</f>
        <v>0</v>
      </c>
      <c r="CD71" s="628">
        <f>_xlfn.XLOOKUP($E71,'Løp 22'!$E$10:$E$93,'Løp 22'!$M$10:$M$93,0)</f>
        <v>0</v>
      </c>
      <c r="CE71" s="629">
        <f>_xlfn.XLOOKUP($E71,'Løp 22'!$E$10:$E$93,'Løp 22'!$O$10:$O$93,0)</f>
        <v>0</v>
      </c>
      <c r="CF71" s="629">
        <f>_xlfn.XLOOKUP($E71,'Løp 22'!$E$10:$E$93,'Løp 22'!$L$10:$L$93,0)</f>
        <v>0</v>
      </c>
      <c r="CG71" s="628">
        <f>_xlfn.XLOOKUP($E71,'Løp 23'!$E$10:$E$93,'Løp 23'!$M$10:$M$93,0)</f>
        <v>0</v>
      </c>
      <c r="CH71" s="629">
        <f>_xlfn.XLOOKUP($E71,'Løp 23'!$E$10:$E$93,'Løp 23'!$O$10:$O$93,0)</f>
        <v>0</v>
      </c>
      <c r="CI71" s="629">
        <f>_xlfn.XLOOKUP($E71,'Løp 23'!$E$10:$E$93,'Løp 23'!$L$10:$L$93,0)</f>
        <v>0</v>
      </c>
      <c r="CJ71" s="628">
        <f>_xlfn.XLOOKUP($E71,'Løp 24'!$E$10:$E$93,'Løp 24'!$M$10:$M$93,0)</f>
        <v>78</v>
      </c>
      <c r="CK71" s="629">
        <f>_xlfn.XLOOKUP($E71,'Løp 24'!$E$10:$E$93,'Løp 24'!$O$10:$O$93,0)</f>
        <v>97</v>
      </c>
      <c r="CL71" s="629">
        <f>_xlfn.XLOOKUP($E71,'Løp 24'!$E$10:$E$93,'Løp 24'!$L$10:$L$93,0)</f>
        <v>6.8548387096774195E-3</v>
      </c>
      <c r="CM71" s="628">
        <f>_xlfn.XLOOKUP($E71,'Løp 25'!$E$10:$E$94,'Løp 25'!$M$10:$M$94,0)</f>
        <v>0</v>
      </c>
      <c r="CN71" s="629">
        <f>_xlfn.XLOOKUP($E71,'Løp 25'!$E$10:$E$94,'Løp 25'!$O$10:$O$94,0)</f>
        <v>0</v>
      </c>
      <c r="CO71" s="629">
        <f>_xlfn.XLOOKUP($E71,'Løp 25'!$E$10:$E$94,'Løp 25'!$L$10:$L$94,0)</f>
        <v>0</v>
      </c>
      <c r="CP71" s="628">
        <f>_xlfn.XLOOKUP($E71,'Løp 26'!$E$10:$E$94,'Løp 26'!$M$10:$M$94,0)</f>
        <v>0</v>
      </c>
      <c r="CQ71" s="629">
        <f>_xlfn.XLOOKUP($E71,'Løp 26'!$E$10:$E$94,'Løp 26'!$O$10:$O$94,0)</f>
        <v>0</v>
      </c>
      <c r="CR71" s="629">
        <f>_xlfn.XLOOKUP($E71,'Løp 26'!$E$10:$E$94,'Løp 26'!$L$10:$L$94,0)</f>
        <v>0</v>
      </c>
      <c r="CS71" s="628">
        <f>_xlfn.XLOOKUP($E71,'Løp 27'!$E$10:$E$94,'Løp 27'!$M$10:$M$94,0)</f>
        <v>0</v>
      </c>
      <c r="CT71" s="629">
        <f>_xlfn.XLOOKUP($E71,'Løp 27'!$E$10:$E$94,'Løp 27'!$O$10:$O$94,0)</f>
        <v>0</v>
      </c>
      <c r="CU71" s="629">
        <f>_xlfn.XLOOKUP($E71,'Løp 27'!$E$10:$E$94,'Løp 27'!$L$10:$L$94,0)</f>
        <v>0</v>
      </c>
      <c r="CV71" s="628">
        <f>_xlfn.XLOOKUP($E71,'Løp 28'!$E$10:$E$95,'Løp 28'!$M$10:$M$95,0)</f>
        <v>63</v>
      </c>
      <c r="CW71" s="629">
        <f>_xlfn.XLOOKUP($E71,'Løp 28'!$E$10:$E$95,'Løp 28'!$O$10:$O$95,0)</f>
        <v>100</v>
      </c>
      <c r="CX71" s="629">
        <f>_xlfn.XLOOKUP($E71,'Løp 28'!$E$10:$E$95,'Løp 28'!$L$10:$L$95,0)</f>
        <v>1.0547504025764896E-2</v>
      </c>
      <c r="CY71" s="628">
        <f>_xlfn.XLOOKUP($E71,'Løp 29'!$E$10:$E$95,'Løp 29'!$M$10:$M$95,0)</f>
        <v>0</v>
      </c>
      <c r="CZ71" s="629">
        <f>_xlfn.XLOOKUP($E71,'Løp 29'!$E$10:$E$95,'Løp 29'!$O$10:$O$95,0)</f>
        <v>0</v>
      </c>
      <c r="DA71" s="629">
        <f>_xlfn.XLOOKUP($E71,'Løp 29'!$E$10:$E$95,'Løp 29'!$L$10:$L$95,0)</f>
        <v>0</v>
      </c>
    </row>
    <row r="72" spans="2:105" ht="26" thickBot="1" x14ac:dyDescent="0.3">
      <c r="B72" s="627">
        <f t="shared" si="0"/>
        <v>63</v>
      </c>
      <c r="C72" s="119" t="s">
        <v>112</v>
      </c>
      <c r="D72" s="620" t="s">
        <v>113</v>
      </c>
      <c r="E72" s="616" t="str">
        <f>_xlfn.CONCAT(C72:D72)</f>
        <v>ToridKvaal</v>
      </c>
      <c r="F72" s="610"/>
      <c r="G72" s="653">
        <f>COUNTIF(S72:DA72,"&gt;2")/2</f>
        <v>3</v>
      </c>
      <c r="H72" s="852">
        <f>COUNTIF(S72:DA72,"=Løype")+COUNTIF(S72:DA72,"Arr")</f>
        <v>0</v>
      </c>
      <c r="I72" s="610"/>
      <c r="J72" s="632">
        <f>S72+V72+Y72+AB72+AE72+AH72+AK72+AN72+AQ72+AT72+AW72+AZ72+BC72+BF72+BI72+BL72+BO72+BR72+BU72+BX72+CA72+CD72+CG72+CJ72+CM72+CP72+CS72+CV72+CY72</f>
        <v>175</v>
      </c>
      <c r="K72" s="633">
        <f>T72+W72+Z72+AC72+AF72+AI72+AL72+AO72+AR72+AU72+AX72+BA72+BD72+BG72+BJ72+BM72+BP72+BS72+BV72+BY72+CB72+CE72+CH72+CK72+CN72+CQ72+CT72+CW72+CZ72</f>
        <v>289</v>
      </c>
      <c r="L72" s="613"/>
      <c r="M72" s="658">
        <f>IF($G72&gt;0,J72/G72,0)</f>
        <v>58.333333333333336</v>
      </c>
      <c r="N72" s="659">
        <f>IF($G72&gt;0,K72/$G72,0)</f>
        <v>96.333333333333329</v>
      </c>
      <c r="O72" s="862"/>
      <c r="P72" s="874">
        <f>IF(AND($G72&gt;$Q$3-1,$G72-$H72&gt;0),M72,0)</f>
        <v>0</v>
      </c>
      <c r="Q72" s="875">
        <f>IF(AND($G72&gt;$Q$3-1,$G72-$H72&gt;0),N72,0)</f>
        <v>0</v>
      </c>
      <c r="R72" s="613"/>
      <c r="S72" s="628">
        <f>_xlfn.XLOOKUP($E72,'Løp 1'!$E$10:$E$90,'Løp 1'!$M$10:$M$90,0)</f>
        <v>0</v>
      </c>
      <c r="T72" s="629">
        <f>_xlfn.XLOOKUP($E72,'Løp 1'!$E$10:$E$90,'Løp 1'!$O$10:$O$90,0)</f>
        <v>0</v>
      </c>
      <c r="U72" s="629">
        <f>_xlfn.XLOOKUP($E72,'Løp 1'!$E$10:$E$90,'Løp 1'!$L$10:$L$90,0)</f>
        <v>0</v>
      </c>
      <c r="V72" s="628">
        <f>_xlfn.XLOOKUP($E72,'Løp 2'!$E$10:$E$90,'Løp 2'!$M$10:$M$90,0)</f>
        <v>0</v>
      </c>
      <c r="W72" s="629">
        <f>_xlfn.XLOOKUP($E72,'Løp 2'!$E$10:$E$90,'Løp 2'!$O$10:$O$90,0)</f>
        <v>0</v>
      </c>
      <c r="X72" s="629">
        <f>_xlfn.XLOOKUP($E72,'Løp 2'!$E$10:$E$90,'Løp 2'!$L$10:$L$90,0)</f>
        <v>0</v>
      </c>
      <c r="Y72" s="628">
        <f>_xlfn.XLOOKUP($E72,'Løp 3'!$E$10:$E$90,'Løp 3'!$M$10:$M$90,0)</f>
        <v>0</v>
      </c>
      <c r="Z72" s="629">
        <f>_xlfn.XLOOKUP($E72,'Løp 3'!$E$10:$E$90,'Løp 3'!$O$10:$O$90,0)</f>
        <v>0</v>
      </c>
      <c r="AA72" s="629">
        <f>_xlfn.XLOOKUP($E72,'Løp 3'!$E$10:$E$90,'Løp 3'!$L$10:$L$90,0)</f>
        <v>0</v>
      </c>
      <c r="AB72" s="628">
        <f>_xlfn.XLOOKUP($E72,'Løp 4'!$E$10:$E$90,'Løp 4'!$M$10:$M$90,0)</f>
        <v>0</v>
      </c>
      <c r="AC72" s="629">
        <f>_xlfn.XLOOKUP($E72,'Løp 4'!$E$10:$E$90,'Løp 4'!$O$10:$O$90,0)</f>
        <v>0</v>
      </c>
      <c r="AD72" s="629">
        <f>_xlfn.XLOOKUP($E72,'Løp 4'!$E$10:$E$90,'Løp 4'!$L$10:$L$90,0)</f>
        <v>0</v>
      </c>
      <c r="AE72" s="628">
        <f>_xlfn.XLOOKUP($E72,'Løp 5'!$E$10:$E$90,'Løp 5'!$M$10:$M$90,0)</f>
        <v>0</v>
      </c>
      <c r="AF72" s="629">
        <f>_xlfn.XLOOKUP($E72,'Løp 5'!$E$10:$E$90,'Løp 5'!$O$10:$O$90,0)</f>
        <v>0</v>
      </c>
      <c r="AG72" s="629">
        <f>_xlfn.XLOOKUP($E72,'Løp 5'!$E$10:$E$90,'Løp 5'!$L$10:$L$90,0)</f>
        <v>0</v>
      </c>
      <c r="AH72" s="628">
        <f>_xlfn.XLOOKUP($E72,'Løp 6'!$E$10:$E$90,'Løp 6'!$M$10:$M$90,0)</f>
        <v>0</v>
      </c>
      <c r="AI72" s="629">
        <f>_xlfn.XLOOKUP($E72,'Løp 6'!$E$10:$E$90,'Løp 6'!$O$10:$O$90,0)</f>
        <v>0</v>
      </c>
      <c r="AJ72" s="629">
        <f>_xlfn.XLOOKUP($E72,'Løp 6'!$E$10:$E$90,'Løp 6'!$L$10:$L$90,0)</f>
        <v>0</v>
      </c>
      <c r="AK72" s="628">
        <f>_xlfn.XLOOKUP($E72,'Løp 7'!$E$10:$E$90,'Løp 7'!$M$10:$M$90,0)</f>
        <v>0</v>
      </c>
      <c r="AL72" s="629">
        <f>_xlfn.XLOOKUP($E72,'Løp 7'!$E$10:$E$90,'Løp 7'!$O$10:$O$90,0)</f>
        <v>0</v>
      </c>
      <c r="AM72" s="629">
        <f>_xlfn.XLOOKUP($E72,'Løp 7'!$E$10:$E$90,'Løp 7'!$L$10:$L$90,0)</f>
        <v>0</v>
      </c>
      <c r="AN72" s="628">
        <f>_xlfn.XLOOKUP($E72,'Løp 8'!$E$10:$E$91,'Løp 8'!$M$10:$M$91,0)</f>
        <v>0</v>
      </c>
      <c r="AO72" s="629">
        <f>_xlfn.XLOOKUP($E72,'Løp 8'!$E$10:$E$91,'Løp 8'!$O$10:$O$91,0)</f>
        <v>0</v>
      </c>
      <c r="AP72" s="629">
        <f>_xlfn.XLOOKUP($E72,'Løp 8'!$E$10:$E$91,'Løp 8'!$L$10:$L$91,0)</f>
        <v>0</v>
      </c>
      <c r="AQ72" s="628">
        <f>_xlfn.XLOOKUP($E72,'Løp 9'!$E$10:$E$91,'Løp 9'!$M$10:$M$91,0)</f>
        <v>0</v>
      </c>
      <c r="AR72" s="629">
        <f>_xlfn.XLOOKUP($E72,'Løp 9'!$E$10:$E$91,'Løp 9'!$O$10:$O$91,0)</f>
        <v>0</v>
      </c>
      <c r="AS72" s="629">
        <f>_xlfn.XLOOKUP($E72,'Løp 9'!$E$10:$E$91,'Løp 9'!$L$10:$L$91,0)</f>
        <v>0</v>
      </c>
      <c r="AT72" s="628">
        <f>_xlfn.XLOOKUP($E72,'Løp 10'!$E$10:$E$91,'Løp 10'!$M$10:$M$91,0)</f>
        <v>0</v>
      </c>
      <c r="AU72" s="629">
        <f>_xlfn.XLOOKUP($E72,'Løp 10'!$E$10:$E$91,'Løp 10'!$O$10:$O$91,0)</f>
        <v>0</v>
      </c>
      <c r="AV72" s="629">
        <f>_xlfn.XLOOKUP($E72,'Løp 10'!$E$10:$E$91,'Løp 10'!$L$10:$L$91,0)</f>
        <v>0</v>
      </c>
      <c r="AW72" s="628">
        <f>_xlfn.XLOOKUP($E72,'Løp 11'!$E$10:$E$91,'Løp 11'!$M$10:$M$91,0)</f>
        <v>0</v>
      </c>
      <c r="AX72" s="629">
        <f>_xlfn.XLOOKUP($E72,'Løp 11'!$E$10:$E$91,'Løp 11'!$O$10:$O$91,0)</f>
        <v>0</v>
      </c>
      <c r="AY72" s="629">
        <f>_xlfn.XLOOKUP($E72,'Løp 11'!$E$10:$E$91,'Løp 11'!$L$10:$L$91,0)</f>
        <v>0</v>
      </c>
      <c r="AZ72" s="628">
        <f>_xlfn.XLOOKUP($E72,'Løp 12'!$E$10:$E$91,'Løp 12'!$M$10:$M$91,0)</f>
        <v>0</v>
      </c>
      <c r="BA72" s="629">
        <f>_xlfn.XLOOKUP($E72,'Løp 12'!$E$10:$E$91,'Løp 12'!$O$10:$O$91,0)</f>
        <v>0</v>
      </c>
      <c r="BB72" s="629">
        <f>_xlfn.XLOOKUP($E72,'Løp 12'!$E$10:$E$91,'Løp 12'!$L$10:$L$91,0)</f>
        <v>0</v>
      </c>
      <c r="BC72" s="628">
        <f>_xlfn.XLOOKUP($E72,'Løp 13'!$E$10:$E$91,'Løp 13'!$M$10:$M$91,0)</f>
        <v>0</v>
      </c>
      <c r="BD72" s="629">
        <f>_xlfn.XLOOKUP($E72,'Løp 13'!$E$10:$E$91,'Løp 13'!$O$10:$O$91,0)</f>
        <v>0</v>
      </c>
      <c r="BE72" s="629">
        <f>_xlfn.XLOOKUP($E72,'Løp 13'!$E$10:$E$91,'Løp 13'!$L$10:$L$91,0)</f>
        <v>0</v>
      </c>
      <c r="BF72" s="628">
        <f>_xlfn.XLOOKUP($E72,'Løp 14'!$E$10:$E$91,'Løp 14'!$M$10:$M$91,0)</f>
        <v>0</v>
      </c>
      <c r="BG72" s="629">
        <f>_xlfn.XLOOKUP($E72,'Løp 14'!$E$10:$E$91,'Løp 14'!$O$10:$O$91,0)</f>
        <v>0</v>
      </c>
      <c r="BH72" s="629">
        <f>_xlfn.XLOOKUP($E72,'Løp 14'!$E$10:$E$91,'Løp 14'!$L$10:$L$91,0)</f>
        <v>0</v>
      </c>
      <c r="BI72" s="628">
        <f>_xlfn.XLOOKUP($E72,'Løp 15'!$E$10:$E$91,'Løp 15'!$M$10:$M$91,0)</f>
        <v>0</v>
      </c>
      <c r="BJ72" s="629">
        <f>_xlfn.XLOOKUP($E72,'Løp 15'!$E$10:$E$91,'Løp 15'!$O$10:$O$91,0)</f>
        <v>0</v>
      </c>
      <c r="BK72" s="629">
        <f>_xlfn.XLOOKUP($E72,'Løp 15'!$E$10:$E$91,'Løp 15'!$L$10:$L$91,0)</f>
        <v>0</v>
      </c>
      <c r="BL72" s="628">
        <f>_xlfn.XLOOKUP($E72,'Løp 16'!$E$10:$E$91,'Løp 16'!$M$10:$M$91,0)</f>
        <v>0</v>
      </c>
      <c r="BM72" s="629">
        <f>_xlfn.XLOOKUP($E72,'Løp 16'!$E$10:$E$91,'Løp 16'!$O$10:$O$91,0)</f>
        <v>0</v>
      </c>
      <c r="BN72" s="629">
        <f>_xlfn.XLOOKUP($E72,'Løp 16'!$E$10:$E$91,'Løp 16'!$L$10:$L$91,0)</f>
        <v>0</v>
      </c>
      <c r="BO72" s="628">
        <f>_xlfn.XLOOKUP($E72,'Løp 17'!$E$10:$E$91,'Løp 17'!$M$10:$M$91,0)</f>
        <v>0</v>
      </c>
      <c r="BP72" s="629">
        <f>_xlfn.XLOOKUP($E72,'Løp 17'!$E$10:$E$91,'Løp 17'!$O$10:$O$91,0)</f>
        <v>0</v>
      </c>
      <c r="BQ72" s="629">
        <f>_xlfn.XLOOKUP($E72,'Løp 17'!$E$10:$E$91,'Løp 17'!$L$10:$L$91,0)</f>
        <v>0</v>
      </c>
      <c r="BR72" s="628">
        <f>_xlfn.XLOOKUP($E72,'Løp 18'!$E$10:$E$91,'Løp 18'!$M$10:$M$91,0)</f>
        <v>0</v>
      </c>
      <c r="BS72" s="629">
        <f>_xlfn.XLOOKUP($E72,'Løp 18'!$E$10:$E$91,'Løp 18'!$O$10:$O$91,0)</f>
        <v>0</v>
      </c>
      <c r="BT72" s="629">
        <f>_xlfn.XLOOKUP($E72,'Løp 18'!$E$10:$E$91,'Løp 18'!$L$10:$L$91,0)</f>
        <v>0</v>
      </c>
      <c r="BU72" s="628">
        <f>_xlfn.XLOOKUP($E72,'Løp 19'!$E$10:$E$91,'Løp 19'!$M$10:$M$91,0)</f>
        <v>0</v>
      </c>
      <c r="BV72" s="629">
        <f>_xlfn.XLOOKUP($E72,'Løp 19'!$E$10:$E$91,'Løp 19'!$O$10:$O$91,0)</f>
        <v>0</v>
      </c>
      <c r="BW72" s="629">
        <f>_xlfn.XLOOKUP($E72,'Løp 19'!$E$10:$E$91,'Løp 19'!$L$10:$L$91,0)</f>
        <v>0</v>
      </c>
      <c r="BX72" s="628">
        <f>_xlfn.XLOOKUP($E72,'Løp 20'!$E$10:$E$92,'Løp 20'!$M$10:$M$92,0)</f>
        <v>0</v>
      </c>
      <c r="BY72" s="629">
        <f>_xlfn.XLOOKUP($E72,'Løp 20'!$E$10:$E$92,'Løp 20'!$O$10:$O$92,0)</f>
        <v>0</v>
      </c>
      <c r="BZ72" s="629">
        <f>_xlfn.XLOOKUP($E72,'Løp 20'!$E$10:$E$92,'Løp 20'!$L$10:$L$92,0)</f>
        <v>0</v>
      </c>
      <c r="CA72" s="628">
        <f>_xlfn.XLOOKUP($E72,'Løp 21'!$E$10:$E$93,'Løp 21'!$M$10:$M$93,0)</f>
        <v>0</v>
      </c>
      <c r="CB72" s="629">
        <f>_xlfn.XLOOKUP($E72,'Løp 21'!$E$10:$E$93,'Løp 21'!$O$10:$O$93,0)</f>
        <v>0</v>
      </c>
      <c r="CC72" s="629">
        <f>_xlfn.XLOOKUP($E72,'Løp 21'!$E$10:$E$93,'Løp 21'!$L$10:$L$93,0)</f>
        <v>0</v>
      </c>
      <c r="CD72" s="628">
        <f>_xlfn.XLOOKUP($E72,'Løp 22'!$E$10:$E$93,'Løp 22'!$M$10:$M$93,0)</f>
        <v>0</v>
      </c>
      <c r="CE72" s="629">
        <f>_xlfn.XLOOKUP($E72,'Løp 22'!$E$10:$E$93,'Løp 22'!$O$10:$O$93,0)</f>
        <v>0</v>
      </c>
      <c r="CF72" s="629">
        <f>_xlfn.XLOOKUP($E72,'Løp 22'!$E$10:$E$93,'Løp 22'!$L$10:$L$93,0)</f>
        <v>0</v>
      </c>
      <c r="CG72" s="628">
        <f>_xlfn.XLOOKUP($E72,'Løp 23'!$E$10:$E$93,'Løp 23'!$M$10:$M$93,0)</f>
        <v>0</v>
      </c>
      <c r="CH72" s="629">
        <f>_xlfn.XLOOKUP($E72,'Løp 23'!$E$10:$E$93,'Løp 23'!$O$10:$O$93,0)</f>
        <v>0</v>
      </c>
      <c r="CI72" s="629">
        <f>_xlfn.XLOOKUP($E72,'Løp 23'!$E$10:$E$93,'Løp 23'!$L$10:$L$93,0)</f>
        <v>0</v>
      </c>
      <c r="CJ72" s="628">
        <f>_xlfn.XLOOKUP($E72,'Løp 24'!$E$10:$E$93,'Løp 24'!$M$10:$M$93,0)</f>
        <v>69</v>
      </c>
      <c r="CK72" s="629">
        <f>_xlfn.XLOOKUP($E72,'Løp 24'!$E$10:$E$93,'Løp 24'!$O$10:$O$93,0)</f>
        <v>100</v>
      </c>
      <c r="CL72" s="629">
        <f>_xlfn.XLOOKUP($E72,'Løp 24'!$E$10:$E$93,'Løp 24'!$L$10:$L$93,0)</f>
        <v>7.7284946236559141E-3</v>
      </c>
      <c r="CM72" s="628">
        <f>_xlfn.XLOOKUP($E72,'Løp 25'!$E$10:$E$94,'Løp 25'!$M$10:$M$94,0)</f>
        <v>0</v>
      </c>
      <c r="CN72" s="629">
        <f>_xlfn.XLOOKUP($E72,'Løp 25'!$E$10:$E$94,'Løp 25'!$O$10:$O$94,0)</f>
        <v>0</v>
      </c>
      <c r="CO72" s="629">
        <f>_xlfn.XLOOKUP($E72,'Løp 25'!$E$10:$E$94,'Løp 25'!$L$10:$L$94,0)</f>
        <v>0</v>
      </c>
      <c r="CP72" s="628">
        <f>_xlfn.XLOOKUP($E72,'Løp 26'!$E$10:$E$94,'Løp 26'!$M$10:$M$94,0)</f>
        <v>0</v>
      </c>
      <c r="CQ72" s="629">
        <f>_xlfn.XLOOKUP($E72,'Løp 26'!$E$10:$E$94,'Løp 26'!$O$10:$O$94,0)</f>
        <v>0</v>
      </c>
      <c r="CR72" s="629">
        <f>_xlfn.XLOOKUP($E72,'Løp 26'!$E$10:$E$94,'Løp 26'!$L$10:$L$94,0)</f>
        <v>0</v>
      </c>
      <c r="CS72" s="628">
        <f>_xlfn.XLOOKUP($E72,'Løp 27'!$E$10:$E$94,'Løp 27'!$M$10:$M$94,0)</f>
        <v>0</v>
      </c>
      <c r="CT72" s="629">
        <f>_xlfn.XLOOKUP($E72,'Løp 27'!$E$10:$E$94,'Løp 27'!$O$10:$O$94,0)</f>
        <v>0</v>
      </c>
      <c r="CU72" s="629">
        <f>_xlfn.XLOOKUP($E72,'Løp 27'!$E$10:$E$94,'Løp 27'!$L$10:$L$94,0)</f>
        <v>0</v>
      </c>
      <c r="CV72" s="628">
        <f>_xlfn.XLOOKUP($E72,'Løp 28'!$E$10:$E$95,'Løp 28'!$M$10:$M$95,0)</f>
        <v>53</v>
      </c>
      <c r="CW72" s="629">
        <f>_xlfn.XLOOKUP($E72,'Løp 28'!$E$10:$E$95,'Løp 28'!$O$10:$O$95,0)</f>
        <v>97</v>
      </c>
      <c r="CX72" s="629">
        <f>_xlfn.XLOOKUP($E72,'Løp 28'!$E$10:$E$95,'Løp 28'!$L$10:$L$95,0)</f>
        <v>1.2605676328502418E-2</v>
      </c>
      <c r="CY72" s="628">
        <f>_xlfn.XLOOKUP($E72,'Løp 29'!$E$10:$E$95,'Løp 29'!$M$10:$M$95,0)</f>
        <v>53</v>
      </c>
      <c r="CZ72" s="629">
        <f>_xlfn.XLOOKUP($E72,'Løp 29'!$E$10:$E$95,'Løp 29'!$O$10:$O$95,0)</f>
        <v>92</v>
      </c>
      <c r="DA72" s="629">
        <f>_xlfn.XLOOKUP($E72,'Løp 29'!$E$10:$E$95,'Løp 29'!$L$10:$L$95,0)</f>
        <v>1.3722511574074073E-2</v>
      </c>
    </row>
    <row r="73" spans="2:105" ht="26" thickBot="1" x14ac:dyDescent="0.3">
      <c r="B73" s="627">
        <f t="shared" si="0"/>
        <v>64</v>
      </c>
      <c r="C73" s="119" t="s">
        <v>74</v>
      </c>
      <c r="D73" s="620" t="s">
        <v>75</v>
      </c>
      <c r="E73" s="616" t="str">
        <f>_xlfn.CONCAT(C73:D73)</f>
        <v>StinaElfving</v>
      </c>
      <c r="F73" s="610"/>
      <c r="G73" s="653">
        <f>COUNTIF(S73:DA73,"&gt;2")/2</f>
        <v>1</v>
      </c>
      <c r="H73" s="852">
        <f>COUNTIF(S73:DA73,"=Løype")+COUNTIF(S73:DA73,"Arr")</f>
        <v>1</v>
      </c>
      <c r="I73" s="610"/>
      <c r="J73" s="632">
        <f>S73+V73+Y73+AB73+AE73+AH73+AK73+AN73+AQ73+AT73+AW73+AZ73+BC73+BF73+BI73+BL73+BO73+BR73+BU73+BX73+CA73+CD73+CG73+CJ73+CM73+CP73+CS73+CV73+CY73</f>
        <v>94</v>
      </c>
      <c r="K73" s="633">
        <f>T73+W73+Z73+AC73+AF73+AI73+AL73+AO73+AR73+AU73+AX73+BA73+BD73+BG73+BJ73+BM73+BP73+BS73+BV73+BY73+CB73+CE73+CH73+CK73+CN73+CQ73+CT73+CW73+CZ73</f>
        <v>94</v>
      </c>
      <c r="L73" s="613"/>
      <c r="M73" s="658">
        <f>IF($G73&gt;0,J73/G73,0)</f>
        <v>94</v>
      </c>
      <c r="N73" s="659">
        <f>IF($G73&gt;0,K73/$G73,0)</f>
        <v>94</v>
      </c>
      <c r="O73" s="862"/>
      <c r="P73" s="874">
        <f>IF(AND($G73&gt;$Q$3-1,$G73-$H73&gt;0),M73,0)</f>
        <v>0</v>
      </c>
      <c r="Q73" s="875">
        <f>IF(AND($G73&gt;$Q$3-1,$G73-$H73&gt;0),N73,0)</f>
        <v>0</v>
      </c>
      <c r="R73" s="613"/>
      <c r="S73" s="628">
        <f>_xlfn.XLOOKUP($E73,'Løp 1'!$E$10:$E$90,'Løp 1'!$M$10:$M$90,0)</f>
        <v>0</v>
      </c>
      <c r="T73" s="629">
        <f>_xlfn.XLOOKUP($E73,'Løp 1'!$E$10:$E$90,'Løp 1'!$O$10:$O$90,0)</f>
        <v>0</v>
      </c>
      <c r="U73" s="629">
        <f>_xlfn.XLOOKUP($E73,'Løp 1'!$E$10:$E$90,'Løp 1'!$L$10:$L$90,0)</f>
        <v>0</v>
      </c>
      <c r="V73" s="628">
        <f>_xlfn.XLOOKUP($E73,'Løp 2'!$E$10:$E$90,'Løp 2'!$M$10:$M$90,0)</f>
        <v>0</v>
      </c>
      <c r="W73" s="629">
        <f>_xlfn.XLOOKUP($E73,'Løp 2'!$E$10:$E$90,'Løp 2'!$O$10:$O$90,0)</f>
        <v>0</v>
      </c>
      <c r="X73" s="629">
        <f>_xlfn.XLOOKUP($E73,'Løp 2'!$E$10:$E$90,'Løp 2'!$L$10:$L$90,0)</f>
        <v>0</v>
      </c>
      <c r="Y73" s="628">
        <f>_xlfn.XLOOKUP($E73,'Løp 3'!$E$10:$E$90,'Løp 3'!$M$10:$M$90,0)</f>
        <v>0</v>
      </c>
      <c r="Z73" s="629">
        <f>_xlfn.XLOOKUP($E73,'Løp 3'!$E$10:$E$90,'Løp 3'!$O$10:$O$90,0)</f>
        <v>0</v>
      </c>
      <c r="AA73" s="629">
        <f>_xlfn.XLOOKUP($E73,'Løp 3'!$E$10:$E$90,'Løp 3'!$L$10:$L$90,0)</f>
        <v>0</v>
      </c>
      <c r="AB73" s="628">
        <f>_xlfn.XLOOKUP($E73,'Løp 4'!$E$10:$E$90,'Løp 4'!$M$10:$M$90,0)</f>
        <v>0</v>
      </c>
      <c r="AC73" s="629">
        <f>_xlfn.XLOOKUP($E73,'Løp 4'!$E$10:$E$90,'Løp 4'!$O$10:$O$90,0)</f>
        <v>0</v>
      </c>
      <c r="AD73" s="629">
        <f>_xlfn.XLOOKUP($E73,'Løp 4'!$E$10:$E$90,'Løp 4'!$L$10:$L$90,0)</f>
        <v>0</v>
      </c>
      <c r="AE73" s="628">
        <f>_xlfn.XLOOKUP($E73,'Løp 5'!$E$10:$E$90,'Løp 5'!$M$10:$M$90,0)</f>
        <v>94</v>
      </c>
      <c r="AF73" s="629">
        <f>_xlfn.XLOOKUP($E73,'Løp 5'!$E$10:$E$90,'Løp 5'!$O$10:$O$90,0)</f>
        <v>94</v>
      </c>
      <c r="AG73" s="629" t="str">
        <f>_xlfn.XLOOKUP($E73,'Løp 5'!$E$10:$E$90,'Løp 5'!$L$10:$L$90,0)</f>
        <v>Arr</v>
      </c>
      <c r="AH73" s="628">
        <f>_xlfn.XLOOKUP($E73,'Løp 6'!$E$10:$E$90,'Løp 6'!$M$10:$M$90,0)</f>
        <v>0</v>
      </c>
      <c r="AI73" s="629">
        <f>_xlfn.XLOOKUP($E73,'Løp 6'!$E$10:$E$90,'Løp 6'!$O$10:$O$90,0)</f>
        <v>0</v>
      </c>
      <c r="AJ73" s="629">
        <f>_xlfn.XLOOKUP($E73,'Løp 6'!$E$10:$E$90,'Løp 6'!$L$10:$L$90,0)</f>
        <v>0</v>
      </c>
      <c r="AK73" s="628">
        <f>_xlfn.XLOOKUP($E73,'Løp 7'!$E$10:$E$90,'Løp 7'!$M$10:$M$90,0)</f>
        <v>0</v>
      </c>
      <c r="AL73" s="629">
        <f>_xlfn.XLOOKUP($E73,'Løp 7'!$E$10:$E$90,'Løp 7'!$O$10:$O$90,0)</f>
        <v>0</v>
      </c>
      <c r="AM73" s="629">
        <f>_xlfn.XLOOKUP($E73,'Løp 7'!$E$10:$E$90,'Løp 7'!$L$10:$L$90,0)</f>
        <v>0</v>
      </c>
      <c r="AN73" s="628">
        <f>_xlfn.XLOOKUP($E73,'Løp 8'!$E$10:$E$91,'Løp 8'!$M$10:$M$91,0)</f>
        <v>0</v>
      </c>
      <c r="AO73" s="629">
        <f>_xlfn.XLOOKUP($E73,'Løp 8'!$E$10:$E$91,'Løp 8'!$O$10:$O$91,0)</f>
        <v>0</v>
      </c>
      <c r="AP73" s="629">
        <f>_xlfn.XLOOKUP($E73,'Løp 8'!$E$10:$E$91,'Løp 8'!$L$10:$L$91,0)</f>
        <v>0</v>
      </c>
      <c r="AQ73" s="628">
        <f>_xlfn.XLOOKUP($E73,'Løp 9'!$E$10:$E$91,'Løp 9'!$M$10:$M$91,0)</f>
        <v>0</v>
      </c>
      <c r="AR73" s="629">
        <f>_xlfn.XLOOKUP($E73,'Løp 9'!$E$10:$E$91,'Løp 9'!$O$10:$O$91,0)</f>
        <v>0</v>
      </c>
      <c r="AS73" s="629">
        <f>_xlfn.XLOOKUP($E73,'Løp 9'!$E$10:$E$91,'Løp 9'!$L$10:$L$91,0)</f>
        <v>0</v>
      </c>
      <c r="AT73" s="628">
        <f>_xlfn.XLOOKUP($E73,'Løp 10'!$E$10:$E$91,'Løp 10'!$M$10:$M$91,0)</f>
        <v>0</v>
      </c>
      <c r="AU73" s="629">
        <f>_xlfn.XLOOKUP($E73,'Løp 10'!$E$10:$E$91,'Løp 10'!$O$10:$O$91,0)</f>
        <v>0</v>
      </c>
      <c r="AV73" s="629">
        <f>_xlfn.XLOOKUP($E73,'Løp 10'!$E$10:$E$91,'Løp 10'!$L$10:$L$91,0)</f>
        <v>0</v>
      </c>
      <c r="AW73" s="628">
        <f>_xlfn.XLOOKUP($E73,'Løp 11'!$E$10:$E$91,'Løp 11'!$M$10:$M$91,0)</f>
        <v>0</v>
      </c>
      <c r="AX73" s="629">
        <f>_xlfn.XLOOKUP($E73,'Løp 11'!$E$10:$E$91,'Løp 11'!$O$10:$O$91,0)</f>
        <v>0</v>
      </c>
      <c r="AY73" s="629">
        <f>_xlfn.XLOOKUP($E73,'Løp 11'!$E$10:$E$91,'Løp 11'!$L$10:$L$91,0)</f>
        <v>0</v>
      </c>
      <c r="AZ73" s="628">
        <f>_xlfn.XLOOKUP($E73,'Løp 12'!$E$10:$E$91,'Løp 12'!$M$10:$M$91,0)</f>
        <v>0</v>
      </c>
      <c r="BA73" s="629">
        <f>_xlfn.XLOOKUP($E73,'Løp 12'!$E$10:$E$91,'Løp 12'!$O$10:$O$91,0)</f>
        <v>0</v>
      </c>
      <c r="BB73" s="629">
        <f>_xlfn.XLOOKUP($E73,'Løp 12'!$E$10:$E$91,'Løp 12'!$L$10:$L$91,0)</f>
        <v>0</v>
      </c>
      <c r="BC73" s="628">
        <f>_xlfn.XLOOKUP($E73,'Løp 13'!$E$10:$E$91,'Løp 13'!$M$10:$M$91,0)</f>
        <v>0</v>
      </c>
      <c r="BD73" s="629">
        <f>_xlfn.XLOOKUP($E73,'Løp 13'!$E$10:$E$91,'Løp 13'!$O$10:$O$91,0)</f>
        <v>0</v>
      </c>
      <c r="BE73" s="629">
        <f>_xlfn.XLOOKUP($E73,'Løp 13'!$E$10:$E$91,'Løp 13'!$L$10:$L$91,0)</f>
        <v>0</v>
      </c>
      <c r="BF73" s="628">
        <f>_xlfn.XLOOKUP($E73,'Løp 14'!$E$10:$E$91,'Løp 14'!$M$10:$M$91,0)</f>
        <v>0</v>
      </c>
      <c r="BG73" s="629">
        <f>_xlfn.XLOOKUP($E73,'Løp 14'!$E$10:$E$91,'Løp 14'!$O$10:$O$91,0)</f>
        <v>0</v>
      </c>
      <c r="BH73" s="629">
        <f>_xlfn.XLOOKUP($E73,'Løp 14'!$E$10:$E$91,'Løp 14'!$L$10:$L$91,0)</f>
        <v>0</v>
      </c>
      <c r="BI73" s="628">
        <f>_xlfn.XLOOKUP($E73,'Løp 15'!$E$10:$E$91,'Løp 15'!$M$10:$M$91,0)</f>
        <v>0</v>
      </c>
      <c r="BJ73" s="629">
        <f>_xlfn.XLOOKUP($E73,'Løp 15'!$E$10:$E$91,'Løp 15'!$O$10:$O$91,0)</f>
        <v>0</v>
      </c>
      <c r="BK73" s="629">
        <f>_xlfn.XLOOKUP($E73,'Løp 15'!$E$10:$E$91,'Løp 15'!$L$10:$L$91,0)</f>
        <v>0</v>
      </c>
      <c r="BL73" s="628">
        <f>_xlfn.XLOOKUP($E73,'Løp 16'!$E$10:$E$91,'Løp 16'!$M$10:$M$91,0)</f>
        <v>0</v>
      </c>
      <c r="BM73" s="629">
        <f>_xlfn.XLOOKUP($E73,'Løp 16'!$E$10:$E$91,'Løp 16'!$O$10:$O$91,0)</f>
        <v>0</v>
      </c>
      <c r="BN73" s="629">
        <f>_xlfn.XLOOKUP($E73,'Løp 16'!$E$10:$E$91,'Løp 16'!$L$10:$L$91,0)</f>
        <v>0</v>
      </c>
      <c r="BO73" s="628">
        <f>_xlfn.XLOOKUP($E73,'Løp 17'!$E$10:$E$91,'Løp 17'!$M$10:$M$91,0)</f>
        <v>0</v>
      </c>
      <c r="BP73" s="629">
        <f>_xlfn.XLOOKUP($E73,'Løp 17'!$E$10:$E$91,'Løp 17'!$O$10:$O$91,0)</f>
        <v>0</v>
      </c>
      <c r="BQ73" s="629">
        <f>_xlfn.XLOOKUP($E73,'Løp 17'!$E$10:$E$91,'Løp 17'!$L$10:$L$91,0)</f>
        <v>0</v>
      </c>
      <c r="BR73" s="628">
        <f>_xlfn.XLOOKUP($E73,'Løp 18'!$E$10:$E$91,'Løp 18'!$M$10:$M$91,0)</f>
        <v>0</v>
      </c>
      <c r="BS73" s="629">
        <f>_xlfn.XLOOKUP($E73,'Løp 18'!$E$10:$E$91,'Løp 18'!$O$10:$O$91,0)</f>
        <v>0</v>
      </c>
      <c r="BT73" s="629">
        <f>_xlfn.XLOOKUP($E73,'Løp 18'!$E$10:$E$91,'Løp 18'!$L$10:$L$91,0)</f>
        <v>0</v>
      </c>
      <c r="BU73" s="628">
        <f>_xlfn.XLOOKUP($E73,'Løp 19'!$E$10:$E$91,'Løp 19'!$M$10:$M$91,0)</f>
        <v>0</v>
      </c>
      <c r="BV73" s="629">
        <f>_xlfn.XLOOKUP($E73,'Løp 19'!$E$10:$E$91,'Løp 19'!$O$10:$O$91,0)</f>
        <v>0</v>
      </c>
      <c r="BW73" s="629">
        <f>_xlfn.XLOOKUP($E73,'Løp 19'!$E$10:$E$91,'Løp 19'!$L$10:$L$91,0)</f>
        <v>0</v>
      </c>
      <c r="BX73" s="628">
        <f>_xlfn.XLOOKUP($E73,'Løp 20'!$E$10:$E$92,'Løp 20'!$M$10:$M$92,0)</f>
        <v>0</v>
      </c>
      <c r="BY73" s="629">
        <f>_xlfn.XLOOKUP($E73,'Løp 20'!$E$10:$E$92,'Løp 20'!$O$10:$O$92,0)</f>
        <v>0</v>
      </c>
      <c r="BZ73" s="629">
        <f>_xlfn.XLOOKUP($E73,'Løp 20'!$E$10:$E$92,'Løp 20'!$L$10:$L$92,0)</f>
        <v>0</v>
      </c>
      <c r="CA73" s="628">
        <f>_xlfn.XLOOKUP($E73,'Løp 21'!$E$10:$E$93,'Løp 21'!$M$10:$M$93,0)</f>
        <v>0</v>
      </c>
      <c r="CB73" s="629">
        <f>_xlfn.XLOOKUP($E73,'Løp 21'!$E$10:$E$93,'Løp 21'!$O$10:$O$93,0)</f>
        <v>0</v>
      </c>
      <c r="CC73" s="629">
        <f>_xlfn.XLOOKUP($E73,'Løp 21'!$E$10:$E$93,'Løp 21'!$L$10:$L$93,0)</f>
        <v>0</v>
      </c>
      <c r="CD73" s="628">
        <f>_xlfn.XLOOKUP($E73,'Løp 22'!$E$10:$E$93,'Løp 22'!$M$10:$M$93,0)</f>
        <v>0</v>
      </c>
      <c r="CE73" s="629">
        <f>_xlfn.XLOOKUP($E73,'Løp 22'!$E$10:$E$93,'Løp 22'!$O$10:$O$93,0)</f>
        <v>0</v>
      </c>
      <c r="CF73" s="629">
        <f>_xlfn.XLOOKUP($E73,'Løp 22'!$E$10:$E$93,'Løp 22'!$L$10:$L$93,0)</f>
        <v>0</v>
      </c>
      <c r="CG73" s="628">
        <f>_xlfn.XLOOKUP($E73,'Løp 23'!$E$10:$E$93,'Løp 23'!$M$10:$M$93,0)</f>
        <v>0</v>
      </c>
      <c r="CH73" s="629">
        <f>_xlfn.XLOOKUP($E73,'Løp 23'!$E$10:$E$93,'Løp 23'!$O$10:$O$93,0)</f>
        <v>0</v>
      </c>
      <c r="CI73" s="629">
        <f>_xlfn.XLOOKUP($E73,'Løp 23'!$E$10:$E$93,'Løp 23'!$L$10:$L$93,0)</f>
        <v>0</v>
      </c>
      <c r="CJ73" s="628">
        <f>_xlfn.XLOOKUP($E73,'Løp 24'!$E$10:$E$93,'Løp 24'!$M$10:$M$93,0)</f>
        <v>0</v>
      </c>
      <c r="CK73" s="629">
        <f>_xlfn.XLOOKUP($E73,'Løp 24'!$E$10:$E$93,'Løp 24'!$O$10:$O$93,0)</f>
        <v>0</v>
      </c>
      <c r="CL73" s="629">
        <f>_xlfn.XLOOKUP($E73,'Løp 24'!$E$10:$E$93,'Løp 24'!$L$10:$L$93,0)</f>
        <v>0</v>
      </c>
      <c r="CM73" s="628">
        <f>_xlfn.XLOOKUP($E73,'Løp 25'!$E$10:$E$94,'Løp 25'!$M$10:$M$94,0)</f>
        <v>0</v>
      </c>
      <c r="CN73" s="629">
        <f>_xlfn.XLOOKUP($E73,'Løp 25'!$E$10:$E$94,'Løp 25'!$O$10:$O$94,0)</f>
        <v>0</v>
      </c>
      <c r="CO73" s="629">
        <f>_xlfn.XLOOKUP($E73,'Løp 25'!$E$10:$E$94,'Løp 25'!$L$10:$L$94,0)</f>
        <v>0</v>
      </c>
      <c r="CP73" s="628">
        <f>_xlfn.XLOOKUP($E73,'Løp 26'!$E$10:$E$94,'Løp 26'!$M$10:$M$94,0)</f>
        <v>0</v>
      </c>
      <c r="CQ73" s="629">
        <f>_xlfn.XLOOKUP($E73,'Løp 26'!$E$10:$E$94,'Løp 26'!$O$10:$O$94,0)</f>
        <v>0</v>
      </c>
      <c r="CR73" s="629">
        <f>_xlfn.XLOOKUP($E73,'Løp 26'!$E$10:$E$94,'Løp 26'!$L$10:$L$94,0)</f>
        <v>0</v>
      </c>
      <c r="CS73" s="628">
        <f>_xlfn.XLOOKUP($E73,'Løp 27'!$E$10:$E$94,'Løp 27'!$M$10:$M$94,0)</f>
        <v>0</v>
      </c>
      <c r="CT73" s="629">
        <f>_xlfn.XLOOKUP($E73,'Løp 27'!$E$10:$E$94,'Løp 27'!$O$10:$O$94,0)</f>
        <v>0</v>
      </c>
      <c r="CU73" s="629">
        <f>_xlfn.XLOOKUP($E73,'Løp 27'!$E$10:$E$94,'Løp 27'!$L$10:$L$94,0)</f>
        <v>0</v>
      </c>
      <c r="CV73" s="628">
        <f>_xlfn.XLOOKUP($E73,'Løp 28'!$E$10:$E$95,'Løp 28'!$M$10:$M$95,0)</f>
        <v>0</v>
      </c>
      <c r="CW73" s="629">
        <f>_xlfn.XLOOKUP($E73,'Løp 28'!$E$10:$E$95,'Løp 28'!$O$10:$O$95,0)</f>
        <v>0</v>
      </c>
      <c r="CX73" s="629">
        <f>_xlfn.XLOOKUP($E73,'Løp 28'!$E$10:$E$95,'Løp 28'!$L$10:$L$95,0)</f>
        <v>0</v>
      </c>
      <c r="CY73" s="628">
        <f>_xlfn.XLOOKUP($E73,'Løp 29'!$E$10:$E$95,'Løp 29'!$M$10:$M$95,0)</f>
        <v>0</v>
      </c>
      <c r="CZ73" s="629">
        <f>_xlfn.XLOOKUP($E73,'Løp 29'!$E$10:$E$95,'Løp 29'!$O$10:$O$95,0)</f>
        <v>0</v>
      </c>
      <c r="DA73" s="629">
        <f>_xlfn.XLOOKUP($E73,'Løp 29'!$E$10:$E$95,'Løp 29'!$L$10:$L$95,0)</f>
        <v>0</v>
      </c>
    </row>
    <row r="74" spans="2:105" ht="26" thickBot="1" x14ac:dyDescent="0.3">
      <c r="B74" s="627">
        <f t="shared" si="0"/>
        <v>65</v>
      </c>
      <c r="C74" s="119" t="s">
        <v>86</v>
      </c>
      <c r="D74" s="620" t="s">
        <v>87</v>
      </c>
      <c r="E74" s="616" t="str">
        <f>_xlfn.CONCAT(C74:D74)</f>
        <v>KristianFougner</v>
      </c>
      <c r="F74" s="610"/>
      <c r="G74" s="653">
        <f>COUNTIF(S74:DA74,"&gt;2")/2</f>
        <v>4</v>
      </c>
      <c r="H74" s="852">
        <f>COUNTIF(S74:DA74,"=Løype")+COUNTIF(S74:DA74,"Arr")</f>
        <v>4</v>
      </c>
      <c r="I74" s="610"/>
      <c r="J74" s="632">
        <f>S74+V74+Y74+AB74+AE74+AH74+AK74+AN74+AQ74+AT74+AW74+AZ74+BC74+BF74+BI74+BL74+BO74+BR74+BU74+BX74+CA74+CD74+CG74+CJ74+CM74+CP74+CS74+CV74+CY74</f>
        <v>376</v>
      </c>
      <c r="K74" s="633">
        <f>T74+W74+Z74+AC74+AF74+AI74+AL74+AO74+AR74+AU74+AX74+BA74+BD74+BG74+BJ74+BM74+BP74+BS74+BV74+BY74+CB74+CE74+CH74+CK74+CN74+CQ74+CT74+CW74+CZ74</f>
        <v>376</v>
      </c>
      <c r="L74" s="613"/>
      <c r="M74" s="658">
        <f>IF($G74&gt;0,J74/G74,0)</f>
        <v>94</v>
      </c>
      <c r="N74" s="659">
        <f>IF($G74&gt;0,K74/$G74,0)</f>
        <v>94</v>
      </c>
      <c r="O74" s="862"/>
      <c r="P74" s="874">
        <f>IF(AND($G74&gt;$Q$3-1,$G74-$H74&gt;0),M74,0)</f>
        <v>0</v>
      </c>
      <c r="Q74" s="875">
        <f>IF(AND($G74&gt;$Q$3-1,$G74-$H74&gt;0),N74,0)</f>
        <v>0</v>
      </c>
      <c r="R74" s="613"/>
      <c r="S74" s="628">
        <f>_xlfn.XLOOKUP($E74,'Løp 1'!$E$10:$E$90,'Løp 1'!$M$10:$M$90,0)</f>
        <v>0</v>
      </c>
      <c r="T74" s="629">
        <f>_xlfn.XLOOKUP($E74,'Løp 1'!$E$10:$E$90,'Løp 1'!$O$10:$O$90,0)</f>
        <v>0</v>
      </c>
      <c r="U74" s="629">
        <f>_xlfn.XLOOKUP($E74,'Løp 1'!$E$10:$E$90,'Løp 1'!$L$10:$L$90,0)</f>
        <v>0</v>
      </c>
      <c r="V74" s="628">
        <f>_xlfn.XLOOKUP($E74,'Løp 2'!$E$10:$E$90,'Løp 2'!$M$10:$M$90,0)</f>
        <v>0</v>
      </c>
      <c r="W74" s="629">
        <f>_xlfn.XLOOKUP($E74,'Løp 2'!$E$10:$E$90,'Løp 2'!$O$10:$O$90,0)</f>
        <v>0</v>
      </c>
      <c r="X74" s="629">
        <f>_xlfn.XLOOKUP($E74,'Løp 2'!$E$10:$E$90,'Løp 2'!$L$10:$L$90,0)</f>
        <v>0</v>
      </c>
      <c r="Y74" s="628">
        <f>_xlfn.XLOOKUP($E74,'Løp 3'!$E$10:$E$90,'Løp 3'!$M$10:$M$90,0)</f>
        <v>0</v>
      </c>
      <c r="Z74" s="629">
        <f>_xlfn.XLOOKUP($E74,'Løp 3'!$E$10:$E$90,'Løp 3'!$O$10:$O$90,0)</f>
        <v>0</v>
      </c>
      <c r="AA74" s="629">
        <f>_xlfn.XLOOKUP($E74,'Løp 3'!$E$10:$E$90,'Løp 3'!$L$10:$L$90,0)</f>
        <v>0</v>
      </c>
      <c r="AB74" s="628">
        <f>_xlfn.XLOOKUP($E74,'Løp 4'!$E$10:$E$90,'Løp 4'!$M$10:$M$90,0)</f>
        <v>0</v>
      </c>
      <c r="AC74" s="629">
        <f>_xlfn.XLOOKUP($E74,'Løp 4'!$E$10:$E$90,'Løp 4'!$O$10:$O$90,0)</f>
        <v>0</v>
      </c>
      <c r="AD74" s="629">
        <f>_xlfn.XLOOKUP($E74,'Løp 4'!$E$10:$E$90,'Løp 4'!$L$10:$L$90,0)</f>
        <v>0</v>
      </c>
      <c r="AE74" s="628">
        <f>_xlfn.XLOOKUP($E74,'Løp 5'!$E$10:$E$90,'Løp 5'!$M$10:$M$90,0)</f>
        <v>0</v>
      </c>
      <c r="AF74" s="629">
        <f>_xlfn.XLOOKUP($E74,'Løp 5'!$E$10:$E$90,'Løp 5'!$O$10:$O$90,0)</f>
        <v>0</v>
      </c>
      <c r="AG74" s="629">
        <f>_xlfn.XLOOKUP($E74,'Løp 5'!$E$10:$E$90,'Løp 5'!$L$10:$L$90,0)</f>
        <v>0</v>
      </c>
      <c r="AH74" s="628">
        <f>_xlfn.XLOOKUP($E74,'Løp 6'!$E$10:$E$90,'Løp 6'!$M$10:$M$90,0)</f>
        <v>94</v>
      </c>
      <c r="AI74" s="629">
        <f>_xlfn.XLOOKUP($E74,'Løp 6'!$E$10:$E$90,'Løp 6'!$O$10:$O$90,0)</f>
        <v>94</v>
      </c>
      <c r="AJ74" s="629" t="str">
        <f>_xlfn.XLOOKUP($E74,'Løp 6'!$E$10:$E$90,'Løp 6'!$L$10:$L$90,0)</f>
        <v>Arr</v>
      </c>
      <c r="AK74" s="628">
        <f>_xlfn.XLOOKUP($E74,'Løp 7'!$E$10:$E$90,'Løp 7'!$M$10:$M$90,0)</f>
        <v>0</v>
      </c>
      <c r="AL74" s="629">
        <f>_xlfn.XLOOKUP($E74,'Løp 7'!$E$10:$E$90,'Løp 7'!$O$10:$O$90,0)</f>
        <v>0</v>
      </c>
      <c r="AM74" s="629">
        <f>_xlfn.XLOOKUP($E74,'Løp 7'!$E$10:$E$90,'Løp 7'!$L$10:$L$90,0)</f>
        <v>0</v>
      </c>
      <c r="AN74" s="628">
        <f>_xlfn.XLOOKUP($E74,'Løp 8'!$E$10:$E$91,'Løp 8'!$M$10:$M$91,0)</f>
        <v>0</v>
      </c>
      <c r="AO74" s="629">
        <f>_xlfn.XLOOKUP($E74,'Løp 8'!$E$10:$E$91,'Løp 8'!$O$10:$O$91,0)</f>
        <v>0</v>
      </c>
      <c r="AP74" s="629">
        <f>_xlfn.XLOOKUP($E74,'Løp 8'!$E$10:$E$91,'Løp 8'!$L$10:$L$91,0)</f>
        <v>0</v>
      </c>
      <c r="AQ74" s="628">
        <f>_xlfn.XLOOKUP($E74,'Løp 9'!$E$10:$E$91,'Løp 9'!$M$10:$M$91,0)</f>
        <v>0</v>
      </c>
      <c r="AR74" s="629">
        <f>_xlfn.XLOOKUP($E74,'Løp 9'!$E$10:$E$91,'Løp 9'!$O$10:$O$91,0)</f>
        <v>0</v>
      </c>
      <c r="AS74" s="629">
        <f>_xlfn.XLOOKUP($E74,'Løp 9'!$E$10:$E$91,'Løp 9'!$L$10:$L$91,0)</f>
        <v>0</v>
      </c>
      <c r="AT74" s="628">
        <f>_xlfn.XLOOKUP($E74,'Løp 10'!$E$10:$E$91,'Løp 10'!$M$10:$M$91,0)</f>
        <v>0</v>
      </c>
      <c r="AU74" s="629">
        <f>_xlfn.XLOOKUP($E74,'Løp 10'!$E$10:$E$91,'Løp 10'!$O$10:$O$91,0)</f>
        <v>0</v>
      </c>
      <c r="AV74" s="629">
        <f>_xlfn.XLOOKUP($E74,'Løp 10'!$E$10:$E$91,'Løp 10'!$L$10:$L$91,0)</f>
        <v>0</v>
      </c>
      <c r="AW74" s="628">
        <f>_xlfn.XLOOKUP($E74,'Løp 11'!$E$10:$E$91,'Løp 11'!$M$10:$M$91,0)</f>
        <v>94</v>
      </c>
      <c r="AX74" s="629">
        <f>_xlfn.XLOOKUP($E74,'Løp 11'!$E$10:$E$91,'Løp 11'!$O$10:$O$91,0)</f>
        <v>94</v>
      </c>
      <c r="AY74" s="629" t="str">
        <f>_xlfn.XLOOKUP($E74,'Løp 11'!$E$10:$E$91,'Løp 11'!$L$10:$L$91,0)</f>
        <v>Arr</v>
      </c>
      <c r="AZ74" s="628">
        <f>_xlfn.XLOOKUP($E74,'Løp 12'!$E$10:$E$91,'Løp 12'!$M$10:$M$91,0)</f>
        <v>94</v>
      </c>
      <c r="BA74" s="629">
        <f>_xlfn.XLOOKUP($E74,'Løp 12'!$E$10:$E$91,'Løp 12'!$O$10:$O$91,0)</f>
        <v>94</v>
      </c>
      <c r="BB74" s="629" t="str">
        <f>_xlfn.XLOOKUP($E74,'Løp 12'!$E$10:$E$91,'Løp 12'!$L$10:$L$91,0)</f>
        <v>Arr</v>
      </c>
      <c r="BC74" s="628">
        <f>_xlfn.XLOOKUP($E74,'Løp 13'!$E$10:$E$91,'Løp 13'!$M$10:$M$91,0)</f>
        <v>94</v>
      </c>
      <c r="BD74" s="629">
        <f>_xlfn.XLOOKUP($E74,'Løp 13'!$E$10:$E$91,'Løp 13'!$O$10:$O$91,0)</f>
        <v>94</v>
      </c>
      <c r="BE74" s="629" t="str">
        <f>_xlfn.XLOOKUP($E74,'Løp 13'!$E$10:$E$91,'Løp 13'!$L$10:$L$91,0)</f>
        <v>Arr</v>
      </c>
      <c r="BF74" s="628">
        <f>_xlfn.XLOOKUP($E74,'Løp 14'!$E$10:$E$91,'Løp 14'!$M$10:$M$91,0)</f>
        <v>0</v>
      </c>
      <c r="BG74" s="629">
        <f>_xlfn.XLOOKUP($E74,'Løp 14'!$E$10:$E$91,'Løp 14'!$O$10:$O$91,0)</f>
        <v>0</v>
      </c>
      <c r="BH74" s="629">
        <f>_xlfn.XLOOKUP($E74,'Løp 14'!$E$10:$E$91,'Løp 14'!$L$10:$L$91,0)</f>
        <v>0</v>
      </c>
      <c r="BI74" s="628">
        <f>_xlfn.XLOOKUP($E74,'Løp 15'!$E$10:$E$91,'Løp 15'!$M$10:$M$91,0)</f>
        <v>0</v>
      </c>
      <c r="BJ74" s="629">
        <f>_xlfn.XLOOKUP($E74,'Løp 15'!$E$10:$E$91,'Løp 15'!$O$10:$O$91,0)</f>
        <v>0</v>
      </c>
      <c r="BK74" s="629">
        <f>_xlfn.XLOOKUP($E74,'Løp 15'!$E$10:$E$91,'Løp 15'!$L$10:$L$91,0)</f>
        <v>0</v>
      </c>
      <c r="BL74" s="628">
        <f>_xlfn.XLOOKUP($E74,'Løp 16'!$E$10:$E$91,'Løp 16'!$M$10:$M$91,0)</f>
        <v>0</v>
      </c>
      <c r="BM74" s="629">
        <f>_xlfn.XLOOKUP($E74,'Løp 16'!$E$10:$E$91,'Løp 16'!$O$10:$O$91,0)</f>
        <v>0</v>
      </c>
      <c r="BN74" s="629">
        <f>_xlfn.XLOOKUP($E74,'Løp 16'!$E$10:$E$91,'Løp 16'!$L$10:$L$91,0)</f>
        <v>0</v>
      </c>
      <c r="BO74" s="628">
        <f>_xlfn.XLOOKUP($E74,'Løp 17'!$E$10:$E$91,'Løp 17'!$M$10:$M$91,0)</f>
        <v>0</v>
      </c>
      <c r="BP74" s="629">
        <f>_xlfn.XLOOKUP($E74,'Løp 17'!$E$10:$E$91,'Løp 17'!$O$10:$O$91,0)</f>
        <v>0</v>
      </c>
      <c r="BQ74" s="629">
        <f>_xlfn.XLOOKUP($E74,'Løp 17'!$E$10:$E$91,'Løp 17'!$L$10:$L$91,0)</f>
        <v>0</v>
      </c>
      <c r="BR74" s="628">
        <f>_xlfn.XLOOKUP($E74,'Løp 18'!$E$10:$E$91,'Løp 18'!$M$10:$M$91,0)</f>
        <v>0</v>
      </c>
      <c r="BS74" s="629">
        <f>_xlfn.XLOOKUP($E74,'Løp 18'!$E$10:$E$91,'Løp 18'!$O$10:$O$91,0)</f>
        <v>0</v>
      </c>
      <c r="BT74" s="629">
        <f>_xlfn.XLOOKUP($E74,'Løp 18'!$E$10:$E$91,'Løp 18'!$L$10:$L$91,0)</f>
        <v>0</v>
      </c>
      <c r="BU74" s="628">
        <f>_xlfn.XLOOKUP($E74,'Løp 19'!$E$10:$E$91,'Løp 19'!$M$10:$M$91,0)</f>
        <v>0</v>
      </c>
      <c r="BV74" s="629">
        <f>_xlfn.XLOOKUP($E74,'Løp 19'!$E$10:$E$91,'Løp 19'!$O$10:$O$91,0)</f>
        <v>0</v>
      </c>
      <c r="BW74" s="629">
        <f>_xlfn.XLOOKUP($E74,'Løp 19'!$E$10:$E$91,'Løp 19'!$L$10:$L$91,0)</f>
        <v>0</v>
      </c>
      <c r="BX74" s="628">
        <f>_xlfn.XLOOKUP($E74,'Løp 20'!$E$10:$E$92,'Løp 20'!$M$10:$M$92,0)</f>
        <v>0</v>
      </c>
      <c r="BY74" s="629">
        <f>_xlfn.XLOOKUP($E74,'Løp 20'!$E$10:$E$92,'Løp 20'!$O$10:$O$92,0)</f>
        <v>0</v>
      </c>
      <c r="BZ74" s="629">
        <f>_xlfn.XLOOKUP($E74,'Løp 20'!$E$10:$E$92,'Løp 20'!$L$10:$L$92,0)</f>
        <v>0</v>
      </c>
      <c r="CA74" s="628">
        <f>_xlfn.XLOOKUP($E74,'Løp 21'!$E$10:$E$93,'Løp 21'!$M$10:$M$93,0)</f>
        <v>0</v>
      </c>
      <c r="CB74" s="629">
        <f>_xlfn.XLOOKUP($E74,'Løp 21'!$E$10:$E$93,'Løp 21'!$O$10:$O$93,0)</f>
        <v>0</v>
      </c>
      <c r="CC74" s="629">
        <f>_xlfn.XLOOKUP($E74,'Løp 21'!$E$10:$E$93,'Løp 21'!$L$10:$L$93,0)</f>
        <v>0</v>
      </c>
      <c r="CD74" s="628">
        <f>_xlfn.XLOOKUP($E74,'Løp 22'!$E$10:$E$93,'Løp 22'!$M$10:$M$93,0)</f>
        <v>0</v>
      </c>
      <c r="CE74" s="629">
        <f>_xlfn.XLOOKUP($E74,'Løp 22'!$E$10:$E$93,'Løp 22'!$O$10:$O$93,0)</f>
        <v>0</v>
      </c>
      <c r="CF74" s="629">
        <f>_xlfn.XLOOKUP($E74,'Løp 22'!$E$10:$E$93,'Løp 22'!$L$10:$L$93,0)</f>
        <v>0</v>
      </c>
      <c r="CG74" s="628">
        <f>_xlfn.XLOOKUP($E74,'Løp 23'!$E$10:$E$93,'Løp 23'!$M$10:$M$93,0)</f>
        <v>0</v>
      </c>
      <c r="CH74" s="629">
        <f>_xlfn.XLOOKUP($E74,'Løp 23'!$E$10:$E$93,'Løp 23'!$O$10:$O$93,0)</f>
        <v>0</v>
      </c>
      <c r="CI74" s="629">
        <f>_xlfn.XLOOKUP($E74,'Løp 23'!$E$10:$E$93,'Løp 23'!$L$10:$L$93,0)</f>
        <v>0</v>
      </c>
      <c r="CJ74" s="628">
        <f>_xlfn.XLOOKUP($E74,'Løp 24'!$E$10:$E$93,'Løp 24'!$M$10:$M$93,0)</f>
        <v>0</v>
      </c>
      <c r="CK74" s="629">
        <f>_xlfn.XLOOKUP($E74,'Løp 24'!$E$10:$E$93,'Løp 24'!$O$10:$O$93,0)</f>
        <v>0</v>
      </c>
      <c r="CL74" s="629">
        <f>_xlfn.XLOOKUP($E74,'Løp 24'!$E$10:$E$93,'Løp 24'!$L$10:$L$93,0)</f>
        <v>0</v>
      </c>
      <c r="CM74" s="628">
        <f>_xlfn.XLOOKUP($E74,'Løp 25'!$E$10:$E$94,'Løp 25'!$M$10:$M$94,0)</f>
        <v>0</v>
      </c>
      <c r="CN74" s="629">
        <f>_xlfn.XLOOKUP($E74,'Løp 25'!$E$10:$E$94,'Løp 25'!$O$10:$O$94,0)</f>
        <v>0</v>
      </c>
      <c r="CO74" s="629">
        <f>_xlfn.XLOOKUP($E74,'Løp 25'!$E$10:$E$94,'Løp 25'!$L$10:$L$94,0)</f>
        <v>0</v>
      </c>
      <c r="CP74" s="628">
        <f>_xlfn.XLOOKUP($E74,'Løp 26'!$E$10:$E$94,'Løp 26'!$M$10:$M$94,0)</f>
        <v>0</v>
      </c>
      <c r="CQ74" s="629">
        <f>_xlfn.XLOOKUP($E74,'Løp 26'!$E$10:$E$94,'Løp 26'!$O$10:$O$94,0)</f>
        <v>0</v>
      </c>
      <c r="CR74" s="629">
        <f>_xlfn.XLOOKUP($E74,'Løp 26'!$E$10:$E$94,'Løp 26'!$L$10:$L$94,0)</f>
        <v>0</v>
      </c>
      <c r="CS74" s="628">
        <f>_xlfn.XLOOKUP($E74,'Løp 27'!$E$10:$E$94,'Løp 27'!$M$10:$M$94,0)</f>
        <v>0</v>
      </c>
      <c r="CT74" s="629">
        <f>_xlfn.XLOOKUP($E74,'Løp 27'!$E$10:$E$94,'Løp 27'!$O$10:$O$94,0)</f>
        <v>0</v>
      </c>
      <c r="CU74" s="629">
        <f>_xlfn.XLOOKUP($E74,'Løp 27'!$E$10:$E$94,'Løp 27'!$L$10:$L$94,0)</f>
        <v>0</v>
      </c>
      <c r="CV74" s="628">
        <f>_xlfn.XLOOKUP($E74,'Løp 28'!$E$10:$E$95,'Løp 28'!$M$10:$M$95,0)</f>
        <v>0</v>
      </c>
      <c r="CW74" s="629">
        <f>_xlfn.XLOOKUP($E74,'Løp 28'!$E$10:$E$95,'Løp 28'!$O$10:$O$95,0)</f>
        <v>0</v>
      </c>
      <c r="CX74" s="629">
        <f>_xlfn.XLOOKUP($E74,'Løp 28'!$E$10:$E$95,'Løp 28'!$L$10:$L$95,0)</f>
        <v>0</v>
      </c>
      <c r="CY74" s="628">
        <f>_xlfn.XLOOKUP($E74,'Løp 29'!$E$10:$E$95,'Løp 29'!$M$10:$M$95,0)</f>
        <v>0</v>
      </c>
      <c r="CZ74" s="629">
        <f>_xlfn.XLOOKUP($E74,'Løp 29'!$E$10:$E$95,'Løp 29'!$O$10:$O$95,0)</f>
        <v>0</v>
      </c>
      <c r="DA74" s="629">
        <f>_xlfn.XLOOKUP($E74,'Løp 29'!$E$10:$E$95,'Løp 29'!$L$10:$L$95,0)</f>
        <v>0</v>
      </c>
    </row>
    <row r="75" spans="2:105" ht="26" thickBot="1" x14ac:dyDescent="0.3">
      <c r="B75" s="627">
        <f t="shared" si="0"/>
        <v>66</v>
      </c>
      <c r="C75" s="119" t="s">
        <v>364</v>
      </c>
      <c r="D75" s="620" t="s">
        <v>365</v>
      </c>
      <c r="E75" s="616" t="str">
        <f>_xlfn.CONCAT(C75:D75)</f>
        <v>GerdBjørset</v>
      </c>
      <c r="F75" s="610"/>
      <c r="G75" s="653">
        <f>COUNTIF(S75:DA75,"&gt;2")/2</f>
        <v>3</v>
      </c>
      <c r="H75" s="852">
        <f>COUNTIF(S75:DA75,"=Løype")+COUNTIF(S75:DA75,"Arr")</f>
        <v>0</v>
      </c>
      <c r="I75" s="610"/>
      <c r="J75" s="632">
        <f>S75+V75+Y75+AB75+AE75+AH75+AK75+AN75+AQ75+AT75+AW75+AZ75+BC75+BF75+BI75+BL75+BO75+BR75+BU75+BX75+CA75+CD75+CG75+CJ75+CM75+CP75+CS75+CV75+CY75</f>
        <v>224</v>
      </c>
      <c r="K75" s="633">
        <f>T75+W75+Z75+AC75+AF75+AI75+AL75+AO75+AR75+AU75+AX75+BA75+BD75+BG75+BJ75+BM75+BP75+BS75+BV75+BY75+CB75+CE75+CH75+CK75+CN75+CQ75+CT75+CW75+CZ75</f>
        <v>280</v>
      </c>
      <c r="L75" s="613"/>
      <c r="M75" s="658">
        <f>IF($G75&gt;0,J75/G75,0)</f>
        <v>74.666666666666671</v>
      </c>
      <c r="N75" s="659">
        <f>IF($G75&gt;0,K75/$G75,0)</f>
        <v>93.333333333333329</v>
      </c>
      <c r="O75" s="862"/>
      <c r="P75" s="874">
        <f>IF(AND($G75&gt;$Q$3-1,$G75-$H75&gt;0),M75,0)</f>
        <v>0</v>
      </c>
      <c r="Q75" s="875">
        <f>IF(AND($G75&gt;$Q$3-1,$G75-$H75&gt;0),N75,0)</f>
        <v>0</v>
      </c>
      <c r="R75" s="613"/>
      <c r="S75" s="628">
        <f>_xlfn.XLOOKUP($E75,'Løp 1'!$E$10:$E$90,'Løp 1'!$M$10:$M$90,0)</f>
        <v>0</v>
      </c>
      <c r="T75" s="629">
        <f>_xlfn.XLOOKUP($E75,'Løp 1'!$E$10:$E$90,'Løp 1'!$O$10:$O$90,0)</f>
        <v>0</v>
      </c>
      <c r="U75" s="629">
        <f>_xlfn.XLOOKUP($E75,'Løp 1'!$E$10:$E$90,'Løp 1'!$L$10:$L$90,0)</f>
        <v>0</v>
      </c>
      <c r="V75" s="628">
        <f>_xlfn.XLOOKUP($E75,'Løp 2'!$E$10:$E$90,'Løp 2'!$M$10:$M$90,0)</f>
        <v>0</v>
      </c>
      <c r="W75" s="629">
        <f>_xlfn.XLOOKUP($E75,'Løp 2'!$E$10:$E$90,'Løp 2'!$O$10:$O$90,0)</f>
        <v>0</v>
      </c>
      <c r="X75" s="629">
        <f>_xlfn.XLOOKUP($E75,'Løp 2'!$E$10:$E$90,'Løp 2'!$L$10:$L$90,0)</f>
        <v>0</v>
      </c>
      <c r="Y75" s="628">
        <f>_xlfn.XLOOKUP($E75,'Løp 3'!$E$10:$E$90,'Løp 3'!$M$10:$M$90,0)</f>
        <v>0</v>
      </c>
      <c r="Z75" s="629">
        <f>_xlfn.XLOOKUP($E75,'Løp 3'!$E$10:$E$90,'Løp 3'!$O$10:$O$90,0)</f>
        <v>0</v>
      </c>
      <c r="AA75" s="629">
        <f>_xlfn.XLOOKUP($E75,'Løp 3'!$E$10:$E$90,'Løp 3'!$L$10:$L$90,0)</f>
        <v>0</v>
      </c>
      <c r="AB75" s="628">
        <f>_xlfn.XLOOKUP($E75,'Løp 4'!$E$10:$E$90,'Løp 4'!$M$10:$M$90,0)</f>
        <v>0</v>
      </c>
      <c r="AC75" s="629">
        <f>_xlfn.XLOOKUP($E75,'Løp 4'!$E$10:$E$90,'Løp 4'!$O$10:$O$90,0)</f>
        <v>0</v>
      </c>
      <c r="AD75" s="629">
        <f>_xlfn.XLOOKUP($E75,'Løp 4'!$E$10:$E$90,'Løp 4'!$L$10:$L$90,0)</f>
        <v>0</v>
      </c>
      <c r="AE75" s="628">
        <f>_xlfn.XLOOKUP($E75,'Løp 5'!$E$10:$E$90,'Løp 5'!$M$10:$M$90,0)</f>
        <v>76</v>
      </c>
      <c r="AF75" s="629">
        <f>_xlfn.XLOOKUP($E75,'Løp 5'!$E$10:$E$90,'Løp 5'!$O$10:$O$90,0)</f>
        <v>93</v>
      </c>
      <c r="AG75" s="629">
        <f>_xlfn.XLOOKUP($E75,'Løp 5'!$E$10:$E$90,'Løp 5'!$L$10:$L$90,0)</f>
        <v>9.5164609053497926E-3</v>
      </c>
      <c r="AH75" s="628">
        <f>_xlfn.XLOOKUP($E75,'Løp 6'!$E$10:$E$90,'Løp 6'!$M$10:$M$90,0)</f>
        <v>79</v>
      </c>
      <c r="AI75" s="629">
        <f>_xlfn.XLOOKUP($E75,'Løp 6'!$E$10:$E$90,'Løp 6'!$O$10:$O$90,0)</f>
        <v>100</v>
      </c>
      <c r="AJ75" s="629">
        <f>_xlfn.XLOOKUP($E75,'Løp 6'!$E$10:$E$90,'Løp 6'!$L$10:$L$90,0)</f>
        <v>9.969135802469135E-3</v>
      </c>
      <c r="AK75" s="628">
        <f>_xlfn.XLOOKUP($E75,'Løp 7'!$E$10:$E$90,'Løp 7'!$M$10:$M$90,0)</f>
        <v>0</v>
      </c>
      <c r="AL75" s="629">
        <f>_xlfn.XLOOKUP($E75,'Løp 7'!$E$10:$E$90,'Løp 7'!$O$10:$O$90,0)</f>
        <v>0</v>
      </c>
      <c r="AM75" s="629">
        <f>_xlfn.XLOOKUP($E75,'Løp 7'!$E$10:$E$90,'Løp 7'!$L$10:$L$90,0)</f>
        <v>0</v>
      </c>
      <c r="AN75" s="628">
        <f>_xlfn.XLOOKUP($E75,'Løp 8'!$E$10:$E$91,'Løp 8'!$M$10:$M$91,0)</f>
        <v>0</v>
      </c>
      <c r="AO75" s="629">
        <f>_xlfn.XLOOKUP($E75,'Løp 8'!$E$10:$E$91,'Løp 8'!$O$10:$O$91,0)</f>
        <v>0</v>
      </c>
      <c r="AP75" s="629">
        <f>_xlfn.XLOOKUP($E75,'Løp 8'!$E$10:$E$91,'Løp 8'!$L$10:$L$91,0)</f>
        <v>0</v>
      </c>
      <c r="AQ75" s="628">
        <f>_xlfn.XLOOKUP($E75,'Løp 9'!$E$10:$E$91,'Løp 9'!$M$10:$M$91,0)</f>
        <v>0</v>
      </c>
      <c r="AR75" s="629">
        <f>_xlfn.XLOOKUP($E75,'Løp 9'!$E$10:$E$91,'Løp 9'!$O$10:$O$91,0)</f>
        <v>0</v>
      </c>
      <c r="AS75" s="629">
        <f>_xlfn.XLOOKUP($E75,'Løp 9'!$E$10:$E$91,'Løp 9'!$L$10:$L$91,0)</f>
        <v>0</v>
      </c>
      <c r="AT75" s="628">
        <f>_xlfn.XLOOKUP($E75,'Løp 10'!$E$10:$E$91,'Løp 10'!$M$10:$M$91,0)</f>
        <v>0</v>
      </c>
      <c r="AU75" s="629">
        <f>_xlfn.XLOOKUP($E75,'Løp 10'!$E$10:$E$91,'Løp 10'!$O$10:$O$91,0)</f>
        <v>0</v>
      </c>
      <c r="AV75" s="629">
        <f>_xlfn.XLOOKUP($E75,'Løp 10'!$E$10:$E$91,'Løp 10'!$L$10:$L$91,0)</f>
        <v>0</v>
      </c>
      <c r="AW75" s="628">
        <f>_xlfn.XLOOKUP($E75,'Løp 11'!$E$10:$E$91,'Løp 11'!$M$10:$M$91,0)</f>
        <v>0</v>
      </c>
      <c r="AX75" s="629">
        <f>_xlfn.XLOOKUP($E75,'Løp 11'!$E$10:$E$91,'Løp 11'!$O$10:$O$91,0)</f>
        <v>0</v>
      </c>
      <c r="AY75" s="629">
        <f>_xlfn.XLOOKUP($E75,'Løp 11'!$E$10:$E$91,'Løp 11'!$L$10:$L$91,0)</f>
        <v>0</v>
      </c>
      <c r="AZ75" s="628">
        <f>_xlfn.XLOOKUP($E75,'Løp 12'!$E$10:$E$91,'Løp 12'!$M$10:$M$91,0)</f>
        <v>0</v>
      </c>
      <c r="BA75" s="629">
        <f>_xlfn.XLOOKUP($E75,'Løp 12'!$E$10:$E$91,'Løp 12'!$O$10:$O$91,0)</f>
        <v>0</v>
      </c>
      <c r="BB75" s="629">
        <f>_xlfn.XLOOKUP($E75,'Løp 12'!$E$10:$E$91,'Løp 12'!$L$10:$L$91,0)</f>
        <v>0</v>
      </c>
      <c r="BC75" s="628">
        <f>_xlfn.XLOOKUP($E75,'Løp 13'!$E$10:$E$91,'Løp 13'!$M$10:$M$91,0)</f>
        <v>0</v>
      </c>
      <c r="BD75" s="629">
        <f>_xlfn.XLOOKUP($E75,'Løp 13'!$E$10:$E$91,'Løp 13'!$O$10:$O$91,0)</f>
        <v>0</v>
      </c>
      <c r="BE75" s="629">
        <f>_xlfn.XLOOKUP($E75,'Løp 13'!$E$10:$E$91,'Løp 13'!$L$10:$L$91,0)</f>
        <v>0</v>
      </c>
      <c r="BF75" s="628">
        <f>_xlfn.XLOOKUP($E75,'Løp 14'!$E$10:$E$91,'Løp 14'!$M$10:$M$91,0)</f>
        <v>0</v>
      </c>
      <c r="BG75" s="629">
        <f>_xlfn.XLOOKUP($E75,'Løp 14'!$E$10:$E$91,'Løp 14'!$O$10:$O$91,0)</f>
        <v>0</v>
      </c>
      <c r="BH75" s="629">
        <f>_xlfn.XLOOKUP($E75,'Løp 14'!$E$10:$E$91,'Løp 14'!$L$10:$L$91,0)</f>
        <v>0</v>
      </c>
      <c r="BI75" s="628">
        <f>_xlfn.XLOOKUP($E75,'Løp 15'!$E$10:$E$91,'Løp 15'!$M$10:$M$91,0)</f>
        <v>0</v>
      </c>
      <c r="BJ75" s="629">
        <f>_xlfn.XLOOKUP($E75,'Løp 15'!$E$10:$E$91,'Løp 15'!$O$10:$O$91,0)</f>
        <v>0</v>
      </c>
      <c r="BK75" s="629">
        <f>_xlfn.XLOOKUP($E75,'Løp 15'!$E$10:$E$91,'Løp 15'!$L$10:$L$91,0)</f>
        <v>0</v>
      </c>
      <c r="BL75" s="628">
        <f>_xlfn.XLOOKUP($E75,'Løp 16'!$E$10:$E$91,'Løp 16'!$M$10:$M$91,0)</f>
        <v>0</v>
      </c>
      <c r="BM75" s="629">
        <f>_xlfn.XLOOKUP($E75,'Løp 16'!$E$10:$E$91,'Løp 16'!$O$10:$O$91,0)</f>
        <v>0</v>
      </c>
      <c r="BN75" s="629">
        <f>_xlfn.XLOOKUP($E75,'Løp 16'!$E$10:$E$91,'Løp 16'!$L$10:$L$91,0)</f>
        <v>0</v>
      </c>
      <c r="BO75" s="628">
        <f>_xlfn.XLOOKUP($E75,'Løp 17'!$E$10:$E$91,'Løp 17'!$M$10:$M$91,0)</f>
        <v>0</v>
      </c>
      <c r="BP75" s="629">
        <f>_xlfn.XLOOKUP($E75,'Løp 17'!$E$10:$E$91,'Løp 17'!$O$10:$O$91,0)</f>
        <v>0</v>
      </c>
      <c r="BQ75" s="629">
        <f>_xlfn.XLOOKUP($E75,'Løp 17'!$E$10:$E$91,'Løp 17'!$L$10:$L$91,0)</f>
        <v>0</v>
      </c>
      <c r="BR75" s="628">
        <f>_xlfn.XLOOKUP($E75,'Løp 18'!$E$10:$E$91,'Løp 18'!$M$10:$M$91,0)</f>
        <v>0</v>
      </c>
      <c r="BS75" s="629">
        <f>_xlfn.XLOOKUP($E75,'Løp 18'!$E$10:$E$91,'Løp 18'!$O$10:$O$91,0)</f>
        <v>0</v>
      </c>
      <c r="BT75" s="629">
        <f>_xlfn.XLOOKUP($E75,'Løp 18'!$E$10:$E$91,'Løp 18'!$L$10:$L$91,0)</f>
        <v>0</v>
      </c>
      <c r="BU75" s="628">
        <f>_xlfn.XLOOKUP($E75,'Løp 19'!$E$10:$E$91,'Løp 19'!$M$10:$M$91,0)</f>
        <v>0</v>
      </c>
      <c r="BV75" s="629">
        <f>_xlfn.XLOOKUP($E75,'Løp 19'!$E$10:$E$91,'Løp 19'!$O$10:$O$91,0)</f>
        <v>0</v>
      </c>
      <c r="BW75" s="629">
        <f>_xlfn.XLOOKUP($E75,'Løp 19'!$E$10:$E$91,'Løp 19'!$L$10:$L$91,0)</f>
        <v>0</v>
      </c>
      <c r="BX75" s="628">
        <f>_xlfn.XLOOKUP($E75,'Løp 20'!$E$10:$E$92,'Løp 20'!$M$10:$M$92,0)</f>
        <v>0</v>
      </c>
      <c r="BY75" s="629">
        <f>_xlfn.XLOOKUP($E75,'Løp 20'!$E$10:$E$92,'Løp 20'!$O$10:$O$92,0)</f>
        <v>0</v>
      </c>
      <c r="BZ75" s="629">
        <f>_xlfn.XLOOKUP($E75,'Løp 20'!$E$10:$E$92,'Løp 20'!$L$10:$L$92,0)</f>
        <v>0</v>
      </c>
      <c r="CA75" s="628">
        <f>_xlfn.XLOOKUP($E75,'Løp 21'!$E$10:$E$93,'Løp 21'!$M$10:$M$93,0)</f>
        <v>0</v>
      </c>
      <c r="CB75" s="629">
        <f>_xlfn.XLOOKUP($E75,'Løp 21'!$E$10:$E$93,'Løp 21'!$O$10:$O$93,0)</f>
        <v>0</v>
      </c>
      <c r="CC75" s="629">
        <f>_xlfn.XLOOKUP($E75,'Løp 21'!$E$10:$E$93,'Løp 21'!$L$10:$L$93,0)</f>
        <v>0</v>
      </c>
      <c r="CD75" s="628">
        <f>_xlfn.XLOOKUP($E75,'Løp 22'!$E$10:$E$93,'Løp 22'!$M$10:$M$93,0)</f>
        <v>0</v>
      </c>
      <c r="CE75" s="629">
        <f>_xlfn.XLOOKUP($E75,'Løp 22'!$E$10:$E$93,'Løp 22'!$O$10:$O$93,0)</f>
        <v>0</v>
      </c>
      <c r="CF75" s="629">
        <f>_xlfn.XLOOKUP($E75,'Løp 22'!$E$10:$E$93,'Løp 22'!$L$10:$L$93,0)</f>
        <v>0</v>
      </c>
      <c r="CG75" s="628">
        <f>_xlfn.XLOOKUP($E75,'Løp 23'!$E$10:$E$93,'Løp 23'!$M$10:$M$93,0)</f>
        <v>69</v>
      </c>
      <c r="CH75" s="629">
        <f>_xlfn.XLOOKUP($E75,'Løp 23'!$E$10:$E$93,'Løp 23'!$O$10:$O$93,0)</f>
        <v>87</v>
      </c>
      <c r="CI75" s="629">
        <f>_xlfn.XLOOKUP($E75,'Løp 23'!$E$10:$E$93,'Løp 23'!$L$10:$L$93,0)</f>
        <v>7.5071839080459776E-3</v>
      </c>
      <c r="CJ75" s="628">
        <f>_xlfn.XLOOKUP($E75,'Løp 24'!$E$10:$E$93,'Løp 24'!$M$10:$M$93,0)</f>
        <v>0</v>
      </c>
      <c r="CK75" s="629">
        <f>_xlfn.XLOOKUP($E75,'Løp 24'!$E$10:$E$93,'Løp 24'!$O$10:$O$93,0)</f>
        <v>0</v>
      </c>
      <c r="CL75" s="629">
        <f>_xlfn.XLOOKUP($E75,'Løp 24'!$E$10:$E$93,'Løp 24'!$L$10:$L$93,0)</f>
        <v>0</v>
      </c>
      <c r="CM75" s="628">
        <f>_xlfn.XLOOKUP($E75,'Løp 25'!$E$10:$E$94,'Løp 25'!$M$10:$M$94,0)</f>
        <v>0</v>
      </c>
      <c r="CN75" s="629">
        <f>_xlfn.XLOOKUP($E75,'Løp 25'!$E$10:$E$94,'Løp 25'!$O$10:$O$94,0)</f>
        <v>0</v>
      </c>
      <c r="CO75" s="629">
        <f>_xlfn.XLOOKUP($E75,'Løp 25'!$E$10:$E$94,'Løp 25'!$L$10:$L$94,0)</f>
        <v>0</v>
      </c>
      <c r="CP75" s="628">
        <f>_xlfn.XLOOKUP($E75,'Løp 26'!$E$10:$E$94,'Løp 26'!$M$10:$M$94,0)</f>
        <v>0</v>
      </c>
      <c r="CQ75" s="629">
        <f>_xlfn.XLOOKUP($E75,'Løp 26'!$E$10:$E$94,'Løp 26'!$O$10:$O$94,0)</f>
        <v>0</v>
      </c>
      <c r="CR75" s="629">
        <f>_xlfn.XLOOKUP($E75,'Løp 26'!$E$10:$E$94,'Løp 26'!$L$10:$L$94,0)</f>
        <v>0</v>
      </c>
      <c r="CS75" s="628">
        <f>_xlfn.XLOOKUP($E75,'Løp 27'!$E$10:$E$94,'Løp 27'!$M$10:$M$94,0)</f>
        <v>0</v>
      </c>
      <c r="CT75" s="629">
        <f>_xlfn.XLOOKUP($E75,'Løp 27'!$E$10:$E$94,'Løp 27'!$O$10:$O$94,0)</f>
        <v>0</v>
      </c>
      <c r="CU75" s="629">
        <f>_xlfn.XLOOKUP($E75,'Løp 27'!$E$10:$E$94,'Løp 27'!$L$10:$L$94,0)</f>
        <v>0</v>
      </c>
      <c r="CV75" s="628">
        <f>_xlfn.XLOOKUP($E75,'Løp 28'!$E$10:$E$95,'Løp 28'!$M$10:$M$95,0)</f>
        <v>0</v>
      </c>
      <c r="CW75" s="629">
        <f>_xlfn.XLOOKUP($E75,'Løp 28'!$E$10:$E$95,'Løp 28'!$O$10:$O$95,0)</f>
        <v>0</v>
      </c>
      <c r="CX75" s="629">
        <f>_xlfn.XLOOKUP($E75,'Løp 28'!$E$10:$E$95,'Løp 28'!$L$10:$L$95,0)</f>
        <v>0</v>
      </c>
      <c r="CY75" s="628">
        <f>_xlfn.XLOOKUP($E75,'Løp 29'!$E$10:$E$95,'Løp 29'!$M$10:$M$95,0)</f>
        <v>0</v>
      </c>
      <c r="CZ75" s="629">
        <f>_xlfn.XLOOKUP($E75,'Løp 29'!$E$10:$E$95,'Løp 29'!$O$10:$O$95,0)</f>
        <v>0</v>
      </c>
      <c r="DA75" s="629">
        <f>_xlfn.XLOOKUP($E75,'Løp 29'!$E$10:$E$95,'Løp 29'!$L$10:$L$95,0)</f>
        <v>0</v>
      </c>
    </row>
    <row r="76" spans="2:105" ht="26" thickBot="1" x14ac:dyDescent="0.3">
      <c r="B76" s="627">
        <f t="shared" si="0"/>
        <v>67</v>
      </c>
      <c r="C76" s="119" t="s">
        <v>116</v>
      </c>
      <c r="D76" s="620" t="s">
        <v>353</v>
      </c>
      <c r="E76" s="616" t="str">
        <f>_xlfn.CONCAT(C76:D76)</f>
        <v>AndersGjermo</v>
      </c>
      <c r="F76" s="610"/>
      <c r="G76" s="653">
        <f>COUNTIF(S76:DA76,"&gt;2")/2</f>
        <v>2</v>
      </c>
      <c r="H76" s="852">
        <f>COUNTIF(S76:DA76,"=Løype")+COUNTIF(S76:DA76,"Arr")</f>
        <v>0</v>
      </c>
      <c r="I76" s="610"/>
      <c r="J76" s="632">
        <f>S76+V76+Y76+AB76+AE76+AH76+AK76+AN76+AQ76+AT76+AW76+AZ76+BC76+BF76+BI76+BL76+BO76+BR76+BU76+BX76+CA76+CD76+CG76+CJ76+CM76+CP76+CS76+CV76+CY76</f>
        <v>200</v>
      </c>
      <c r="K76" s="633">
        <f>T76+W76+Z76+AC76+AF76+AI76+AL76+AO76+AR76+AU76+AX76+BA76+BD76+BG76+BJ76+BM76+BP76+BS76+BV76+BY76+CB76+CE76+CH76+CK76+CN76+CQ76+CT76+CW76+CZ76</f>
        <v>182</v>
      </c>
      <c r="L76" s="613"/>
      <c r="M76" s="658">
        <f>IF($G76&gt;0,J76/G76,0)</f>
        <v>100</v>
      </c>
      <c r="N76" s="659">
        <f>IF($G76&gt;0,K76/$G76,0)</f>
        <v>91</v>
      </c>
      <c r="O76" s="862"/>
      <c r="P76" s="874">
        <f>IF(AND($G76&gt;$Q$3-1,$G76-$H76&gt;0),M76,0)</f>
        <v>0</v>
      </c>
      <c r="Q76" s="875">
        <f>IF(AND($G76&gt;$Q$3-1,$G76-$H76&gt;0),N76,0)</f>
        <v>0</v>
      </c>
      <c r="R76" s="613"/>
      <c r="S76" s="628">
        <f>_xlfn.XLOOKUP($E76,'Løp 1'!$E$10:$E$90,'Løp 1'!$M$10:$M$90,0)</f>
        <v>0</v>
      </c>
      <c r="T76" s="629">
        <f>_xlfn.XLOOKUP($E76,'Løp 1'!$E$10:$E$90,'Løp 1'!$O$10:$O$90,0)</f>
        <v>0</v>
      </c>
      <c r="U76" s="629">
        <f>_xlfn.XLOOKUP($E76,'Løp 1'!$E$10:$E$90,'Løp 1'!$L$10:$L$90,0)</f>
        <v>0</v>
      </c>
      <c r="V76" s="628">
        <f>_xlfn.XLOOKUP($E76,'Løp 2'!$E$10:$E$90,'Løp 2'!$M$10:$M$90,0)</f>
        <v>0</v>
      </c>
      <c r="W76" s="629">
        <f>_xlfn.XLOOKUP($E76,'Løp 2'!$E$10:$E$90,'Løp 2'!$O$10:$O$90,0)</f>
        <v>0</v>
      </c>
      <c r="X76" s="629">
        <f>_xlfn.XLOOKUP($E76,'Løp 2'!$E$10:$E$90,'Løp 2'!$L$10:$L$90,0)</f>
        <v>0</v>
      </c>
      <c r="Y76" s="628">
        <f>_xlfn.XLOOKUP($E76,'Løp 3'!$E$10:$E$90,'Løp 3'!$M$10:$M$90,0)</f>
        <v>0</v>
      </c>
      <c r="Z76" s="629">
        <f>_xlfn.XLOOKUP($E76,'Løp 3'!$E$10:$E$90,'Løp 3'!$O$10:$O$90,0)</f>
        <v>0</v>
      </c>
      <c r="AA76" s="629">
        <f>_xlfn.XLOOKUP($E76,'Løp 3'!$E$10:$E$90,'Løp 3'!$L$10:$L$90,0)</f>
        <v>0</v>
      </c>
      <c r="AB76" s="628">
        <f>_xlfn.XLOOKUP($E76,'Løp 4'!$E$10:$E$90,'Løp 4'!$M$10:$M$90,0)</f>
        <v>100</v>
      </c>
      <c r="AC76" s="629">
        <f>_xlfn.XLOOKUP($E76,'Løp 4'!$E$10:$E$90,'Løp 4'!$O$10:$O$90,0)</f>
        <v>91</v>
      </c>
      <c r="AD76" s="629">
        <f>_xlfn.XLOOKUP($E76,'Løp 4'!$E$10:$E$90,'Løp 4'!$L$10:$L$90,0)</f>
        <v>6.9444444444444441E-3</v>
      </c>
      <c r="AE76" s="628">
        <f>_xlfn.XLOOKUP($E76,'Løp 5'!$E$10:$E$90,'Løp 5'!$M$10:$M$90,0)</f>
        <v>0</v>
      </c>
      <c r="AF76" s="629">
        <f>_xlfn.XLOOKUP($E76,'Løp 5'!$E$10:$E$90,'Løp 5'!$O$10:$O$90,0)</f>
        <v>0</v>
      </c>
      <c r="AG76" s="629">
        <f>_xlfn.XLOOKUP($E76,'Løp 5'!$E$10:$E$90,'Løp 5'!$L$10:$L$90,0)</f>
        <v>0</v>
      </c>
      <c r="AH76" s="628">
        <f>_xlfn.XLOOKUP($E76,'Løp 6'!$E$10:$E$90,'Løp 6'!$M$10:$M$90,0)</f>
        <v>0</v>
      </c>
      <c r="AI76" s="629">
        <f>_xlfn.XLOOKUP($E76,'Løp 6'!$E$10:$E$90,'Løp 6'!$O$10:$O$90,0)</f>
        <v>0</v>
      </c>
      <c r="AJ76" s="629">
        <f>_xlfn.XLOOKUP($E76,'Løp 6'!$E$10:$E$90,'Løp 6'!$L$10:$L$90,0)</f>
        <v>0</v>
      </c>
      <c r="AK76" s="628">
        <f>_xlfn.XLOOKUP($E76,'Løp 7'!$E$10:$E$90,'Løp 7'!$M$10:$M$90,0)</f>
        <v>0</v>
      </c>
      <c r="AL76" s="629">
        <f>_xlfn.XLOOKUP($E76,'Løp 7'!$E$10:$E$90,'Løp 7'!$O$10:$O$90,0)</f>
        <v>0</v>
      </c>
      <c r="AM76" s="629">
        <f>_xlfn.XLOOKUP($E76,'Løp 7'!$E$10:$E$90,'Løp 7'!$L$10:$L$90,0)</f>
        <v>0</v>
      </c>
      <c r="AN76" s="628">
        <f>_xlfn.XLOOKUP($E76,'Løp 8'!$E$10:$E$91,'Løp 8'!$M$10:$M$91,0)</f>
        <v>0</v>
      </c>
      <c r="AO76" s="629">
        <f>_xlfn.XLOOKUP($E76,'Løp 8'!$E$10:$E$91,'Løp 8'!$O$10:$O$91,0)</f>
        <v>0</v>
      </c>
      <c r="AP76" s="629">
        <f>_xlfn.XLOOKUP($E76,'Løp 8'!$E$10:$E$91,'Løp 8'!$L$10:$L$91,0)</f>
        <v>0</v>
      </c>
      <c r="AQ76" s="628">
        <f>_xlfn.XLOOKUP($E76,'Løp 9'!$E$10:$E$91,'Løp 9'!$M$10:$M$91,0)</f>
        <v>0</v>
      </c>
      <c r="AR76" s="629">
        <f>_xlfn.XLOOKUP($E76,'Løp 9'!$E$10:$E$91,'Løp 9'!$O$10:$O$91,0)</f>
        <v>0</v>
      </c>
      <c r="AS76" s="629">
        <f>_xlfn.XLOOKUP($E76,'Løp 9'!$E$10:$E$91,'Løp 9'!$L$10:$L$91,0)</f>
        <v>0</v>
      </c>
      <c r="AT76" s="628">
        <f>_xlfn.XLOOKUP($E76,'Løp 10'!$E$10:$E$91,'Løp 10'!$M$10:$M$91,0)</f>
        <v>0</v>
      </c>
      <c r="AU76" s="629">
        <f>_xlfn.XLOOKUP($E76,'Løp 10'!$E$10:$E$91,'Løp 10'!$O$10:$O$91,0)</f>
        <v>0</v>
      </c>
      <c r="AV76" s="629">
        <f>_xlfn.XLOOKUP($E76,'Løp 10'!$E$10:$E$91,'Løp 10'!$L$10:$L$91,0)</f>
        <v>0</v>
      </c>
      <c r="AW76" s="628">
        <f>_xlfn.XLOOKUP($E76,'Løp 11'!$E$10:$E$91,'Løp 11'!$M$10:$M$91,0)</f>
        <v>0</v>
      </c>
      <c r="AX76" s="629">
        <f>_xlfn.XLOOKUP($E76,'Løp 11'!$E$10:$E$91,'Løp 11'!$O$10:$O$91,0)</f>
        <v>0</v>
      </c>
      <c r="AY76" s="629">
        <f>_xlfn.XLOOKUP($E76,'Løp 11'!$E$10:$E$91,'Løp 11'!$L$10:$L$91,0)</f>
        <v>0</v>
      </c>
      <c r="AZ76" s="628">
        <f>_xlfn.XLOOKUP($E76,'Løp 12'!$E$10:$E$91,'Løp 12'!$M$10:$M$91,0)</f>
        <v>0</v>
      </c>
      <c r="BA76" s="629">
        <f>_xlfn.XLOOKUP($E76,'Løp 12'!$E$10:$E$91,'Løp 12'!$O$10:$O$91,0)</f>
        <v>0</v>
      </c>
      <c r="BB76" s="629">
        <f>_xlfn.XLOOKUP($E76,'Løp 12'!$E$10:$E$91,'Løp 12'!$L$10:$L$91,0)</f>
        <v>0</v>
      </c>
      <c r="BC76" s="628">
        <f>_xlfn.XLOOKUP($E76,'Løp 13'!$E$10:$E$91,'Løp 13'!$M$10:$M$91,0)</f>
        <v>0</v>
      </c>
      <c r="BD76" s="629">
        <f>_xlfn.XLOOKUP($E76,'Løp 13'!$E$10:$E$91,'Løp 13'!$O$10:$O$91,0)</f>
        <v>0</v>
      </c>
      <c r="BE76" s="629">
        <f>_xlfn.XLOOKUP($E76,'Løp 13'!$E$10:$E$91,'Løp 13'!$L$10:$L$91,0)</f>
        <v>0</v>
      </c>
      <c r="BF76" s="628">
        <f>_xlfn.XLOOKUP($E76,'Løp 14'!$E$10:$E$91,'Løp 14'!$M$10:$M$91,0)</f>
        <v>0</v>
      </c>
      <c r="BG76" s="629">
        <f>_xlfn.XLOOKUP($E76,'Løp 14'!$E$10:$E$91,'Løp 14'!$O$10:$O$91,0)</f>
        <v>0</v>
      </c>
      <c r="BH76" s="629">
        <f>_xlfn.XLOOKUP($E76,'Løp 14'!$E$10:$E$91,'Løp 14'!$L$10:$L$91,0)</f>
        <v>0</v>
      </c>
      <c r="BI76" s="628">
        <f>_xlfn.XLOOKUP($E76,'Løp 15'!$E$10:$E$91,'Løp 15'!$M$10:$M$91,0)</f>
        <v>0</v>
      </c>
      <c r="BJ76" s="629">
        <f>_xlfn.XLOOKUP($E76,'Løp 15'!$E$10:$E$91,'Løp 15'!$O$10:$O$91,0)</f>
        <v>0</v>
      </c>
      <c r="BK76" s="629">
        <f>_xlfn.XLOOKUP($E76,'Løp 15'!$E$10:$E$91,'Løp 15'!$L$10:$L$91,0)</f>
        <v>0</v>
      </c>
      <c r="BL76" s="628">
        <f>_xlfn.XLOOKUP($E76,'Løp 16'!$E$10:$E$91,'Løp 16'!$M$10:$M$91,0)</f>
        <v>0</v>
      </c>
      <c r="BM76" s="629">
        <f>_xlfn.XLOOKUP($E76,'Løp 16'!$E$10:$E$91,'Løp 16'!$O$10:$O$91,0)</f>
        <v>0</v>
      </c>
      <c r="BN76" s="629">
        <f>_xlfn.XLOOKUP($E76,'Løp 16'!$E$10:$E$91,'Løp 16'!$L$10:$L$91,0)</f>
        <v>0</v>
      </c>
      <c r="BO76" s="628">
        <f>_xlfn.XLOOKUP($E76,'Løp 17'!$E$10:$E$91,'Løp 17'!$M$10:$M$91,0)</f>
        <v>0</v>
      </c>
      <c r="BP76" s="629">
        <f>_xlfn.XLOOKUP($E76,'Løp 17'!$E$10:$E$91,'Løp 17'!$O$10:$O$91,0)</f>
        <v>0</v>
      </c>
      <c r="BQ76" s="629">
        <f>_xlfn.XLOOKUP($E76,'Løp 17'!$E$10:$E$91,'Løp 17'!$L$10:$L$91,0)</f>
        <v>0</v>
      </c>
      <c r="BR76" s="628">
        <f>_xlfn.XLOOKUP($E76,'Løp 18'!$E$10:$E$91,'Løp 18'!$M$10:$M$91,0)</f>
        <v>0</v>
      </c>
      <c r="BS76" s="629">
        <f>_xlfn.XLOOKUP($E76,'Løp 18'!$E$10:$E$91,'Løp 18'!$O$10:$O$91,0)</f>
        <v>0</v>
      </c>
      <c r="BT76" s="629">
        <f>_xlfn.XLOOKUP($E76,'Løp 18'!$E$10:$E$91,'Løp 18'!$L$10:$L$91,0)</f>
        <v>0</v>
      </c>
      <c r="BU76" s="628">
        <f>_xlfn.XLOOKUP($E76,'Løp 19'!$E$10:$E$91,'Løp 19'!$M$10:$M$91,0)</f>
        <v>0</v>
      </c>
      <c r="BV76" s="629">
        <f>_xlfn.XLOOKUP($E76,'Løp 19'!$E$10:$E$91,'Løp 19'!$O$10:$O$91,0)</f>
        <v>0</v>
      </c>
      <c r="BW76" s="629">
        <f>_xlfn.XLOOKUP($E76,'Løp 19'!$E$10:$E$91,'Løp 19'!$L$10:$L$91,0)</f>
        <v>0</v>
      </c>
      <c r="BX76" s="628">
        <f>_xlfn.XLOOKUP($E76,'Løp 20'!$E$10:$E$92,'Løp 20'!$M$10:$M$92,0)</f>
        <v>0</v>
      </c>
      <c r="BY76" s="629">
        <f>_xlfn.XLOOKUP($E76,'Løp 20'!$E$10:$E$92,'Løp 20'!$O$10:$O$92,0)</f>
        <v>0</v>
      </c>
      <c r="BZ76" s="629">
        <f>_xlfn.XLOOKUP($E76,'Løp 20'!$E$10:$E$92,'Løp 20'!$L$10:$L$92,0)</f>
        <v>0</v>
      </c>
      <c r="CA76" s="628">
        <f>_xlfn.XLOOKUP($E76,'Løp 21'!$E$10:$E$93,'Løp 21'!$M$10:$M$93,0)</f>
        <v>0</v>
      </c>
      <c r="CB76" s="629">
        <f>_xlfn.XLOOKUP($E76,'Løp 21'!$E$10:$E$93,'Løp 21'!$O$10:$O$93,0)</f>
        <v>0</v>
      </c>
      <c r="CC76" s="629">
        <f>_xlfn.XLOOKUP($E76,'Løp 21'!$E$10:$E$93,'Løp 21'!$L$10:$L$93,0)</f>
        <v>0</v>
      </c>
      <c r="CD76" s="628">
        <f>_xlfn.XLOOKUP($E76,'Løp 22'!$E$10:$E$93,'Løp 22'!$M$10:$M$93,0)</f>
        <v>0</v>
      </c>
      <c r="CE76" s="629">
        <f>_xlfn.XLOOKUP($E76,'Løp 22'!$E$10:$E$93,'Løp 22'!$O$10:$O$93,0)</f>
        <v>0</v>
      </c>
      <c r="CF76" s="629">
        <f>_xlfn.XLOOKUP($E76,'Løp 22'!$E$10:$E$93,'Løp 22'!$L$10:$L$93,0)</f>
        <v>0</v>
      </c>
      <c r="CG76" s="628">
        <f>_xlfn.XLOOKUP($E76,'Løp 23'!$E$10:$E$93,'Løp 23'!$M$10:$M$93,0)</f>
        <v>0</v>
      </c>
      <c r="CH76" s="629">
        <f>_xlfn.XLOOKUP($E76,'Løp 23'!$E$10:$E$93,'Løp 23'!$O$10:$O$93,0)</f>
        <v>0</v>
      </c>
      <c r="CI76" s="629">
        <f>_xlfn.XLOOKUP($E76,'Løp 23'!$E$10:$E$93,'Løp 23'!$L$10:$L$93,0)</f>
        <v>0</v>
      </c>
      <c r="CJ76" s="628">
        <f>_xlfn.XLOOKUP($E76,'Løp 24'!$E$10:$E$93,'Løp 24'!$M$10:$M$93,0)</f>
        <v>0</v>
      </c>
      <c r="CK76" s="629">
        <f>_xlfn.XLOOKUP($E76,'Løp 24'!$E$10:$E$93,'Løp 24'!$O$10:$O$93,0)</f>
        <v>0</v>
      </c>
      <c r="CL76" s="629">
        <f>_xlfn.XLOOKUP($E76,'Løp 24'!$E$10:$E$93,'Løp 24'!$L$10:$L$93,0)</f>
        <v>0</v>
      </c>
      <c r="CM76" s="628">
        <f>_xlfn.XLOOKUP($E76,'Løp 25'!$E$10:$E$94,'Løp 25'!$M$10:$M$94,0)</f>
        <v>0</v>
      </c>
      <c r="CN76" s="629">
        <f>_xlfn.XLOOKUP($E76,'Løp 25'!$E$10:$E$94,'Løp 25'!$O$10:$O$94,0)</f>
        <v>0</v>
      </c>
      <c r="CO76" s="629">
        <f>_xlfn.XLOOKUP($E76,'Løp 25'!$E$10:$E$94,'Løp 25'!$L$10:$L$94,0)</f>
        <v>0</v>
      </c>
      <c r="CP76" s="628">
        <f>_xlfn.XLOOKUP($E76,'Løp 26'!$E$10:$E$94,'Løp 26'!$M$10:$M$94,0)</f>
        <v>0</v>
      </c>
      <c r="CQ76" s="629">
        <f>_xlfn.XLOOKUP($E76,'Løp 26'!$E$10:$E$94,'Løp 26'!$O$10:$O$94,0)</f>
        <v>0</v>
      </c>
      <c r="CR76" s="629">
        <f>_xlfn.XLOOKUP($E76,'Løp 26'!$E$10:$E$94,'Løp 26'!$L$10:$L$94,0)</f>
        <v>0</v>
      </c>
      <c r="CS76" s="628">
        <f>_xlfn.XLOOKUP($E76,'Løp 27'!$E$10:$E$94,'Løp 27'!$M$10:$M$94,0)</f>
        <v>0</v>
      </c>
      <c r="CT76" s="629">
        <f>_xlfn.XLOOKUP($E76,'Løp 27'!$E$10:$E$94,'Løp 27'!$O$10:$O$94,0)</f>
        <v>0</v>
      </c>
      <c r="CU76" s="629">
        <f>_xlfn.XLOOKUP($E76,'Løp 27'!$E$10:$E$94,'Løp 27'!$L$10:$L$94,0)</f>
        <v>0</v>
      </c>
      <c r="CV76" s="628">
        <f>_xlfn.XLOOKUP($E76,'Løp 28'!$E$10:$E$95,'Løp 28'!$M$10:$M$95,0)</f>
        <v>100</v>
      </c>
      <c r="CW76" s="629">
        <f>_xlfn.XLOOKUP($E76,'Løp 28'!$E$10:$E$95,'Løp 28'!$O$10:$O$95,0)</f>
        <v>91</v>
      </c>
      <c r="CX76" s="629">
        <f>_xlfn.XLOOKUP($E76,'Løp 28'!$E$10:$E$95,'Løp 28'!$L$10:$L$95,0)</f>
        <v>6.637479871175524E-3</v>
      </c>
      <c r="CY76" s="628">
        <f>_xlfn.XLOOKUP($E76,'Løp 29'!$E$10:$E$95,'Løp 29'!$M$10:$M$95,0)</f>
        <v>0</v>
      </c>
      <c r="CZ76" s="629">
        <f>_xlfn.XLOOKUP($E76,'Løp 29'!$E$10:$E$95,'Løp 29'!$O$10:$O$95,0)</f>
        <v>0</v>
      </c>
      <c r="DA76" s="629">
        <f>_xlfn.XLOOKUP($E76,'Løp 29'!$E$10:$E$95,'Løp 29'!$L$10:$L$95,0)</f>
        <v>0</v>
      </c>
    </row>
    <row r="77" spans="2:105" ht="26" thickBot="1" x14ac:dyDescent="0.3">
      <c r="B77" s="627">
        <f t="shared" si="0"/>
        <v>68</v>
      </c>
      <c r="C77" s="119" t="s">
        <v>118</v>
      </c>
      <c r="D77" s="620" t="s">
        <v>383</v>
      </c>
      <c r="E77" s="616" t="str">
        <f>_xlfn.CONCAT(C77:D77)</f>
        <v>KnutHelland</v>
      </c>
      <c r="F77" s="610"/>
      <c r="G77" s="653">
        <f>COUNTIF(S77:DA77,"&gt;2")/2</f>
        <v>2</v>
      </c>
      <c r="H77" s="852">
        <f>COUNTIF(S77:DA77,"=Løype")+COUNTIF(S77:DA77,"Arr")</f>
        <v>0</v>
      </c>
      <c r="I77" s="610"/>
      <c r="J77" s="632">
        <f>S77+V77+Y77+AB77+AE77+AH77+AK77+AN77+AQ77+AT77+AW77+AZ77+BC77+BF77+BI77+BL77+BO77+BR77+BU77+BX77+CA77+CD77+CG77+CJ77+CM77+CP77+CS77+CV77+CY77</f>
        <v>200</v>
      </c>
      <c r="K77" s="633">
        <f>T77+W77+Z77+AC77+AF77+AI77+AL77+AO77+AR77+AU77+AX77+BA77+BD77+BG77+BJ77+BM77+BP77+BS77+BV77+BY77+CB77+CE77+CH77+CK77+CN77+CQ77+CT77+CW77+CZ77</f>
        <v>178</v>
      </c>
      <c r="L77" s="613"/>
      <c r="M77" s="658">
        <f>IF($G77&gt;0,J77/G77,0)</f>
        <v>100</v>
      </c>
      <c r="N77" s="659">
        <f>IF($G77&gt;0,K77/$G77,0)</f>
        <v>89</v>
      </c>
      <c r="O77" s="862"/>
      <c r="P77" s="874">
        <f>IF(AND($G77&gt;$Q$3-1,$G77-$H77&gt;0),M77,0)</f>
        <v>0</v>
      </c>
      <c r="Q77" s="875">
        <f>IF(AND($G77&gt;$Q$3-1,$G77-$H77&gt;0),N77,0)</f>
        <v>0</v>
      </c>
      <c r="R77" s="613"/>
      <c r="S77" s="628">
        <f>_xlfn.XLOOKUP($E77,'Løp 1'!$E$10:$E$90,'Løp 1'!$M$10:$M$90,0)</f>
        <v>0</v>
      </c>
      <c r="T77" s="629">
        <f>_xlfn.XLOOKUP($E77,'Løp 1'!$E$10:$E$90,'Løp 1'!$O$10:$O$90,0)</f>
        <v>0</v>
      </c>
      <c r="U77" s="629">
        <f>_xlfn.XLOOKUP($E77,'Løp 1'!$E$10:$E$90,'Løp 1'!$L$10:$L$90,0)</f>
        <v>0</v>
      </c>
      <c r="V77" s="628">
        <f>_xlfn.XLOOKUP($E77,'Løp 2'!$E$10:$E$90,'Løp 2'!$M$10:$M$90,0)</f>
        <v>0</v>
      </c>
      <c r="W77" s="629">
        <f>_xlfn.XLOOKUP($E77,'Løp 2'!$E$10:$E$90,'Løp 2'!$O$10:$O$90,0)</f>
        <v>0</v>
      </c>
      <c r="X77" s="629">
        <f>_xlfn.XLOOKUP($E77,'Løp 2'!$E$10:$E$90,'Løp 2'!$L$10:$L$90,0)</f>
        <v>0</v>
      </c>
      <c r="Y77" s="628">
        <f>_xlfn.XLOOKUP($E77,'Løp 3'!$E$10:$E$90,'Løp 3'!$M$10:$M$90,0)</f>
        <v>0</v>
      </c>
      <c r="Z77" s="629">
        <f>_xlfn.XLOOKUP($E77,'Løp 3'!$E$10:$E$90,'Løp 3'!$O$10:$O$90,0)</f>
        <v>0</v>
      </c>
      <c r="AA77" s="629">
        <f>_xlfn.XLOOKUP($E77,'Løp 3'!$E$10:$E$90,'Løp 3'!$L$10:$L$90,0)</f>
        <v>0</v>
      </c>
      <c r="AB77" s="628">
        <f>_xlfn.XLOOKUP($E77,'Løp 4'!$E$10:$E$90,'Løp 4'!$M$10:$M$90,0)</f>
        <v>0</v>
      </c>
      <c r="AC77" s="629">
        <f>_xlfn.XLOOKUP($E77,'Løp 4'!$E$10:$E$90,'Løp 4'!$O$10:$O$90,0)</f>
        <v>0</v>
      </c>
      <c r="AD77" s="629">
        <f>_xlfn.XLOOKUP($E77,'Løp 4'!$E$10:$E$90,'Løp 4'!$L$10:$L$90,0)</f>
        <v>0</v>
      </c>
      <c r="AE77" s="628">
        <f>_xlfn.XLOOKUP($E77,'Løp 5'!$E$10:$E$90,'Løp 5'!$M$10:$M$90,0)</f>
        <v>0</v>
      </c>
      <c r="AF77" s="629">
        <f>_xlfn.XLOOKUP($E77,'Løp 5'!$E$10:$E$90,'Løp 5'!$O$10:$O$90,0)</f>
        <v>0</v>
      </c>
      <c r="AG77" s="629">
        <f>_xlfn.XLOOKUP($E77,'Løp 5'!$E$10:$E$90,'Løp 5'!$L$10:$L$90,0)</f>
        <v>0</v>
      </c>
      <c r="AH77" s="628">
        <f>_xlfn.XLOOKUP($E77,'Løp 6'!$E$10:$E$90,'Løp 6'!$M$10:$M$90,0)</f>
        <v>0</v>
      </c>
      <c r="AI77" s="629">
        <f>_xlfn.XLOOKUP($E77,'Løp 6'!$E$10:$E$90,'Løp 6'!$O$10:$O$90,0)</f>
        <v>0</v>
      </c>
      <c r="AJ77" s="629">
        <f>_xlfn.XLOOKUP($E77,'Løp 6'!$E$10:$E$90,'Løp 6'!$L$10:$L$90,0)</f>
        <v>0</v>
      </c>
      <c r="AK77" s="628">
        <f>_xlfn.XLOOKUP($E77,'Løp 7'!$E$10:$E$90,'Løp 7'!$M$10:$M$90,0)</f>
        <v>0</v>
      </c>
      <c r="AL77" s="629">
        <f>_xlfn.XLOOKUP($E77,'Løp 7'!$E$10:$E$90,'Løp 7'!$O$10:$O$90,0)</f>
        <v>0</v>
      </c>
      <c r="AM77" s="629">
        <f>_xlfn.XLOOKUP($E77,'Løp 7'!$E$10:$E$90,'Løp 7'!$L$10:$L$90,0)</f>
        <v>0</v>
      </c>
      <c r="AN77" s="628">
        <f>_xlfn.XLOOKUP($E77,'Løp 8'!$E$10:$E$91,'Løp 8'!$M$10:$M$91,0)</f>
        <v>0</v>
      </c>
      <c r="AO77" s="629">
        <f>_xlfn.XLOOKUP($E77,'Løp 8'!$E$10:$E$91,'Løp 8'!$O$10:$O$91,0)</f>
        <v>0</v>
      </c>
      <c r="AP77" s="629">
        <f>_xlfn.XLOOKUP($E77,'Løp 8'!$E$10:$E$91,'Løp 8'!$L$10:$L$91,0)</f>
        <v>0</v>
      </c>
      <c r="AQ77" s="628">
        <f>_xlfn.XLOOKUP($E77,'Løp 9'!$E$10:$E$91,'Løp 9'!$M$10:$M$91,0)</f>
        <v>0</v>
      </c>
      <c r="AR77" s="629">
        <f>_xlfn.XLOOKUP($E77,'Løp 9'!$E$10:$E$91,'Løp 9'!$O$10:$O$91,0)</f>
        <v>0</v>
      </c>
      <c r="AS77" s="629">
        <f>_xlfn.XLOOKUP($E77,'Løp 9'!$E$10:$E$91,'Løp 9'!$L$10:$L$91,0)</f>
        <v>0</v>
      </c>
      <c r="AT77" s="628">
        <f>_xlfn.XLOOKUP($E77,'Løp 10'!$E$10:$E$91,'Løp 10'!$M$10:$M$91,0)</f>
        <v>0</v>
      </c>
      <c r="AU77" s="629">
        <f>_xlfn.XLOOKUP($E77,'Løp 10'!$E$10:$E$91,'Løp 10'!$O$10:$O$91,0)</f>
        <v>0</v>
      </c>
      <c r="AV77" s="629">
        <f>_xlfn.XLOOKUP($E77,'Løp 10'!$E$10:$E$91,'Løp 10'!$L$10:$L$91,0)</f>
        <v>0</v>
      </c>
      <c r="AW77" s="628">
        <f>_xlfn.XLOOKUP($E77,'Løp 11'!$E$10:$E$91,'Løp 11'!$M$10:$M$91,0)</f>
        <v>0</v>
      </c>
      <c r="AX77" s="629">
        <f>_xlfn.XLOOKUP($E77,'Løp 11'!$E$10:$E$91,'Løp 11'!$O$10:$O$91,0)</f>
        <v>0</v>
      </c>
      <c r="AY77" s="629">
        <f>_xlfn.XLOOKUP($E77,'Løp 11'!$E$10:$E$91,'Løp 11'!$L$10:$L$91,0)</f>
        <v>0</v>
      </c>
      <c r="AZ77" s="628">
        <f>_xlfn.XLOOKUP($E77,'Løp 12'!$E$10:$E$91,'Løp 12'!$M$10:$M$91,0)</f>
        <v>100</v>
      </c>
      <c r="BA77" s="629">
        <f>_xlfn.XLOOKUP($E77,'Løp 12'!$E$10:$E$91,'Løp 12'!$O$10:$O$91,0)</f>
        <v>85</v>
      </c>
      <c r="BB77" s="629">
        <f>_xlfn.XLOOKUP($E77,'Løp 12'!$E$10:$E$91,'Løp 12'!$L$10:$L$91,0)</f>
        <v>5.5431547619047622E-3</v>
      </c>
      <c r="BC77" s="628">
        <f>_xlfn.XLOOKUP($E77,'Løp 13'!$E$10:$E$91,'Løp 13'!$M$10:$M$91,0)</f>
        <v>100</v>
      </c>
      <c r="BD77" s="629">
        <f>_xlfn.XLOOKUP($E77,'Løp 13'!$E$10:$E$91,'Løp 13'!$O$10:$O$91,0)</f>
        <v>93</v>
      </c>
      <c r="BE77" s="629">
        <f>_xlfn.XLOOKUP($E77,'Løp 13'!$E$10:$E$91,'Løp 13'!$L$10:$L$91,0)</f>
        <v>5.4198595146871011E-3</v>
      </c>
      <c r="BF77" s="628">
        <f>_xlfn.XLOOKUP($E77,'Løp 14'!$E$10:$E$91,'Løp 14'!$M$10:$M$91,0)</f>
        <v>0</v>
      </c>
      <c r="BG77" s="629">
        <f>_xlfn.XLOOKUP($E77,'Løp 14'!$E$10:$E$91,'Løp 14'!$O$10:$O$91,0)</f>
        <v>0</v>
      </c>
      <c r="BH77" s="629">
        <f>_xlfn.XLOOKUP($E77,'Løp 14'!$E$10:$E$91,'Løp 14'!$L$10:$L$91,0)</f>
        <v>0</v>
      </c>
      <c r="BI77" s="628">
        <f>_xlfn.XLOOKUP($E77,'Løp 15'!$E$10:$E$91,'Løp 15'!$M$10:$M$91,0)</f>
        <v>0</v>
      </c>
      <c r="BJ77" s="629">
        <f>_xlfn.XLOOKUP($E77,'Løp 15'!$E$10:$E$91,'Løp 15'!$O$10:$O$91,0)</f>
        <v>0</v>
      </c>
      <c r="BK77" s="629">
        <f>_xlfn.XLOOKUP($E77,'Løp 15'!$E$10:$E$91,'Løp 15'!$L$10:$L$91,0)</f>
        <v>0</v>
      </c>
      <c r="BL77" s="628">
        <f>_xlfn.XLOOKUP($E77,'Løp 16'!$E$10:$E$91,'Løp 16'!$M$10:$M$91,0)</f>
        <v>0</v>
      </c>
      <c r="BM77" s="629">
        <f>_xlfn.XLOOKUP($E77,'Løp 16'!$E$10:$E$91,'Løp 16'!$O$10:$O$91,0)</f>
        <v>0</v>
      </c>
      <c r="BN77" s="629">
        <f>_xlfn.XLOOKUP($E77,'Løp 16'!$E$10:$E$91,'Løp 16'!$L$10:$L$91,0)</f>
        <v>0</v>
      </c>
      <c r="BO77" s="628">
        <f>_xlfn.XLOOKUP($E77,'Løp 17'!$E$10:$E$91,'Løp 17'!$M$10:$M$91,0)</f>
        <v>0</v>
      </c>
      <c r="BP77" s="629">
        <f>_xlfn.XLOOKUP($E77,'Løp 17'!$E$10:$E$91,'Løp 17'!$O$10:$O$91,0)</f>
        <v>0</v>
      </c>
      <c r="BQ77" s="629">
        <f>_xlfn.XLOOKUP($E77,'Løp 17'!$E$10:$E$91,'Løp 17'!$L$10:$L$91,0)</f>
        <v>0</v>
      </c>
      <c r="BR77" s="628">
        <f>_xlfn.XLOOKUP($E77,'Løp 18'!$E$10:$E$91,'Løp 18'!$M$10:$M$91,0)</f>
        <v>0</v>
      </c>
      <c r="BS77" s="629">
        <f>_xlfn.XLOOKUP($E77,'Løp 18'!$E$10:$E$91,'Løp 18'!$O$10:$O$91,0)</f>
        <v>0</v>
      </c>
      <c r="BT77" s="629">
        <f>_xlfn.XLOOKUP($E77,'Løp 18'!$E$10:$E$91,'Løp 18'!$L$10:$L$91,0)</f>
        <v>0</v>
      </c>
      <c r="BU77" s="628">
        <f>_xlfn.XLOOKUP($E77,'Løp 19'!$E$10:$E$91,'Løp 19'!$M$10:$M$91,0)</f>
        <v>0</v>
      </c>
      <c r="BV77" s="629">
        <f>_xlfn.XLOOKUP($E77,'Løp 19'!$E$10:$E$91,'Løp 19'!$O$10:$O$91,0)</f>
        <v>0</v>
      </c>
      <c r="BW77" s="629">
        <f>_xlfn.XLOOKUP($E77,'Løp 19'!$E$10:$E$91,'Løp 19'!$L$10:$L$91,0)</f>
        <v>0</v>
      </c>
      <c r="BX77" s="628">
        <f>_xlfn.XLOOKUP($E77,'Løp 20'!$E$10:$E$92,'Løp 20'!$M$10:$M$92,0)</f>
        <v>0</v>
      </c>
      <c r="BY77" s="629">
        <f>_xlfn.XLOOKUP($E77,'Løp 20'!$E$10:$E$92,'Løp 20'!$O$10:$O$92,0)</f>
        <v>0</v>
      </c>
      <c r="BZ77" s="629">
        <f>_xlfn.XLOOKUP($E77,'Løp 20'!$E$10:$E$92,'Løp 20'!$L$10:$L$92,0)</f>
        <v>0</v>
      </c>
      <c r="CA77" s="628">
        <f>_xlfn.XLOOKUP($E77,'Løp 21'!$E$10:$E$93,'Løp 21'!$M$10:$M$93,0)</f>
        <v>0</v>
      </c>
      <c r="CB77" s="629">
        <f>_xlfn.XLOOKUP($E77,'Løp 21'!$E$10:$E$93,'Løp 21'!$O$10:$O$93,0)</f>
        <v>0</v>
      </c>
      <c r="CC77" s="629">
        <f>_xlfn.XLOOKUP($E77,'Løp 21'!$E$10:$E$93,'Løp 21'!$L$10:$L$93,0)</f>
        <v>0</v>
      </c>
      <c r="CD77" s="628">
        <f>_xlfn.XLOOKUP($E77,'Løp 22'!$E$10:$E$93,'Løp 22'!$M$10:$M$93,0)</f>
        <v>0</v>
      </c>
      <c r="CE77" s="629">
        <f>_xlfn.XLOOKUP($E77,'Løp 22'!$E$10:$E$93,'Løp 22'!$O$10:$O$93,0)</f>
        <v>0</v>
      </c>
      <c r="CF77" s="629">
        <f>_xlfn.XLOOKUP($E77,'Løp 22'!$E$10:$E$93,'Løp 22'!$L$10:$L$93,0)</f>
        <v>0</v>
      </c>
      <c r="CG77" s="628">
        <f>_xlfn.XLOOKUP($E77,'Løp 23'!$E$10:$E$93,'Løp 23'!$M$10:$M$93,0)</f>
        <v>0</v>
      </c>
      <c r="CH77" s="629">
        <f>_xlfn.XLOOKUP($E77,'Løp 23'!$E$10:$E$93,'Løp 23'!$O$10:$O$93,0)</f>
        <v>0</v>
      </c>
      <c r="CI77" s="629">
        <f>_xlfn.XLOOKUP($E77,'Løp 23'!$E$10:$E$93,'Løp 23'!$L$10:$L$93,0)</f>
        <v>0</v>
      </c>
      <c r="CJ77" s="628">
        <f>_xlfn.XLOOKUP($E77,'Løp 24'!$E$10:$E$93,'Løp 24'!$M$10:$M$93,0)</f>
        <v>0</v>
      </c>
      <c r="CK77" s="629">
        <f>_xlfn.XLOOKUP($E77,'Løp 24'!$E$10:$E$93,'Løp 24'!$O$10:$O$93,0)</f>
        <v>0</v>
      </c>
      <c r="CL77" s="629">
        <f>_xlfn.XLOOKUP($E77,'Løp 24'!$E$10:$E$93,'Løp 24'!$L$10:$L$93,0)</f>
        <v>0</v>
      </c>
      <c r="CM77" s="628">
        <f>_xlfn.XLOOKUP($E77,'Løp 25'!$E$10:$E$94,'Løp 25'!$M$10:$M$94,0)</f>
        <v>0</v>
      </c>
      <c r="CN77" s="629">
        <f>_xlfn.XLOOKUP($E77,'Løp 25'!$E$10:$E$94,'Løp 25'!$O$10:$O$94,0)</f>
        <v>0</v>
      </c>
      <c r="CO77" s="629">
        <f>_xlfn.XLOOKUP($E77,'Løp 25'!$E$10:$E$94,'Løp 25'!$L$10:$L$94,0)</f>
        <v>0</v>
      </c>
      <c r="CP77" s="628">
        <f>_xlfn.XLOOKUP($E77,'Løp 26'!$E$10:$E$94,'Løp 26'!$M$10:$M$94,0)</f>
        <v>0</v>
      </c>
      <c r="CQ77" s="629">
        <f>_xlfn.XLOOKUP($E77,'Løp 26'!$E$10:$E$94,'Løp 26'!$O$10:$O$94,0)</f>
        <v>0</v>
      </c>
      <c r="CR77" s="629">
        <f>_xlfn.XLOOKUP($E77,'Løp 26'!$E$10:$E$94,'Løp 26'!$L$10:$L$94,0)</f>
        <v>0</v>
      </c>
      <c r="CS77" s="628">
        <f>_xlfn.XLOOKUP($E77,'Løp 27'!$E$10:$E$94,'Løp 27'!$M$10:$M$94,0)</f>
        <v>0</v>
      </c>
      <c r="CT77" s="629">
        <f>_xlfn.XLOOKUP($E77,'Løp 27'!$E$10:$E$94,'Løp 27'!$O$10:$O$94,0)</f>
        <v>0</v>
      </c>
      <c r="CU77" s="629">
        <f>_xlfn.XLOOKUP($E77,'Løp 27'!$E$10:$E$94,'Løp 27'!$L$10:$L$94,0)</f>
        <v>0</v>
      </c>
      <c r="CV77" s="628">
        <f>_xlfn.XLOOKUP($E77,'Løp 28'!$E$10:$E$95,'Løp 28'!$M$10:$M$95,0)</f>
        <v>0</v>
      </c>
      <c r="CW77" s="629">
        <f>_xlfn.XLOOKUP($E77,'Løp 28'!$E$10:$E$95,'Løp 28'!$O$10:$O$95,0)</f>
        <v>0</v>
      </c>
      <c r="CX77" s="629">
        <f>_xlfn.XLOOKUP($E77,'Løp 28'!$E$10:$E$95,'Løp 28'!$L$10:$L$95,0)</f>
        <v>0</v>
      </c>
      <c r="CY77" s="628">
        <f>_xlfn.XLOOKUP($E77,'Løp 29'!$E$10:$E$95,'Løp 29'!$M$10:$M$95,0)</f>
        <v>0</v>
      </c>
      <c r="CZ77" s="629">
        <f>_xlfn.XLOOKUP($E77,'Løp 29'!$E$10:$E$95,'Løp 29'!$O$10:$O$95,0)</f>
        <v>0</v>
      </c>
      <c r="DA77" s="629">
        <f>_xlfn.XLOOKUP($E77,'Løp 29'!$E$10:$E$95,'Løp 29'!$L$10:$L$95,0)</f>
        <v>0</v>
      </c>
    </row>
    <row r="78" spans="2:105" ht="26" thickBot="1" x14ac:dyDescent="0.3">
      <c r="B78" s="627">
        <f t="shared" si="0"/>
        <v>69</v>
      </c>
      <c r="C78" s="119" t="s">
        <v>342</v>
      </c>
      <c r="D78" s="620" t="s">
        <v>388</v>
      </c>
      <c r="E78" s="616" t="str">
        <f>_xlfn.CONCAT(C78:D78)</f>
        <v>ArildClausen</v>
      </c>
      <c r="F78" s="610"/>
      <c r="G78" s="653">
        <f>COUNTIF(S78:DA78,"&gt;2")/2</f>
        <v>2</v>
      </c>
      <c r="H78" s="852">
        <f>COUNTIF(S78:DA78,"=Løype")+COUNTIF(S78:DA78,"Arr")</f>
        <v>0</v>
      </c>
      <c r="I78" s="610"/>
      <c r="J78" s="632">
        <f>S78+V78+Y78+AB78+AE78+AH78+AK78+AN78+AQ78+AT78+AW78+AZ78+BC78+BF78+BI78+BL78+BO78+BR78+BU78+BX78+CA78+CD78+CG78+CJ78+CM78+CP78+CS78+CV78+CY78</f>
        <v>185</v>
      </c>
      <c r="K78" s="633">
        <f>T78+W78+Z78+AC78+AF78+AI78+AL78+AO78+AR78+AU78+AX78+BA78+BD78+BG78+BJ78+BM78+BP78+BS78+BV78+BY78+CB78+CE78+CH78+CK78+CN78+CQ78+CT78+CW78+CZ78</f>
        <v>146</v>
      </c>
      <c r="L78" s="613"/>
      <c r="M78" s="658">
        <f>IF($G78&gt;0,J78/G78,0)</f>
        <v>92.5</v>
      </c>
      <c r="N78" s="659">
        <f>IF($G78&gt;0,K78/$G78,0)</f>
        <v>73</v>
      </c>
      <c r="O78" s="862"/>
      <c r="P78" s="874">
        <f>IF(AND($G78&gt;$Q$3-1,$G78-$H78&gt;0),M78,0)</f>
        <v>0</v>
      </c>
      <c r="Q78" s="875">
        <f>IF(AND($G78&gt;$Q$3-1,$G78-$H78&gt;0),N78,0)</f>
        <v>0</v>
      </c>
      <c r="R78" s="613"/>
      <c r="S78" s="628">
        <f>_xlfn.XLOOKUP($E78,'Løp 1'!$E$10:$E$90,'Løp 1'!$M$10:$M$90,0)</f>
        <v>0</v>
      </c>
      <c r="T78" s="629">
        <f>_xlfn.XLOOKUP($E78,'Løp 1'!$E$10:$E$90,'Løp 1'!$O$10:$O$90,0)</f>
        <v>0</v>
      </c>
      <c r="U78" s="629">
        <f>_xlfn.XLOOKUP($E78,'Løp 1'!$E$10:$E$90,'Løp 1'!$L$10:$L$90,0)</f>
        <v>0</v>
      </c>
      <c r="V78" s="628">
        <f>_xlfn.XLOOKUP($E78,'Løp 2'!$E$10:$E$90,'Løp 2'!$M$10:$M$90,0)</f>
        <v>0</v>
      </c>
      <c r="W78" s="629">
        <f>_xlfn.XLOOKUP($E78,'Løp 2'!$E$10:$E$90,'Løp 2'!$O$10:$O$90,0)</f>
        <v>0</v>
      </c>
      <c r="X78" s="629">
        <f>_xlfn.XLOOKUP($E78,'Løp 2'!$E$10:$E$90,'Løp 2'!$L$10:$L$90,0)</f>
        <v>0</v>
      </c>
      <c r="Y78" s="628">
        <f>_xlfn.XLOOKUP($E78,'Løp 3'!$E$10:$E$90,'Løp 3'!$M$10:$M$90,0)</f>
        <v>0</v>
      </c>
      <c r="Z78" s="629">
        <f>_xlfn.XLOOKUP($E78,'Løp 3'!$E$10:$E$90,'Løp 3'!$O$10:$O$90,0)</f>
        <v>0</v>
      </c>
      <c r="AA78" s="629">
        <f>_xlfn.XLOOKUP($E78,'Løp 3'!$E$10:$E$90,'Løp 3'!$L$10:$L$90,0)</f>
        <v>0</v>
      </c>
      <c r="AB78" s="628">
        <f>_xlfn.XLOOKUP($E78,'Løp 4'!$E$10:$E$90,'Løp 4'!$M$10:$M$90,0)</f>
        <v>0</v>
      </c>
      <c r="AC78" s="629">
        <f>_xlfn.XLOOKUP($E78,'Løp 4'!$E$10:$E$90,'Løp 4'!$O$10:$O$90,0)</f>
        <v>0</v>
      </c>
      <c r="AD78" s="629">
        <f>_xlfn.XLOOKUP($E78,'Løp 4'!$E$10:$E$90,'Løp 4'!$L$10:$L$90,0)</f>
        <v>0</v>
      </c>
      <c r="AE78" s="628">
        <f>_xlfn.XLOOKUP($E78,'Løp 5'!$E$10:$E$90,'Løp 5'!$M$10:$M$90,0)</f>
        <v>0</v>
      </c>
      <c r="AF78" s="629">
        <f>_xlfn.XLOOKUP($E78,'Løp 5'!$E$10:$E$90,'Løp 5'!$O$10:$O$90,0)</f>
        <v>0</v>
      </c>
      <c r="AG78" s="629">
        <f>_xlfn.XLOOKUP($E78,'Løp 5'!$E$10:$E$90,'Løp 5'!$L$10:$L$90,0)</f>
        <v>0</v>
      </c>
      <c r="AH78" s="628">
        <f>_xlfn.XLOOKUP($E78,'Løp 6'!$E$10:$E$90,'Løp 6'!$M$10:$M$90,0)</f>
        <v>0</v>
      </c>
      <c r="AI78" s="629">
        <f>_xlfn.XLOOKUP($E78,'Løp 6'!$E$10:$E$90,'Løp 6'!$O$10:$O$90,0)</f>
        <v>0</v>
      </c>
      <c r="AJ78" s="629">
        <f>_xlfn.XLOOKUP($E78,'Løp 6'!$E$10:$E$90,'Løp 6'!$L$10:$L$90,0)</f>
        <v>0</v>
      </c>
      <c r="AK78" s="628">
        <f>_xlfn.XLOOKUP($E78,'Løp 7'!$E$10:$E$90,'Løp 7'!$M$10:$M$90,0)</f>
        <v>0</v>
      </c>
      <c r="AL78" s="629">
        <f>_xlfn.XLOOKUP($E78,'Løp 7'!$E$10:$E$90,'Løp 7'!$O$10:$O$90,0)</f>
        <v>0</v>
      </c>
      <c r="AM78" s="629">
        <f>_xlfn.XLOOKUP($E78,'Løp 7'!$E$10:$E$90,'Løp 7'!$L$10:$L$90,0)</f>
        <v>0</v>
      </c>
      <c r="AN78" s="628">
        <f>_xlfn.XLOOKUP($E78,'Løp 8'!$E$10:$E$91,'Løp 8'!$M$10:$M$91,0)</f>
        <v>0</v>
      </c>
      <c r="AO78" s="629">
        <f>_xlfn.XLOOKUP($E78,'Løp 8'!$E$10:$E$91,'Løp 8'!$O$10:$O$91,0)</f>
        <v>0</v>
      </c>
      <c r="AP78" s="629">
        <f>_xlfn.XLOOKUP($E78,'Løp 8'!$E$10:$E$91,'Løp 8'!$L$10:$L$91,0)</f>
        <v>0</v>
      </c>
      <c r="AQ78" s="628">
        <f>_xlfn.XLOOKUP($E78,'Løp 9'!$E$10:$E$91,'Løp 9'!$M$10:$M$91,0)</f>
        <v>0</v>
      </c>
      <c r="AR78" s="629">
        <f>_xlfn.XLOOKUP($E78,'Løp 9'!$E$10:$E$91,'Løp 9'!$O$10:$O$91,0)</f>
        <v>0</v>
      </c>
      <c r="AS78" s="629">
        <f>_xlfn.XLOOKUP($E78,'Løp 9'!$E$10:$E$91,'Løp 9'!$L$10:$L$91,0)</f>
        <v>0</v>
      </c>
      <c r="AT78" s="628">
        <f>_xlfn.XLOOKUP($E78,'Løp 10'!$E$10:$E$91,'Løp 10'!$M$10:$M$91,0)</f>
        <v>0</v>
      </c>
      <c r="AU78" s="629">
        <f>_xlfn.XLOOKUP($E78,'Løp 10'!$E$10:$E$91,'Løp 10'!$O$10:$O$91,0)</f>
        <v>0</v>
      </c>
      <c r="AV78" s="629">
        <f>_xlfn.XLOOKUP($E78,'Løp 10'!$E$10:$E$91,'Løp 10'!$L$10:$L$91,0)</f>
        <v>0</v>
      </c>
      <c r="AW78" s="628">
        <f>_xlfn.XLOOKUP($E78,'Løp 11'!$E$10:$E$91,'Løp 11'!$M$10:$M$91,0)</f>
        <v>0</v>
      </c>
      <c r="AX78" s="629">
        <f>_xlfn.XLOOKUP($E78,'Løp 11'!$E$10:$E$91,'Løp 11'!$O$10:$O$91,0)</f>
        <v>0</v>
      </c>
      <c r="AY78" s="629">
        <f>_xlfn.XLOOKUP($E78,'Løp 11'!$E$10:$E$91,'Løp 11'!$L$10:$L$91,0)</f>
        <v>0</v>
      </c>
      <c r="AZ78" s="628">
        <f>_xlfn.XLOOKUP($E78,'Løp 12'!$E$10:$E$91,'Løp 12'!$M$10:$M$91,0)</f>
        <v>0</v>
      </c>
      <c r="BA78" s="629">
        <f>_xlfn.XLOOKUP($E78,'Løp 12'!$E$10:$E$91,'Løp 12'!$O$10:$O$91,0)</f>
        <v>0</v>
      </c>
      <c r="BB78" s="629">
        <f>_xlfn.XLOOKUP($E78,'Løp 12'!$E$10:$E$91,'Løp 12'!$L$10:$L$91,0)</f>
        <v>0</v>
      </c>
      <c r="BC78" s="628">
        <f>_xlfn.XLOOKUP($E78,'Løp 13'!$E$10:$E$91,'Løp 13'!$M$10:$M$91,0)</f>
        <v>89</v>
      </c>
      <c r="BD78" s="629">
        <f>_xlfn.XLOOKUP($E78,'Løp 13'!$E$10:$E$91,'Løp 13'!$O$10:$O$91,0)</f>
        <v>76</v>
      </c>
      <c r="BE78" s="629">
        <f>_xlfn.XLOOKUP($E78,'Løp 13'!$E$10:$E$91,'Løp 13'!$L$10:$L$91,0)</f>
        <v>6.1222860791826312E-3</v>
      </c>
      <c r="BF78" s="628">
        <f>_xlfn.XLOOKUP($E78,'Løp 14'!$E$10:$E$91,'Løp 14'!$M$10:$M$91,0)</f>
        <v>0</v>
      </c>
      <c r="BG78" s="629">
        <f>_xlfn.XLOOKUP($E78,'Løp 14'!$E$10:$E$91,'Løp 14'!$O$10:$O$91,0)</f>
        <v>0</v>
      </c>
      <c r="BH78" s="629">
        <f>_xlfn.XLOOKUP($E78,'Løp 14'!$E$10:$E$91,'Løp 14'!$L$10:$L$91,0)</f>
        <v>0</v>
      </c>
      <c r="BI78" s="628">
        <f>_xlfn.XLOOKUP($E78,'Løp 15'!$E$10:$E$91,'Løp 15'!$M$10:$M$91,0)</f>
        <v>0</v>
      </c>
      <c r="BJ78" s="629">
        <f>_xlfn.XLOOKUP($E78,'Løp 15'!$E$10:$E$91,'Løp 15'!$O$10:$O$91,0)</f>
        <v>0</v>
      </c>
      <c r="BK78" s="629">
        <f>_xlfn.XLOOKUP($E78,'Løp 15'!$E$10:$E$91,'Løp 15'!$L$10:$L$91,0)</f>
        <v>0</v>
      </c>
      <c r="BL78" s="628">
        <f>_xlfn.XLOOKUP($E78,'Løp 16'!$E$10:$E$91,'Løp 16'!$M$10:$M$91,0)</f>
        <v>0</v>
      </c>
      <c r="BM78" s="629">
        <f>_xlfn.XLOOKUP($E78,'Løp 16'!$E$10:$E$91,'Løp 16'!$O$10:$O$91,0)</f>
        <v>0</v>
      </c>
      <c r="BN78" s="629">
        <f>_xlfn.XLOOKUP($E78,'Løp 16'!$E$10:$E$91,'Løp 16'!$L$10:$L$91,0)</f>
        <v>0</v>
      </c>
      <c r="BO78" s="628">
        <f>_xlfn.XLOOKUP($E78,'Løp 17'!$E$10:$E$91,'Løp 17'!$M$10:$M$91,0)</f>
        <v>0</v>
      </c>
      <c r="BP78" s="629">
        <f>_xlfn.XLOOKUP($E78,'Løp 17'!$E$10:$E$91,'Løp 17'!$O$10:$O$91,0)</f>
        <v>0</v>
      </c>
      <c r="BQ78" s="629">
        <f>_xlfn.XLOOKUP($E78,'Løp 17'!$E$10:$E$91,'Løp 17'!$L$10:$L$91,0)</f>
        <v>0</v>
      </c>
      <c r="BR78" s="628">
        <f>_xlfn.XLOOKUP($E78,'Løp 18'!$E$10:$E$91,'Løp 18'!$M$10:$M$91,0)</f>
        <v>0</v>
      </c>
      <c r="BS78" s="629">
        <f>_xlfn.XLOOKUP($E78,'Løp 18'!$E$10:$E$91,'Løp 18'!$O$10:$O$91,0)</f>
        <v>0</v>
      </c>
      <c r="BT78" s="629">
        <f>_xlfn.XLOOKUP($E78,'Løp 18'!$E$10:$E$91,'Løp 18'!$L$10:$L$91,0)</f>
        <v>0</v>
      </c>
      <c r="BU78" s="628">
        <f>_xlfn.XLOOKUP($E78,'Løp 19'!$E$10:$E$91,'Løp 19'!$M$10:$M$91,0)</f>
        <v>0</v>
      </c>
      <c r="BV78" s="629">
        <f>_xlfn.XLOOKUP($E78,'Løp 19'!$E$10:$E$91,'Løp 19'!$O$10:$O$91,0)</f>
        <v>0</v>
      </c>
      <c r="BW78" s="629">
        <f>_xlfn.XLOOKUP($E78,'Løp 19'!$E$10:$E$91,'Løp 19'!$L$10:$L$91,0)</f>
        <v>0</v>
      </c>
      <c r="BX78" s="628">
        <f>_xlfn.XLOOKUP($E78,'Løp 20'!$E$10:$E$92,'Løp 20'!$M$10:$M$92,0)</f>
        <v>0</v>
      </c>
      <c r="BY78" s="629">
        <f>_xlfn.XLOOKUP($E78,'Løp 20'!$E$10:$E$92,'Løp 20'!$O$10:$O$92,0)</f>
        <v>0</v>
      </c>
      <c r="BZ78" s="629">
        <f>_xlfn.XLOOKUP($E78,'Løp 20'!$E$10:$E$92,'Løp 20'!$L$10:$L$92,0)</f>
        <v>0</v>
      </c>
      <c r="CA78" s="628">
        <f>_xlfn.XLOOKUP($E78,'Løp 21'!$E$10:$E$93,'Løp 21'!$M$10:$M$93,0)</f>
        <v>0</v>
      </c>
      <c r="CB78" s="629">
        <f>_xlfn.XLOOKUP($E78,'Løp 21'!$E$10:$E$93,'Løp 21'!$O$10:$O$93,0)</f>
        <v>0</v>
      </c>
      <c r="CC78" s="629">
        <f>_xlfn.XLOOKUP($E78,'Løp 21'!$E$10:$E$93,'Løp 21'!$L$10:$L$93,0)</f>
        <v>0</v>
      </c>
      <c r="CD78" s="628">
        <f>_xlfn.XLOOKUP($E78,'Løp 22'!$E$10:$E$93,'Løp 22'!$M$10:$M$93,0)</f>
        <v>0</v>
      </c>
      <c r="CE78" s="629">
        <f>_xlfn.XLOOKUP($E78,'Løp 22'!$E$10:$E$93,'Løp 22'!$O$10:$O$93,0)</f>
        <v>0</v>
      </c>
      <c r="CF78" s="629">
        <f>_xlfn.XLOOKUP($E78,'Løp 22'!$E$10:$E$93,'Løp 22'!$L$10:$L$93,0)</f>
        <v>0</v>
      </c>
      <c r="CG78" s="628">
        <f>_xlfn.XLOOKUP($E78,'Løp 23'!$E$10:$E$93,'Løp 23'!$M$10:$M$93,0)</f>
        <v>0</v>
      </c>
      <c r="CH78" s="629">
        <f>_xlfn.XLOOKUP($E78,'Løp 23'!$E$10:$E$93,'Løp 23'!$O$10:$O$93,0)</f>
        <v>0</v>
      </c>
      <c r="CI78" s="629">
        <f>_xlfn.XLOOKUP($E78,'Løp 23'!$E$10:$E$93,'Løp 23'!$L$10:$L$93,0)</f>
        <v>0</v>
      </c>
      <c r="CJ78" s="628">
        <f>_xlfn.XLOOKUP($E78,'Løp 24'!$E$10:$E$93,'Løp 24'!$M$10:$M$93,0)</f>
        <v>0</v>
      </c>
      <c r="CK78" s="629">
        <f>_xlfn.XLOOKUP($E78,'Løp 24'!$E$10:$E$93,'Løp 24'!$O$10:$O$93,0)</f>
        <v>0</v>
      </c>
      <c r="CL78" s="629">
        <f>_xlfn.XLOOKUP($E78,'Løp 24'!$E$10:$E$93,'Løp 24'!$L$10:$L$93,0)</f>
        <v>0</v>
      </c>
      <c r="CM78" s="628">
        <f>_xlfn.XLOOKUP($E78,'Løp 25'!$E$10:$E$94,'Løp 25'!$M$10:$M$94,0)</f>
        <v>0</v>
      </c>
      <c r="CN78" s="629">
        <f>_xlfn.XLOOKUP($E78,'Løp 25'!$E$10:$E$94,'Løp 25'!$O$10:$O$94,0)</f>
        <v>0</v>
      </c>
      <c r="CO78" s="629">
        <f>_xlfn.XLOOKUP($E78,'Løp 25'!$E$10:$E$94,'Løp 25'!$L$10:$L$94,0)</f>
        <v>0</v>
      </c>
      <c r="CP78" s="628">
        <f>_xlfn.XLOOKUP($E78,'Løp 26'!$E$10:$E$94,'Løp 26'!$M$10:$M$94,0)</f>
        <v>0</v>
      </c>
      <c r="CQ78" s="629">
        <f>_xlfn.XLOOKUP($E78,'Løp 26'!$E$10:$E$94,'Løp 26'!$O$10:$O$94,0)</f>
        <v>0</v>
      </c>
      <c r="CR78" s="629">
        <f>_xlfn.XLOOKUP($E78,'Løp 26'!$E$10:$E$94,'Løp 26'!$L$10:$L$94,0)</f>
        <v>0</v>
      </c>
      <c r="CS78" s="628">
        <f>_xlfn.XLOOKUP($E78,'Løp 27'!$E$10:$E$94,'Løp 27'!$M$10:$M$94,0)</f>
        <v>0</v>
      </c>
      <c r="CT78" s="629">
        <f>_xlfn.XLOOKUP($E78,'Løp 27'!$E$10:$E$94,'Løp 27'!$O$10:$O$94,0)</f>
        <v>0</v>
      </c>
      <c r="CU78" s="629">
        <f>_xlfn.XLOOKUP($E78,'Løp 27'!$E$10:$E$94,'Løp 27'!$L$10:$L$94,0)</f>
        <v>0</v>
      </c>
      <c r="CV78" s="628">
        <f>_xlfn.XLOOKUP($E78,'Løp 28'!$E$10:$E$95,'Løp 28'!$M$10:$M$95,0)</f>
        <v>0</v>
      </c>
      <c r="CW78" s="629">
        <f>_xlfn.XLOOKUP($E78,'Løp 28'!$E$10:$E$95,'Løp 28'!$O$10:$O$95,0)</f>
        <v>0</v>
      </c>
      <c r="CX78" s="629">
        <f>_xlfn.XLOOKUP($E78,'Løp 28'!$E$10:$E$95,'Løp 28'!$L$10:$L$95,0)</f>
        <v>0</v>
      </c>
      <c r="CY78" s="628">
        <f>_xlfn.XLOOKUP($E78,'Løp 29'!$E$10:$E$95,'Løp 29'!$M$10:$M$95,0)</f>
        <v>96</v>
      </c>
      <c r="CZ78" s="629">
        <f>_xlfn.XLOOKUP($E78,'Løp 29'!$E$10:$E$95,'Løp 29'!$O$10:$O$95,0)</f>
        <v>70</v>
      </c>
      <c r="DA78" s="629">
        <f>_xlfn.XLOOKUP($E78,'Løp 29'!$E$10:$E$95,'Løp 29'!$L$10:$L$95,0)</f>
        <v>7.5810185185185191E-3</v>
      </c>
    </row>
    <row r="79" spans="2:105" ht="26" thickBot="1" x14ac:dyDescent="0.3">
      <c r="B79" s="627">
        <f t="shared" si="0"/>
        <v>70</v>
      </c>
      <c r="C79" s="119" t="s">
        <v>144</v>
      </c>
      <c r="D79" s="620" t="s">
        <v>145</v>
      </c>
      <c r="E79" s="616" t="str">
        <f>_xlfn.CONCAT(C79:D79)</f>
        <v>Bjørn Rindstad</v>
      </c>
      <c r="F79" s="610"/>
      <c r="G79" s="653">
        <f>COUNTIF(S79:DA79,"&gt;2")/2</f>
        <v>2</v>
      </c>
      <c r="H79" s="852">
        <f>COUNTIF(S79:DA79,"=Løype")+COUNTIF(S79:DA79,"Arr")</f>
        <v>1</v>
      </c>
      <c r="I79" s="610"/>
      <c r="J79" s="632">
        <f>S79+V79+Y79+AB79+AE79+AH79+AK79+AN79+AQ79+AT79+AW79+AZ79+BC79+BF79+BI79+BL79+BO79+BR79+BU79+BX79+CA79+CD79+CG79+CJ79+CM79+CP79+CS79+CV79+CY79</f>
        <v>144</v>
      </c>
      <c r="K79" s="633">
        <f>T79+W79+Z79+AC79+AF79+AI79+AL79+AO79+AR79+AU79+AX79+BA79+BD79+BG79+BJ79+BM79+BP79+BS79+BV79+BY79+CB79+CE79+CH79+CK79+CN79+CQ79+CT79+CW79+CZ79</f>
        <v>144</v>
      </c>
      <c r="L79" s="613"/>
      <c r="M79" s="658">
        <f>IF($G79&gt;0,J79/G79,0)</f>
        <v>72</v>
      </c>
      <c r="N79" s="659">
        <f>IF($G79&gt;0,K79/$G79,0)</f>
        <v>72</v>
      </c>
      <c r="O79" s="862"/>
      <c r="P79" s="874">
        <f>IF(AND($G79&gt;$Q$3-1,$G79-$H79&gt;0),M79,0)</f>
        <v>0</v>
      </c>
      <c r="Q79" s="875">
        <f>IF(AND($G79&gt;$Q$3-1,$G79-$H79&gt;0),N79,0)</f>
        <v>0</v>
      </c>
      <c r="R79" s="613"/>
      <c r="S79" s="628">
        <f>_xlfn.XLOOKUP($E79,'Løp 1'!$E$10:$E$90,'Løp 1'!$M$10:$M$90,0)</f>
        <v>0</v>
      </c>
      <c r="T79" s="629">
        <f>_xlfn.XLOOKUP($E79,'Løp 1'!$E$10:$E$90,'Løp 1'!$O$10:$O$90,0)</f>
        <v>0</v>
      </c>
      <c r="U79" s="629">
        <f>_xlfn.XLOOKUP($E79,'Løp 1'!$E$10:$E$90,'Løp 1'!$L$10:$L$90,0)</f>
        <v>0</v>
      </c>
      <c r="V79" s="628">
        <f>_xlfn.XLOOKUP($E79,'Løp 2'!$E$10:$E$90,'Løp 2'!$M$10:$M$90,0)</f>
        <v>0</v>
      </c>
      <c r="W79" s="629">
        <f>_xlfn.XLOOKUP($E79,'Løp 2'!$E$10:$E$90,'Løp 2'!$O$10:$O$90,0)</f>
        <v>0</v>
      </c>
      <c r="X79" s="629">
        <f>_xlfn.XLOOKUP($E79,'Løp 2'!$E$10:$E$90,'Løp 2'!$L$10:$L$90,0)</f>
        <v>0</v>
      </c>
      <c r="Y79" s="628">
        <f>_xlfn.XLOOKUP($E79,'Løp 3'!$E$10:$E$90,'Løp 3'!$M$10:$M$90,0)</f>
        <v>50</v>
      </c>
      <c r="Z79" s="629">
        <f>_xlfn.XLOOKUP($E79,'Løp 3'!$E$10:$E$90,'Løp 3'!$O$10:$O$90,0)</f>
        <v>50</v>
      </c>
      <c r="AA79" s="629" t="str">
        <f>_xlfn.XLOOKUP($E79,'Løp 3'!$E$10:$E$90,'Løp 3'!$L$10:$L$90,0)</f>
        <v>Brutt</v>
      </c>
      <c r="AB79" s="628">
        <f>_xlfn.XLOOKUP($E79,'Løp 4'!$E$10:$E$90,'Løp 4'!$M$10:$M$90,0)</f>
        <v>0</v>
      </c>
      <c r="AC79" s="629">
        <f>_xlfn.XLOOKUP($E79,'Løp 4'!$E$10:$E$90,'Løp 4'!$O$10:$O$90,0)</f>
        <v>0</v>
      </c>
      <c r="AD79" s="629">
        <f>_xlfn.XLOOKUP($E79,'Løp 4'!$E$10:$E$90,'Løp 4'!$L$10:$L$90,0)</f>
        <v>0</v>
      </c>
      <c r="AE79" s="628">
        <f>_xlfn.XLOOKUP($E79,'Løp 5'!$E$10:$E$90,'Løp 5'!$M$10:$M$90,0)</f>
        <v>0</v>
      </c>
      <c r="AF79" s="629">
        <f>_xlfn.XLOOKUP($E79,'Løp 5'!$E$10:$E$90,'Løp 5'!$O$10:$O$90,0)</f>
        <v>0</v>
      </c>
      <c r="AG79" s="629">
        <f>_xlfn.XLOOKUP($E79,'Løp 5'!$E$10:$E$90,'Løp 5'!$L$10:$L$90,0)</f>
        <v>0</v>
      </c>
      <c r="AH79" s="628">
        <f>_xlfn.XLOOKUP($E79,'Løp 6'!$E$10:$E$90,'Løp 6'!$M$10:$M$90,0)</f>
        <v>0</v>
      </c>
      <c r="AI79" s="629">
        <f>_xlfn.XLOOKUP($E79,'Løp 6'!$E$10:$E$90,'Løp 6'!$O$10:$O$90,0)</f>
        <v>0</v>
      </c>
      <c r="AJ79" s="629">
        <f>_xlfn.XLOOKUP($E79,'Løp 6'!$E$10:$E$90,'Løp 6'!$L$10:$L$90,0)</f>
        <v>0</v>
      </c>
      <c r="AK79" s="628">
        <f>_xlfn.XLOOKUP($E79,'Løp 7'!$E$10:$E$90,'Løp 7'!$M$10:$M$90,0)</f>
        <v>0</v>
      </c>
      <c r="AL79" s="629">
        <f>_xlfn.XLOOKUP($E79,'Løp 7'!$E$10:$E$90,'Løp 7'!$O$10:$O$90,0)</f>
        <v>0</v>
      </c>
      <c r="AM79" s="629">
        <f>_xlfn.XLOOKUP($E79,'Løp 7'!$E$10:$E$90,'Løp 7'!$L$10:$L$90,0)</f>
        <v>0</v>
      </c>
      <c r="AN79" s="628">
        <f>_xlfn.XLOOKUP($E79,'Løp 8'!$E$10:$E$91,'Løp 8'!$M$10:$M$91,0)</f>
        <v>0</v>
      </c>
      <c r="AO79" s="629">
        <f>_xlfn.XLOOKUP($E79,'Løp 8'!$E$10:$E$91,'Løp 8'!$O$10:$O$91,0)</f>
        <v>0</v>
      </c>
      <c r="AP79" s="629">
        <f>_xlfn.XLOOKUP($E79,'Løp 8'!$E$10:$E$91,'Løp 8'!$L$10:$L$91,0)</f>
        <v>0</v>
      </c>
      <c r="AQ79" s="628">
        <f>_xlfn.XLOOKUP($E79,'Løp 9'!$E$10:$E$91,'Løp 9'!$M$10:$M$91,0)</f>
        <v>0</v>
      </c>
      <c r="AR79" s="629">
        <f>_xlfn.XLOOKUP($E79,'Løp 9'!$E$10:$E$91,'Løp 9'!$O$10:$O$91,0)</f>
        <v>0</v>
      </c>
      <c r="AS79" s="629">
        <f>_xlfn.XLOOKUP($E79,'Løp 9'!$E$10:$E$91,'Løp 9'!$L$10:$L$91,0)</f>
        <v>0</v>
      </c>
      <c r="AT79" s="628">
        <f>_xlfn.XLOOKUP($E79,'Løp 10'!$E$10:$E$91,'Løp 10'!$M$10:$M$91,0)</f>
        <v>0</v>
      </c>
      <c r="AU79" s="629">
        <f>_xlfn.XLOOKUP($E79,'Løp 10'!$E$10:$E$91,'Løp 10'!$O$10:$O$91,0)</f>
        <v>0</v>
      </c>
      <c r="AV79" s="629">
        <f>_xlfn.XLOOKUP($E79,'Løp 10'!$E$10:$E$91,'Løp 10'!$L$10:$L$91,0)</f>
        <v>0</v>
      </c>
      <c r="AW79" s="628">
        <f>_xlfn.XLOOKUP($E79,'Løp 11'!$E$10:$E$91,'Løp 11'!$M$10:$M$91,0)</f>
        <v>0</v>
      </c>
      <c r="AX79" s="629">
        <f>_xlfn.XLOOKUP($E79,'Løp 11'!$E$10:$E$91,'Løp 11'!$O$10:$O$91,0)</f>
        <v>0</v>
      </c>
      <c r="AY79" s="629">
        <f>_xlfn.XLOOKUP($E79,'Løp 11'!$E$10:$E$91,'Løp 11'!$L$10:$L$91,0)</f>
        <v>0</v>
      </c>
      <c r="AZ79" s="628">
        <f>_xlfn.XLOOKUP($E79,'Løp 12'!$E$10:$E$91,'Løp 12'!$M$10:$M$91,0)</f>
        <v>0</v>
      </c>
      <c r="BA79" s="629">
        <f>_xlfn.XLOOKUP($E79,'Løp 12'!$E$10:$E$91,'Løp 12'!$O$10:$O$91,0)</f>
        <v>0</v>
      </c>
      <c r="BB79" s="629">
        <f>_xlfn.XLOOKUP($E79,'Løp 12'!$E$10:$E$91,'Løp 12'!$L$10:$L$91,0)</f>
        <v>0</v>
      </c>
      <c r="BC79" s="628">
        <f>_xlfn.XLOOKUP($E79,'Løp 13'!$E$10:$E$91,'Løp 13'!$M$10:$M$91,0)</f>
        <v>0</v>
      </c>
      <c r="BD79" s="629">
        <f>_xlfn.XLOOKUP($E79,'Løp 13'!$E$10:$E$91,'Løp 13'!$O$10:$O$91,0)</f>
        <v>0</v>
      </c>
      <c r="BE79" s="629">
        <f>_xlfn.XLOOKUP($E79,'Løp 13'!$E$10:$E$91,'Løp 13'!$L$10:$L$91,0)</f>
        <v>0</v>
      </c>
      <c r="BF79" s="628">
        <f>_xlfn.XLOOKUP($E79,'Løp 14'!$E$10:$E$91,'Løp 14'!$M$10:$M$91,0)</f>
        <v>0</v>
      </c>
      <c r="BG79" s="629">
        <f>_xlfn.XLOOKUP($E79,'Løp 14'!$E$10:$E$91,'Løp 14'!$O$10:$O$91,0)</f>
        <v>0</v>
      </c>
      <c r="BH79" s="629">
        <f>_xlfn.XLOOKUP($E79,'Løp 14'!$E$10:$E$91,'Løp 14'!$L$10:$L$91,0)</f>
        <v>0</v>
      </c>
      <c r="BI79" s="628">
        <f>_xlfn.XLOOKUP($E79,'Løp 15'!$E$10:$E$91,'Løp 15'!$M$10:$M$91,0)</f>
        <v>0</v>
      </c>
      <c r="BJ79" s="629">
        <f>_xlfn.XLOOKUP($E79,'Løp 15'!$E$10:$E$91,'Løp 15'!$O$10:$O$91,0)</f>
        <v>0</v>
      </c>
      <c r="BK79" s="629">
        <f>_xlfn.XLOOKUP($E79,'Løp 15'!$E$10:$E$91,'Løp 15'!$L$10:$L$91,0)</f>
        <v>0</v>
      </c>
      <c r="BL79" s="628">
        <f>_xlfn.XLOOKUP($E79,'Løp 16'!$E$10:$E$91,'Løp 16'!$M$10:$M$91,0)</f>
        <v>0</v>
      </c>
      <c r="BM79" s="629">
        <f>_xlfn.XLOOKUP($E79,'Løp 16'!$E$10:$E$91,'Løp 16'!$O$10:$O$91,0)</f>
        <v>0</v>
      </c>
      <c r="BN79" s="629">
        <f>_xlfn.XLOOKUP($E79,'Løp 16'!$E$10:$E$91,'Løp 16'!$L$10:$L$91,0)</f>
        <v>0</v>
      </c>
      <c r="BO79" s="628">
        <f>_xlfn.XLOOKUP($E79,'Løp 17'!$E$10:$E$91,'Løp 17'!$M$10:$M$91,0)</f>
        <v>0</v>
      </c>
      <c r="BP79" s="629">
        <f>_xlfn.XLOOKUP($E79,'Løp 17'!$E$10:$E$91,'Løp 17'!$O$10:$O$91,0)</f>
        <v>0</v>
      </c>
      <c r="BQ79" s="629">
        <f>_xlfn.XLOOKUP($E79,'Løp 17'!$E$10:$E$91,'Løp 17'!$L$10:$L$91,0)</f>
        <v>0</v>
      </c>
      <c r="BR79" s="628">
        <f>_xlfn.XLOOKUP($E79,'Løp 18'!$E$10:$E$91,'Løp 18'!$M$10:$M$91,0)</f>
        <v>0</v>
      </c>
      <c r="BS79" s="629">
        <f>_xlfn.XLOOKUP($E79,'Løp 18'!$E$10:$E$91,'Løp 18'!$O$10:$O$91,0)</f>
        <v>0</v>
      </c>
      <c r="BT79" s="629">
        <f>_xlfn.XLOOKUP($E79,'Løp 18'!$E$10:$E$91,'Løp 18'!$L$10:$L$91,0)</f>
        <v>0</v>
      </c>
      <c r="BU79" s="628">
        <f>_xlfn.XLOOKUP($E79,'Løp 19'!$E$10:$E$91,'Løp 19'!$M$10:$M$91,0)</f>
        <v>0</v>
      </c>
      <c r="BV79" s="629">
        <f>_xlfn.XLOOKUP($E79,'Løp 19'!$E$10:$E$91,'Løp 19'!$O$10:$O$91,0)</f>
        <v>0</v>
      </c>
      <c r="BW79" s="629">
        <f>_xlfn.XLOOKUP($E79,'Løp 19'!$E$10:$E$91,'Løp 19'!$L$10:$L$91,0)</f>
        <v>0</v>
      </c>
      <c r="BX79" s="628">
        <f>_xlfn.XLOOKUP($E79,'Løp 20'!$E$10:$E$92,'Løp 20'!$M$10:$M$92,0)</f>
        <v>0</v>
      </c>
      <c r="BY79" s="629">
        <f>_xlfn.XLOOKUP($E79,'Løp 20'!$E$10:$E$92,'Løp 20'!$O$10:$O$92,0)</f>
        <v>0</v>
      </c>
      <c r="BZ79" s="629">
        <f>_xlfn.XLOOKUP($E79,'Løp 20'!$E$10:$E$92,'Løp 20'!$L$10:$L$92,0)</f>
        <v>0</v>
      </c>
      <c r="CA79" s="628">
        <f>_xlfn.XLOOKUP($E79,'Løp 21'!$E$10:$E$93,'Løp 21'!$M$10:$M$93,0)</f>
        <v>0</v>
      </c>
      <c r="CB79" s="629">
        <f>_xlfn.XLOOKUP($E79,'Løp 21'!$E$10:$E$93,'Løp 21'!$O$10:$O$93,0)</f>
        <v>0</v>
      </c>
      <c r="CC79" s="629">
        <f>_xlfn.XLOOKUP($E79,'Løp 21'!$E$10:$E$93,'Løp 21'!$L$10:$L$93,0)</f>
        <v>0</v>
      </c>
      <c r="CD79" s="628">
        <f>_xlfn.XLOOKUP($E79,'Løp 22'!$E$10:$E$93,'Løp 22'!$M$10:$M$93,0)</f>
        <v>94</v>
      </c>
      <c r="CE79" s="629">
        <f>_xlfn.XLOOKUP($E79,'Løp 22'!$E$10:$E$93,'Løp 22'!$O$10:$O$93,0)</f>
        <v>94</v>
      </c>
      <c r="CF79" s="629" t="str">
        <f>_xlfn.XLOOKUP($E79,'Løp 22'!$E$10:$E$93,'Løp 22'!$L$10:$L$93,0)</f>
        <v>Arr</v>
      </c>
      <c r="CG79" s="628">
        <f>_xlfn.XLOOKUP($E79,'Løp 23'!$E$10:$E$93,'Løp 23'!$M$10:$M$93,0)</f>
        <v>0</v>
      </c>
      <c r="CH79" s="629">
        <f>_xlfn.XLOOKUP($E79,'Løp 23'!$E$10:$E$93,'Løp 23'!$O$10:$O$93,0)</f>
        <v>0</v>
      </c>
      <c r="CI79" s="629">
        <f>_xlfn.XLOOKUP($E79,'Løp 23'!$E$10:$E$93,'Løp 23'!$L$10:$L$93,0)</f>
        <v>0</v>
      </c>
      <c r="CJ79" s="628">
        <f>_xlfn.XLOOKUP($E79,'Løp 24'!$E$10:$E$93,'Løp 24'!$M$10:$M$93,0)</f>
        <v>0</v>
      </c>
      <c r="CK79" s="629">
        <f>_xlfn.XLOOKUP($E79,'Løp 24'!$E$10:$E$93,'Løp 24'!$O$10:$O$93,0)</f>
        <v>0</v>
      </c>
      <c r="CL79" s="629">
        <f>_xlfn.XLOOKUP($E79,'Løp 24'!$E$10:$E$93,'Løp 24'!$L$10:$L$93,0)</f>
        <v>0</v>
      </c>
      <c r="CM79" s="628">
        <f>_xlfn.XLOOKUP($E79,'Løp 25'!$E$10:$E$94,'Løp 25'!$M$10:$M$94,0)</f>
        <v>0</v>
      </c>
      <c r="CN79" s="629">
        <f>_xlfn.XLOOKUP($E79,'Løp 25'!$E$10:$E$94,'Løp 25'!$O$10:$O$94,0)</f>
        <v>0</v>
      </c>
      <c r="CO79" s="629">
        <f>_xlfn.XLOOKUP($E79,'Løp 25'!$E$10:$E$94,'Løp 25'!$L$10:$L$94,0)</f>
        <v>0</v>
      </c>
      <c r="CP79" s="628">
        <f>_xlfn.XLOOKUP($E79,'Løp 26'!$E$10:$E$94,'Løp 26'!$M$10:$M$94,0)</f>
        <v>0</v>
      </c>
      <c r="CQ79" s="629">
        <f>_xlfn.XLOOKUP($E79,'Løp 26'!$E$10:$E$94,'Løp 26'!$O$10:$O$94,0)</f>
        <v>0</v>
      </c>
      <c r="CR79" s="629">
        <f>_xlfn.XLOOKUP($E79,'Løp 26'!$E$10:$E$94,'Løp 26'!$L$10:$L$94,0)</f>
        <v>0</v>
      </c>
      <c r="CS79" s="628">
        <f>_xlfn.XLOOKUP($E79,'Løp 27'!$E$10:$E$94,'Løp 27'!$M$10:$M$94,0)</f>
        <v>0</v>
      </c>
      <c r="CT79" s="629">
        <f>_xlfn.XLOOKUP($E79,'Løp 27'!$E$10:$E$94,'Løp 27'!$O$10:$O$94,0)</f>
        <v>0</v>
      </c>
      <c r="CU79" s="629">
        <f>_xlfn.XLOOKUP($E79,'Løp 27'!$E$10:$E$94,'Løp 27'!$L$10:$L$94,0)</f>
        <v>0</v>
      </c>
      <c r="CV79" s="628">
        <f>_xlfn.XLOOKUP($E79,'Løp 28'!$E$10:$E$95,'Løp 28'!$M$10:$M$95,0)</f>
        <v>0</v>
      </c>
      <c r="CW79" s="629">
        <f>_xlfn.XLOOKUP($E79,'Løp 28'!$E$10:$E$95,'Løp 28'!$O$10:$O$95,0)</f>
        <v>0</v>
      </c>
      <c r="CX79" s="629">
        <f>_xlfn.XLOOKUP($E79,'Løp 28'!$E$10:$E$95,'Løp 28'!$L$10:$L$95,0)</f>
        <v>0</v>
      </c>
      <c r="CY79" s="628">
        <f>_xlfn.XLOOKUP($E79,'Løp 29'!$E$10:$E$95,'Løp 29'!$M$10:$M$95,0)</f>
        <v>0</v>
      </c>
      <c r="CZ79" s="629">
        <f>_xlfn.XLOOKUP($E79,'Løp 29'!$E$10:$E$95,'Løp 29'!$O$10:$O$95,0)</f>
        <v>0</v>
      </c>
      <c r="DA79" s="629">
        <f>_xlfn.XLOOKUP($E79,'Løp 29'!$E$10:$E$95,'Løp 29'!$L$10:$L$95,0)</f>
        <v>0</v>
      </c>
    </row>
    <row r="80" spans="2:105" ht="26" thickBot="1" x14ac:dyDescent="0.3">
      <c r="B80" s="627">
        <f>B79+1</f>
        <v>71</v>
      </c>
      <c r="C80" s="119" t="s">
        <v>70</v>
      </c>
      <c r="D80" s="620" t="s">
        <v>71</v>
      </c>
      <c r="E80" s="616" t="str">
        <f>_xlfn.CONCAT(C80:D80)</f>
        <v>TrondDamås</v>
      </c>
      <c r="F80" s="610"/>
      <c r="G80" s="653">
        <f>COUNTIF(S80:DA80,"&gt;2")/2</f>
        <v>3</v>
      </c>
      <c r="H80" s="852">
        <f>COUNTIF(S80:DA80,"=Løype")+COUNTIF(S80:DA80,"Arr")</f>
        <v>0</v>
      </c>
      <c r="I80" s="610"/>
      <c r="J80" s="632">
        <f>S80+V80+Y80+AB80+AE80+AH80+AK80+AN80+AQ80+AT80+AW80+AZ80+BC80+BF80+BI80+BL80+BO80+BR80+BU80+BX80+CA80+CD80+CG80+CJ80+CM80+CP80+CS80+CV80+CY80</f>
        <v>209</v>
      </c>
      <c r="K80" s="633">
        <f>T80+W80+Z80+AC80+AF80+AI80+AL80+AO80+AR80+AU80+AX80+BA80+BD80+BG80+BJ80+BM80+BP80+BS80+BV80+BY80+CB80+CE80+CH80+CK80+CN80+CQ80+CT80+CW80+CZ80</f>
        <v>207</v>
      </c>
      <c r="L80" s="613"/>
      <c r="M80" s="658">
        <f>IF($G80&gt;0,J80/G80,0)</f>
        <v>69.666666666666671</v>
      </c>
      <c r="N80" s="659">
        <f>IF($G80&gt;0,K80/$G80,0)</f>
        <v>69</v>
      </c>
      <c r="O80" s="862"/>
      <c r="P80" s="874">
        <f>IF(AND($G80&gt;$Q$3-1,$G80-$H80&gt;0),M80,0)</f>
        <v>0</v>
      </c>
      <c r="Q80" s="875">
        <f>IF(AND($G80&gt;$Q$3-1,$G80-$H80&gt;0),N80,0)</f>
        <v>0</v>
      </c>
      <c r="R80" s="613"/>
      <c r="S80" s="628">
        <f>_xlfn.XLOOKUP($E80,'Løp 1'!$E$10:$E$90,'Løp 1'!$M$10:$M$90,0)</f>
        <v>0</v>
      </c>
      <c r="T80" s="629">
        <f>_xlfn.XLOOKUP($E80,'Løp 1'!$E$10:$E$90,'Løp 1'!$O$10:$O$90,0)</f>
        <v>0</v>
      </c>
      <c r="U80" s="629">
        <f>_xlfn.XLOOKUP($E80,'Løp 1'!$E$10:$E$90,'Løp 1'!$L$10:$L$90,0)</f>
        <v>0</v>
      </c>
      <c r="V80" s="628">
        <f>_xlfn.XLOOKUP($E80,'Løp 2'!$E$10:$E$90,'Løp 2'!$M$10:$M$90,0)</f>
        <v>0</v>
      </c>
      <c r="W80" s="629">
        <f>_xlfn.XLOOKUP($E80,'Løp 2'!$E$10:$E$90,'Løp 2'!$O$10:$O$90,0)</f>
        <v>0</v>
      </c>
      <c r="X80" s="629">
        <f>_xlfn.XLOOKUP($E80,'Løp 2'!$E$10:$E$90,'Løp 2'!$L$10:$L$90,0)</f>
        <v>0</v>
      </c>
      <c r="Y80" s="628">
        <f>_xlfn.XLOOKUP($E80,'Løp 3'!$E$10:$E$90,'Løp 3'!$M$10:$M$90,0)</f>
        <v>0</v>
      </c>
      <c r="Z80" s="629">
        <f>_xlfn.XLOOKUP($E80,'Løp 3'!$E$10:$E$90,'Løp 3'!$O$10:$O$90,0)</f>
        <v>0</v>
      </c>
      <c r="AA80" s="629">
        <f>_xlfn.XLOOKUP($E80,'Løp 3'!$E$10:$E$90,'Løp 3'!$L$10:$L$90,0)</f>
        <v>0</v>
      </c>
      <c r="AB80" s="628">
        <f>_xlfn.XLOOKUP($E80,'Løp 4'!$E$10:$E$90,'Løp 4'!$M$10:$M$90,0)</f>
        <v>0</v>
      </c>
      <c r="AC80" s="629">
        <f>_xlfn.XLOOKUP($E80,'Løp 4'!$E$10:$E$90,'Løp 4'!$O$10:$O$90,0)</f>
        <v>0</v>
      </c>
      <c r="AD80" s="629">
        <f>_xlfn.XLOOKUP($E80,'Løp 4'!$E$10:$E$90,'Løp 4'!$L$10:$L$90,0)</f>
        <v>0</v>
      </c>
      <c r="AE80" s="628">
        <f>_xlfn.XLOOKUP($E80,'Løp 5'!$E$10:$E$90,'Løp 5'!$M$10:$M$90,0)</f>
        <v>0</v>
      </c>
      <c r="AF80" s="629">
        <f>_xlfn.XLOOKUP($E80,'Løp 5'!$E$10:$E$90,'Løp 5'!$O$10:$O$90,0)</f>
        <v>0</v>
      </c>
      <c r="AG80" s="629">
        <f>_xlfn.XLOOKUP($E80,'Løp 5'!$E$10:$E$90,'Løp 5'!$L$10:$L$90,0)</f>
        <v>0</v>
      </c>
      <c r="AH80" s="628">
        <f>_xlfn.XLOOKUP($E80,'Løp 6'!$E$10:$E$90,'Løp 6'!$M$10:$M$90,0)</f>
        <v>0</v>
      </c>
      <c r="AI80" s="629">
        <f>_xlfn.XLOOKUP($E80,'Løp 6'!$E$10:$E$90,'Løp 6'!$O$10:$O$90,0)</f>
        <v>0</v>
      </c>
      <c r="AJ80" s="629">
        <f>_xlfn.XLOOKUP($E80,'Løp 6'!$E$10:$E$90,'Løp 6'!$L$10:$L$90,0)</f>
        <v>0</v>
      </c>
      <c r="AK80" s="628">
        <f>_xlfn.XLOOKUP($E80,'Løp 7'!$E$10:$E$90,'Løp 7'!$M$10:$M$90,0)</f>
        <v>0</v>
      </c>
      <c r="AL80" s="629">
        <f>_xlfn.XLOOKUP($E80,'Løp 7'!$E$10:$E$90,'Løp 7'!$O$10:$O$90,0)</f>
        <v>0</v>
      </c>
      <c r="AM80" s="629">
        <f>_xlfn.XLOOKUP($E80,'Løp 7'!$E$10:$E$90,'Løp 7'!$L$10:$L$90,0)</f>
        <v>0</v>
      </c>
      <c r="AN80" s="628">
        <f>_xlfn.XLOOKUP($E80,'Løp 8'!$E$10:$E$91,'Løp 8'!$M$10:$M$91,0)</f>
        <v>0</v>
      </c>
      <c r="AO80" s="629">
        <f>_xlfn.XLOOKUP($E80,'Løp 8'!$E$10:$E$91,'Løp 8'!$O$10:$O$91,0)</f>
        <v>0</v>
      </c>
      <c r="AP80" s="629">
        <f>_xlfn.XLOOKUP($E80,'Løp 8'!$E$10:$E$91,'Løp 8'!$L$10:$L$91,0)</f>
        <v>0</v>
      </c>
      <c r="AQ80" s="628">
        <f>_xlfn.XLOOKUP($E80,'Løp 9'!$E$10:$E$91,'Løp 9'!$M$10:$M$91,0)</f>
        <v>0</v>
      </c>
      <c r="AR80" s="629">
        <f>_xlfn.XLOOKUP($E80,'Løp 9'!$E$10:$E$91,'Løp 9'!$O$10:$O$91,0)</f>
        <v>0</v>
      </c>
      <c r="AS80" s="629">
        <f>_xlfn.XLOOKUP($E80,'Løp 9'!$E$10:$E$91,'Løp 9'!$L$10:$L$91,0)</f>
        <v>0</v>
      </c>
      <c r="AT80" s="628">
        <f>_xlfn.XLOOKUP($E80,'Løp 10'!$E$10:$E$91,'Løp 10'!$M$10:$M$91,0)</f>
        <v>0</v>
      </c>
      <c r="AU80" s="629">
        <f>_xlfn.XLOOKUP($E80,'Løp 10'!$E$10:$E$91,'Løp 10'!$O$10:$O$91,0)</f>
        <v>0</v>
      </c>
      <c r="AV80" s="629">
        <f>_xlfn.XLOOKUP($E80,'Løp 10'!$E$10:$E$91,'Løp 10'!$L$10:$L$91,0)</f>
        <v>0</v>
      </c>
      <c r="AW80" s="628">
        <f>_xlfn.XLOOKUP($E80,'Løp 11'!$E$10:$E$91,'Løp 11'!$M$10:$M$91,0)</f>
        <v>0</v>
      </c>
      <c r="AX80" s="629">
        <f>_xlfn.XLOOKUP($E80,'Løp 11'!$E$10:$E$91,'Løp 11'!$O$10:$O$91,0)</f>
        <v>0</v>
      </c>
      <c r="AY80" s="629">
        <f>_xlfn.XLOOKUP($E80,'Løp 11'!$E$10:$E$91,'Løp 11'!$L$10:$L$91,0)</f>
        <v>0</v>
      </c>
      <c r="AZ80" s="628">
        <f>_xlfn.XLOOKUP($E80,'Løp 12'!$E$10:$E$91,'Løp 12'!$M$10:$M$91,0)</f>
        <v>0</v>
      </c>
      <c r="BA80" s="629">
        <f>_xlfn.XLOOKUP($E80,'Løp 12'!$E$10:$E$91,'Løp 12'!$O$10:$O$91,0)</f>
        <v>0</v>
      </c>
      <c r="BB80" s="629">
        <f>_xlfn.XLOOKUP($E80,'Løp 12'!$E$10:$E$91,'Løp 12'!$L$10:$L$91,0)</f>
        <v>0</v>
      </c>
      <c r="BC80" s="628">
        <f>_xlfn.XLOOKUP($E80,'Løp 13'!$E$10:$E$91,'Løp 13'!$M$10:$M$91,0)</f>
        <v>0</v>
      </c>
      <c r="BD80" s="629">
        <f>_xlfn.XLOOKUP($E80,'Løp 13'!$E$10:$E$91,'Løp 13'!$O$10:$O$91,0)</f>
        <v>0</v>
      </c>
      <c r="BE80" s="629">
        <f>_xlfn.XLOOKUP($E80,'Løp 13'!$E$10:$E$91,'Løp 13'!$L$10:$L$91,0)</f>
        <v>0</v>
      </c>
      <c r="BF80" s="628">
        <f>_xlfn.XLOOKUP($E80,'Løp 14'!$E$10:$E$91,'Løp 14'!$M$10:$M$91,0)</f>
        <v>0</v>
      </c>
      <c r="BG80" s="629">
        <f>_xlfn.XLOOKUP($E80,'Løp 14'!$E$10:$E$91,'Løp 14'!$O$10:$O$91,0)</f>
        <v>0</v>
      </c>
      <c r="BH80" s="629">
        <f>_xlfn.XLOOKUP($E80,'Løp 14'!$E$10:$E$91,'Løp 14'!$L$10:$L$91,0)</f>
        <v>0</v>
      </c>
      <c r="BI80" s="628">
        <f>_xlfn.XLOOKUP($E80,'Løp 15'!$E$10:$E$91,'Løp 15'!$M$10:$M$91,0)</f>
        <v>0</v>
      </c>
      <c r="BJ80" s="629">
        <f>_xlfn.XLOOKUP($E80,'Løp 15'!$E$10:$E$91,'Løp 15'!$O$10:$O$91,0)</f>
        <v>0</v>
      </c>
      <c r="BK80" s="629">
        <f>_xlfn.XLOOKUP($E80,'Løp 15'!$E$10:$E$91,'Løp 15'!$L$10:$L$91,0)</f>
        <v>0</v>
      </c>
      <c r="BL80" s="628">
        <f>_xlfn.XLOOKUP($E80,'Løp 16'!$E$10:$E$91,'Løp 16'!$M$10:$M$91,0)</f>
        <v>0</v>
      </c>
      <c r="BM80" s="629">
        <f>_xlfn.XLOOKUP($E80,'Løp 16'!$E$10:$E$91,'Løp 16'!$O$10:$O$91,0)</f>
        <v>0</v>
      </c>
      <c r="BN80" s="629">
        <f>_xlfn.XLOOKUP($E80,'Løp 16'!$E$10:$E$91,'Løp 16'!$L$10:$L$91,0)</f>
        <v>0</v>
      </c>
      <c r="BO80" s="628">
        <f>_xlfn.XLOOKUP($E80,'Løp 17'!$E$10:$E$91,'Løp 17'!$M$10:$M$91,0)</f>
        <v>0</v>
      </c>
      <c r="BP80" s="629">
        <f>_xlfn.XLOOKUP($E80,'Løp 17'!$E$10:$E$91,'Løp 17'!$O$10:$O$91,0)</f>
        <v>0</v>
      </c>
      <c r="BQ80" s="629">
        <f>_xlfn.XLOOKUP($E80,'Løp 17'!$E$10:$E$91,'Løp 17'!$L$10:$L$91,0)</f>
        <v>0</v>
      </c>
      <c r="BR80" s="628">
        <f>_xlfn.XLOOKUP($E80,'Løp 18'!$E$10:$E$91,'Løp 18'!$M$10:$M$91,0)</f>
        <v>0</v>
      </c>
      <c r="BS80" s="629">
        <f>_xlfn.XLOOKUP($E80,'Løp 18'!$E$10:$E$91,'Løp 18'!$O$10:$O$91,0)</f>
        <v>0</v>
      </c>
      <c r="BT80" s="629">
        <f>_xlfn.XLOOKUP($E80,'Løp 18'!$E$10:$E$91,'Løp 18'!$L$10:$L$91,0)</f>
        <v>0</v>
      </c>
      <c r="BU80" s="628">
        <f>_xlfn.XLOOKUP($E80,'Løp 19'!$E$10:$E$91,'Løp 19'!$M$10:$M$91,0)</f>
        <v>0</v>
      </c>
      <c r="BV80" s="629">
        <f>_xlfn.XLOOKUP($E80,'Løp 19'!$E$10:$E$91,'Løp 19'!$O$10:$O$91,0)</f>
        <v>0</v>
      </c>
      <c r="BW80" s="629">
        <f>_xlfn.XLOOKUP($E80,'Løp 19'!$E$10:$E$91,'Løp 19'!$L$10:$L$91,0)</f>
        <v>0</v>
      </c>
      <c r="BX80" s="628">
        <f>_xlfn.XLOOKUP($E80,'Løp 20'!$E$10:$E$92,'Løp 20'!$M$10:$M$92,0)</f>
        <v>0</v>
      </c>
      <c r="BY80" s="629">
        <f>_xlfn.XLOOKUP($E80,'Løp 20'!$E$10:$E$92,'Løp 20'!$O$10:$O$92,0)</f>
        <v>0</v>
      </c>
      <c r="BZ80" s="629">
        <f>_xlfn.XLOOKUP($E80,'Løp 20'!$E$10:$E$92,'Løp 20'!$L$10:$L$92,0)</f>
        <v>0</v>
      </c>
      <c r="CA80" s="628">
        <f>_xlfn.XLOOKUP($E80,'Løp 21'!$E$10:$E$93,'Løp 21'!$M$10:$M$93,0)</f>
        <v>0</v>
      </c>
      <c r="CB80" s="629">
        <f>_xlfn.XLOOKUP($E80,'Løp 21'!$E$10:$E$93,'Løp 21'!$O$10:$O$93,0)</f>
        <v>0</v>
      </c>
      <c r="CC80" s="629">
        <f>_xlfn.XLOOKUP($E80,'Løp 21'!$E$10:$E$93,'Løp 21'!$L$10:$L$93,0)</f>
        <v>0</v>
      </c>
      <c r="CD80" s="628">
        <f>_xlfn.XLOOKUP($E80,'Løp 22'!$E$10:$E$93,'Løp 22'!$M$10:$M$93,0)</f>
        <v>0</v>
      </c>
      <c r="CE80" s="629">
        <f>_xlfn.XLOOKUP($E80,'Løp 22'!$E$10:$E$93,'Løp 22'!$O$10:$O$93,0)</f>
        <v>0</v>
      </c>
      <c r="CF80" s="629">
        <f>_xlfn.XLOOKUP($E80,'Løp 22'!$E$10:$E$93,'Løp 22'!$L$10:$L$93,0)</f>
        <v>0</v>
      </c>
      <c r="CG80" s="628">
        <f>_xlfn.XLOOKUP($E80,'Løp 23'!$E$10:$E$93,'Løp 23'!$M$10:$M$93,0)</f>
        <v>0</v>
      </c>
      <c r="CH80" s="629">
        <f>_xlfn.XLOOKUP($E80,'Løp 23'!$E$10:$E$93,'Løp 23'!$O$10:$O$93,0)</f>
        <v>0</v>
      </c>
      <c r="CI80" s="629">
        <f>_xlfn.XLOOKUP($E80,'Løp 23'!$E$10:$E$93,'Løp 23'!$L$10:$L$93,0)</f>
        <v>0</v>
      </c>
      <c r="CJ80" s="628">
        <f>_xlfn.XLOOKUP($E80,'Løp 24'!$E$10:$E$93,'Løp 24'!$M$10:$M$93,0)</f>
        <v>65</v>
      </c>
      <c r="CK80" s="629">
        <f>_xlfn.XLOOKUP($E80,'Løp 24'!$E$10:$E$93,'Løp 24'!$O$10:$O$93,0)</f>
        <v>56</v>
      </c>
      <c r="CL80" s="629">
        <f>_xlfn.XLOOKUP($E80,'Løp 24'!$E$10:$E$93,'Løp 24'!$L$10:$L$93,0)</f>
        <v>8.1807659932659933E-3</v>
      </c>
      <c r="CM80" s="628">
        <f>_xlfn.XLOOKUP($E80,'Løp 25'!$E$10:$E$94,'Løp 25'!$M$10:$M$94,0)</f>
        <v>0</v>
      </c>
      <c r="CN80" s="629">
        <f>_xlfn.XLOOKUP($E80,'Løp 25'!$E$10:$E$94,'Løp 25'!$O$10:$O$94,0)</f>
        <v>0</v>
      </c>
      <c r="CO80" s="629">
        <f>_xlfn.XLOOKUP($E80,'Løp 25'!$E$10:$E$94,'Løp 25'!$L$10:$L$94,0)</f>
        <v>0</v>
      </c>
      <c r="CP80" s="628">
        <f>_xlfn.XLOOKUP($E80,'Løp 26'!$E$10:$E$94,'Løp 26'!$M$10:$M$94,0)</f>
        <v>0</v>
      </c>
      <c r="CQ80" s="629">
        <f>_xlfn.XLOOKUP($E80,'Løp 26'!$E$10:$E$94,'Løp 26'!$O$10:$O$94,0)</f>
        <v>0</v>
      </c>
      <c r="CR80" s="629">
        <f>_xlfn.XLOOKUP($E80,'Løp 26'!$E$10:$E$94,'Løp 26'!$L$10:$L$94,0)</f>
        <v>0</v>
      </c>
      <c r="CS80" s="628">
        <f>_xlfn.XLOOKUP($E80,'Løp 27'!$E$10:$E$94,'Løp 27'!$M$10:$M$94,0)</f>
        <v>63</v>
      </c>
      <c r="CT80" s="629">
        <f>_xlfn.XLOOKUP($E80,'Løp 27'!$E$10:$E$94,'Løp 27'!$O$10:$O$94,0)</f>
        <v>68</v>
      </c>
      <c r="CU80" s="629">
        <f>_xlfn.XLOOKUP($E80,'Løp 27'!$E$10:$E$94,'Løp 27'!$L$10:$L$94,0)</f>
        <v>1.0808899176954732E-2</v>
      </c>
      <c r="CV80" s="628">
        <f>_xlfn.XLOOKUP($E80,'Løp 28'!$E$10:$E$95,'Løp 28'!$M$10:$M$95,0)</f>
        <v>0</v>
      </c>
      <c r="CW80" s="629">
        <f>_xlfn.XLOOKUP($E80,'Løp 28'!$E$10:$E$95,'Løp 28'!$O$10:$O$95,0)</f>
        <v>0</v>
      </c>
      <c r="CX80" s="629">
        <f>_xlfn.XLOOKUP($E80,'Løp 28'!$E$10:$E$95,'Løp 28'!$L$10:$L$95,0)</f>
        <v>0</v>
      </c>
      <c r="CY80" s="628">
        <f>_xlfn.XLOOKUP($E80,'Løp 29'!$E$10:$E$95,'Løp 29'!$M$10:$M$95,0)</f>
        <v>81</v>
      </c>
      <c r="CZ80" s="629">
        <f>_xlfn.XLOOKUP($E80,'Løp 29'!$E$10:$E$95,'Løp 29'!$O$10:$O$95,0)</f>
        <v>83</v>
      </c>
      <c r="DA80" s="629">
        <f>_xlfn.XLOOKUP($E80,'Løp 29'!$E$10:$E$95,'Løp 29'!$L$10:$L$95,0)</f>
        <v>9.0350115740740738E-3</v>
      </c>
    </row>
    <row r="81" spans="2:105" ht="26" customHeight="1" thickBot="1" x14ac:dyDescent="0.3">
      <c r="B81" s="627">
        <f t="shared" ref="B81:B82" si="1">B80+1</f>
        <v>72</v>
      </c>
      <c r="C81" s="119" t="s">
        <v>414</v>
      </c>
      <c r="D81" s="620" t="s">
        <v>415</v>
      </c>
      <c r="E81" s="616" t="str">
        <f>_xlfn.CONCAT(C81:D81)</f>
        <v>HåkonArnesen</v>
      </c>
      <c r="F81" s="610"/>
      <c r="G81" s="653">
        <f>COUNTIF(S81:DA81,"&gt;2")/2</f>
        <v>1</v>
      </c>
      <c r="H81" s="852">
        <f>COUNTIF(S81:DA81,"=Løype")+COUNTIF(S81:DA81,"Arr")</f>
        <v>0</v>
      </c>
      <c r="I81" s="610"/>
      <c r="J81" s="632">
        <f>S81+V81+Y81+AB81+AE81+AH81+AK81+AN81+AQ81+AT81+AW81+AZ81+BC81+BF81+BI81+BL81+BO81+BR81+BU81+BX81+CA81+CD81+CG81+CJ81+CM81+CP81+CS81+CV81+CY81</f>
        <v>83</v>
      </c>
      <c r="K81" s="633">
        <f>T81+W81+Z81+AC81+AF81+AI81+AL81+AO81+AR81+AU81+AX81+BA81+BD81+BG81+BJ81+BM81+BP81+BS81+BV81+BY81+CB81+CE81+CH81+CK81+CN81+CQ81+CT81+CW81+CZ81</f>
        <v>68</v>
      </c>
      <c r="L81" s="613"/>
      <c r="M81" s="658">
        <f>IF($G81&gt;0,J81/G81,0)</f>
        <v>83</v>
      </c>
      <c r="N81" s="659">
        <f>IF($G81&gt;0,K81/$G81,0)</f>
        <v>68</v>
      </c>
      <c r="O81" s="862"/>
      <c r="P81" s="874">
        <f>IF(AND($G81&gt;$Q$3-1,$G81-$H81&gt;0),M81,0)</f>
        <v>0</v>
      </c>
      <c r="Q81" s="875">
        <f>IF(AND($G81&gt;$Q$3-1,$G81-$H81&gt;0),N81,0)</f>
        <v>0</v>
      </c>
      <c r="R81" s="613"/>
      <c r="S81" s="628">
        <f>_xlfn.XLOOKUP($E81,'Løp 1'!$E$10:$E$90,'Løp 1'!$M$10:$M$90,0)</f>
        <v>0</v>
      </c>
      <c r="T81" s="629">
        <f>_xlfn.XLOOKUP($E81,'Løp 1'!$E$10:$E$90,'Løp 1'!$O$10:$O$90,0)</f>
        <v>0</v>
      </c>
      <c r="U81" s="629">
        <f>_xlfn.XLOOKUP($E81,'Løp 1'!$E$10:$E$90,'Løp 1'!$L$10:$L$90,0)</f>
        <v>0</v>
      </c>
      <c r="V81" s="628">
        <f>_xlfn.XLOOKUP($E81,'Løp 2'!$E$10:$E$90,'Løp 2'!$M$10:$M$90,0)</f>
        <v>0</v>
      </c>
      <c r="W81" s="629">
        <f>_xlfn.XLOOKUP($E81,'Løp 2'!$E$10:$E$90,'Løp 2'!$O$10:$O$90,0)</f>
        <v>0</v>
      </c>
      <c r="X81" s="629">
        <f>_xlfn.XLOOKUP($E81,'Løp 2'!$E$10:$E$90,'Løp 2'!$L$10:$L$90,0)</f>
        <v>0</v>
      </c>
      <c r="Y81" s="628">
        <f>_xlfn.XLOOKUP($E81,'Løp 3'!$E$10:$E$90,'Løp 3'!$M$10:$M$90,0)</f>
        <v>0</v>
      </c>
      <c r="Z81" s="629">
        <f>_xlfn.XLOOKUP($E81,'Løp 3'!$E$10:$E$90,'Løp 3'!$O$10:$O$90,0)</f>
        <v>0</v>
      </c>
      <c r="AA81" s="629">
        <f>_xlfn.XLOOKUP($E81,'Løp 3'!$E$10:$E$90,'Løp 3'!$L$10:$L$90,0)</f>
        <v>0</v>
      </c>
      <c r="AB81" s="628">
        <f>_xlfn.XLOOKUP($E81,'Løp 4'!$E$10:$E$90,'Løp 4'!$M$10:$M$90,0)</f>
        <v>0</v>
      </c>
      <c r="AC81" s="629">
        <f>_xlfn.XLOOKUP($E81,'Løp 4'!$E$10:$E$90,'Løp 4'!$O$10:$O$90,0)</f>
        <v>0</v>
      </c>
      <c r="AD81" s="629">
        <f>_xlfn.XLOOKUP($E81,'Løp 4'!$E$10:$E$90,'Løp 4'!$L$10:$L$90,0)</f>
        <v>0</v>
      </c>
      <c r="AE81" s="628">
        <f>_xlfn.XLOOKUP($E81,'Løp 5'!$E$10:$E$90,'Løp 5'!$M$10:$M$90,0)</f>
        <v>0</v>
      </c>
      <c r="AF81" s="629">
        <f>_xlfn.XLOOKUP($E81,'Løp 5'!$E$10:$E$90,'Løp 5'!$O$10:$O$90,0)</f>
        <v>0</v>
      </c>
      <c r="AG81" s="629">
        <f>_xlfn.XLOOKUP($E81,'Løp 5'!$E$10:$E$90,'Løp 5'!$L$10:$L$90,0)</f>
        <v>0</v>
      </c>
      <c r="AH81" s="628">
        <f>_xlfn.XLOOKUP($E81,'Løp 6'!$E$10:$E$90,'Løp 6'!$M$10:$M$90,0)</f>
        <v>0</v>
      </c>
      <c r="AI81" s="629">
        <f>_xlfn.XLOOKUP($E81,'Løp 6'!$E$10:$E$90,'Løp 6'!$O$10:$O$90,0)</f>
        <v>0</v>
      </c>
      <c r="AJ81" s="629">
        <f>_xlfn.XLOOKUP($E81,'Løp 6'!$E$10:$E$90,'Løp 6'!$L$10:$L$90,0)</f>
        <v>0</v>
      </c>
      <c r="AK81" s="628">
        <f>_xlfn.XLOOKUP($E81,'Løp 7'!$E$10:$E$90,'Løp 7'!$M$10:$M$90,0)</f>
        <v>0</v>
      </c>
      <c r="AL81" s="629">
        <f>_xlfn.XLOOKUP($E81,'Løp 7'!$E$10:$E$90,'Løp 7'!$O$10:$O$90,0)</f>
        <v>0</v>
      </c>
      <c r="AM81" s="629">
        <f>_xlfn.XLOOKUP($E81,'Løp 7'!$E$10:$E$90,'Løp 7'!$L$10:$L$90,0)</f>
        <v>0</v>
      </c>
      <c r="AN81" s="628">
        <f>_xlfn.XLOOKUP($E81,'Løp 8'!$E$10:$E$91,'Løp 8'!$M$10:$M$91,0)</f>
        <v>0</v>
      </c>
      <c r="AO81" s="629">
        <f>_xlfn.XLOOKUP($E81,'Løp 8'!$E$10:$E$91,'Løp 8'!$O$10:$O$91,0)</f>
        <v>0</v>
      </c>
      <c r="AP81" s="629">
        <f>_xlfn.XLOOKUP($E81,'Løp 8'!$E$10:$E$91,'Løp 8'!$L$10:$L$91,0)</f>
        <v>0</v>
      </c>
      <c r="AQ81" s="628">
        <f>_xlfn.XLOOKUP($E81,'Løp 9'!$E$10:$E$91,'Løp 9'!$M$10:$M$91,0)</f>
        <v>0</v>
      </c>
      <c r="AR81" s="629">
        <f>_xlfn.XLOOKUP($E81,'Løp 9'!$E$10:$E$91,'Løp 9'!$O$10:$O$91,0)</f>
        <v>0</v>
      </c>
      <c r="AS81" s="629">
        <f>_xlfn.XLOOKUP($E81,'Løp 9'!$E$10:$E$91,'Løp 9'!$L$10:$L$91,0)</f>
        <v>0</v>
      </c>
      <c r="AT81" s="628">
        <f>_xlfn.XLOOKUP($E81,'Løp 10'!$E$10:$E$91,'Løp 10'!$M$10:$M$91,0)</f>
        <v>0</v>
      </c>
      <c r="AU81" s="629">
        <f>_xlfn.XLOOKUP($E81,'Løp 10'!$E$10:$E$91,'Løp 10'!$O$10:$O$91,0)</f>
        <v>0</v>
      </c>
      <c r="AV81" s="629">
        <f>_xlfn.XLOOKUP($E81,'Løp 10'!$E$10:$E$91,'Løp 10'!$L$10:$L$91,0)</f>
        <v>0</v>
      </c>
      <c r="AW81" s="628">
        <f>_xlfn.XLOOKUP($E81,'Løp 11'!$E$10:$E$91,'Løp 11'!$M$10:$M$91,0)</f>
        <v>0</v>
      </c>
      <c r="AX81" s="629">
        <f>_xlfn.XLOOKUP($E81,'Løp 11'!$E$10:$E$91,'Løp 11'!$O$10:$O$91,0)</f>
        <v>0</v>
      </c>
      <c r="AY81" s="629">
        <f>_xlfn.XLOOKUP($E81,'Løp 11'!$E$10:$E$91,'Løp 11'!$L$10:$L$91,0)</f>
        <v>0</v>
      </c>
      <c r="AZ81" s="628">
        <f>_xlfn.XLOOKUP($E81,'Løp 12'!$E$10:$E$91,'Løp 12'!$M$10:$M$91,0)</f>
        <v>0</v>
      </c>
      <c r="BA81" s="629">
        <f>_xlfn.XLOOKUP($E81,'Løp 12'!$E$10:$E$91,'Løp 12'!$O$10:$O$91,0)</f>
        <v>0</v>
      </c>
      <c r="BB81" s="629">
        <f>_xlfn.XLOOKUP($E81,'Løp 12'!$E$10:$E$91,'Løp 12'!$L$10:$L$91,0)</f>
        <v>0</v>
      </c>
      <c r="BC81" s="628">
        <f>_xlfn.XLOOKUP($E81,'Løp 13'!$E$10:$E$91,'Løp 13'!$M$10:$M$91,0)</f>
        <v>0</v>
      </c>
      <c r="BD81" s="629">
        <f>_xlfn.XLOOKUP($E81,'Løp 13'!$E$10:$E$91,'Løp 13'!$O$10:$O$91,0)</f>
        <v>0</v>
      </c>
      <c r="BE81" s="629">
        <f>_xlfn.XLOOKUP($E81,'Løp 13'!$E$10:$E$91,'Løp 13'!$L$10:$L$91,0)</f>
        <v>0</v>
      </c>
      <c r="BF81" s="628">
        <f>_xlfn.XLOOKUP($E81,'Løp 14'!$E$10:$E$91,'Løp 14'!$M$10:$M$91,0)</f>
        <v>0</v>
      </c>
      <c r="BG81" s="629">
        <f>_xlfn.XLOOKUP($E81,'Løp 14'!$E$10:$E$91,'Løp 14'!$O$10:$O$91,0)</f>
        <v>0</v>
      </c>
      <c r="BH81" s="629">
        <f>_xlfn.XLOOKUP($E81,'Løp 14'!$E$10:$E$91,'Løp 14'!$L$10:$L$91,0)</f>
        <v>0</v>
      </c>
      <c r="BI81" s="628">
        <f>_xlfn.XLOOKUP($E81,'Løp 15'!$E$10:$E$91,'Løp 15'!$M$10:$M$91,0)</f>
        <v>0</v>
      </c>
      <c r="BJ81" s="629">
        <f>_xlfn.XLOOKUP($E81,'Løp 15'!$E$10:$E$91,'Løp 15'!$O$10:$O$91,0)</f>
        <v>0</v>
      </c>
      <c r="BK81" s="629">
        <f>_xlfn.XLOOKUP($E81,'Løp 15'!$E$10:$E$91,'Løp 15'!$L$10:$L$91,0)</f>
        <v>0</v>
      </c>
      <c r="BL81" s="628">
        <f>_xlfn.XLOOKUP($E81,'Løp 16'!$E$10:$E$91,'Løp 16'!$M$10:$M$91,0)</f>
        <v>0</v>
      </c>
      <c r="BM81" s="629">
        <f>_xlfn.XLOOKUP($E81,'Løp 16'!$E$10:$E$91,'Løp 16'!$O$10:$O$91,0)</f>
        <v>0</v>
      </c>
      <c r="BN81" s="629">
        <f>_xlfn.XLOOKUP($E81,'Løp 16'!$E$10:$E$91,'Løp 16'!$L$10:$L$91,0)</f>
        <v>0</v>
      </c>
      <c r="BO81" s="628">
        <f>_xlfn.XLOOKUP($E81,'Løp 17'!$E$10:$E$91,'Løp 17'!$M$10:$M$91,0)</f>
        <v>0</v>
      </c>
      <c r="BP81" s="629">
        <f>_xlfn.XLOOKUP($E81,'Løp 17'!$E$10:$E$91,'Løp 17'!$O$10:$O$91,0)</f>
        <v>0</v>
      </c>
      <c r="BQ81" s="629">
        <f>_xlfn.XLOOKUP($E81,'Løp 17'!$E$10:$E$91,'Løp 17'!$L$10:$L$91,0)</f>
        <v>0</v>
      </c>
      <c r="BR81" s="628">
        <f>_xlfn.XLOOKUP($E81,'Løp 18'!$E$10:$E$91,'Løp 18'!$M$10:$M$91,0)</f>
        <v>0</v>
      </c>
      <c r="BS81" s="629">
        <f>_xlfn.XLOOKUP($E81,'Løp 18'!$E$10:$E$91,'Løp 18'!$O$10:$O$91,0)</f>
        <v>0</v>
      </c>
      <c r="BT81" s="629">
        <f>_xlfn.XLOOKUP($E81,'Løp 18'!$E$10:$E$91,'Løp 18'!$L$10:$L$91,0)</f>
        <v>0</v>
      </c>
      <c r="BU81" s="628">
        <f>_xlfn.XLOOKUP($E81,'Løp 19'!$E$10:$E$91,'Løp 19'!$M$10:$M$91,0)</f>
        <v>0</v>
      </c>
      <c r="BV81" s="629">
        <f>_xlfn.XLOOKUP($E81,'Løp 19'!$E$10:$E$91,'Løp 19'!$O$10:$O$91,0)</f>
        <v>0</v>
      </c>
      <c r="BW81" s="629">
        <f>_xlfn.XLOOKUP($E81,'Løp 19'!$E$10:$E$91,'Løp 19'!$L$10:$L$91,0)</f>
        <v>0</v>
      </c>
      <c r="BX81" s="628">
        <f>_xlfn.XLOOKUP($E81,'Løp 20'!$E$10:$E$92,'Løp 20'!$M$10:$M$92,0)</f>
        <v>0</v>
      </c>
      <c r="BY81" s="629">
        <f>_xlfn.XLOOKUP($E81,'Løp 20'!$E$10:$E$92,'Løp 20'!$O$10:$O$92,0)</f>
        <v>0</v>
      </c>
      <c r="BZ81" s="629">
        <f>_xlfn.XLOOKUP($E81,'Løp 20'!$E$10:$E$92,'Løp 20'!$L$10:$L$92,0)</f>
        <v>0</v>
      </c>
      <c r="CA81" s="628">
        <f>_xlfn.XLOOKUP($E81,'Løp 21'!$E$10:$E$93,'Løp 21'!$M$10:$M$93,0)</f>
        <v>0</v>
      </c>
      <c r="CB81" s="629">
        <f>_xlfn.XLOOKUP($E81,'Løp 21'!$E$10:$E$93,'Løp 21'!$O$10:$O$93,0)</f>
        <v>0</v>
      </c>
      <c r="CC81" s="629">
        <f>_xlfn.XLOOKUP($E81,'Løp 21'!$E$10:$E$93,'Løp 21'!$L$10:$L$93,0)</f>
        <v>0</v>
      </c>
      <c r="CD81" s="628">
        <f>_xlfn.XLOOKUP($E81,'Løp 22'!$E$10:$E$93,'Løp 22'!$M$10:$M$93,0)</f>
        <v>0</v>
      </c>
      <c r="CE81" s="629">
        <f>_xlfn.XLOOKUP($E81,'Løp 22'!$E$10:$E$93,'Løp 22'!$O$10:$O$93,0)</f>
        <v>0</v>
      </c>
      <c r="CF81" s="629">
        <f>_xlfn.XLOOKUP($E81,'Løp 22'!$E$10:$E$93,'Løp 22'!$L$10:$L$93,0)</f>
        <v>0</v>
      </c>
      <c r="CG81" s="628">
        <f>_xlfn.XLOOKUP($E81,'Løp 23'!$E$10:$E$93,'Løp 23'!$M$10:$M$93,0)</f>
        <v>0</v>
      </c>
      <c r="CH81" s="629">
        <f>_xlfn.XLOOKUP($E81,'Løp 23'!$E$10:$E$93,'Løp 23'!$O$10:$O$93,0)</f>
        <v>0</v>
      </c>
      <c r="CI81" s="629">
        <f>_xlfn.XLOOKUP($E81,'Løp 23'!$E$10:$E$93,'Løp 23'!$L$10:$L$93,0)</f>
        <v>0</v>
      </c>
      <c r="CJ81" s="628">
        <f>_xlfn.XLOOKUP($E81,'Løp 24'!$E$10:$E$93,'Løp 24'!$M$10:$M$93,0)</f>
        <v>0</v>
      </c>
      <c r="CK81" s="629">
        <f>_xlfn.XLOOKUP($E81,'Løp 24'!$E$10:$E$93,'Løp 24'!$O$10:$O$93,0)</f>
        <v>0</v>
      </c>
      <c r="CL81" s="629">
        <f>_xlfn.XLOOKUP($E81,'Løp 24'!$E$10:$E$93,'Løp 24'!$L$10:$L$93,0)</f>
        <v>0</v>
      </c>
      <c r="CM81" s="628">
        <f>_xlfn.XLOOKUP($E81,'Løp 25'!$E$10:$E$94,'Løp 25'!$M$10:$M$94,0)</f>
        <v>0</v>
      </c>
      <c r="CN81" s="629">
        <f>_xlfn.XLOOKUP($E81,'Løp 25'!$E$10:$E$94,'Løp 25'!$O$10:$O$94,0)</f>
        <v>0</v>
      </c>
      <c r="CO81" s="629">
        <f>_xlfn.XLOOKUP($E81,'Løp 25'!$E$10:$E$94,'Løp 25'!$L$10:$L$94,0)</f>
        <v>0</v>
      </c>
      <c r="CP81" s="628">
        <f>_xlfn.XLOOKUP($E81,'Løp 26'!$E$10:$E$94,'Løp 26'!$M$10:$M$94,0)</f>
        <v>83</v>
      </c>
      <c r="CQ81" s="629">
        <f>_xlfn.XLOOKUP($E81,'Løp 26'!$E$10:$E$94,'Løp 26'!$O$10:$O$94,0)</f>
        <v>68</v>
      </c>
      <c r="CR81" s="629">
        <f>_xlfn.XLOOKUP($E81,'Løp 26'!$E$10:$E$94,'Løp 26'!$L$10:$L$94,0)</f>
        <v>8.5239651416122008E-3</v>
      </c>
      <c r="CS81" s="628">
        <f>_xlfn.XLOOKUP($E81,'Løp 27'!$E$10:$E$94,'Løp 27'!$M$10:$M$94,0)</f>
        <v>0</v>
      </c>
      <c r="CT81" s="629">
        <f>_xlfn.XLOOKUP($E81,'Løp 27'!$E$10:$E$94,'Løp 27'!$O$10:$O$94,0)</f>
        <v>0</v>
      </c>
      <c r="CU81" s="629">
        <f>_xlfn.XLOOKUP($E81,'Løp 27'!$E$10:$E$94,'Løp 27'!$L$10:$L$94,0)</f>
        <v>0</v>
      </c>
      <c r="CV81" s="628">
        <f>_xlfn.XLOOKUP($E81,'Løp 28'!$E$10:$E$95,'Løp 28'!$M$10:$M$95,0)</f>
        <v>0</v>
      </c>
      <c r="CW81" s="629">
        <f>_xlfn.XLOOKUP($E81,'Løp 28'!$E$10:$E$95,'Løp 28'!$O$10:$O$95,0)</f>
        <v>0</v>
      </c>
      <c r="CX81" s="629">
        <f>_xlfn.XLOOKUP($E81,'Løp 28'!$E$10:$E$95,'Løp 28'!$L$10:$L$95,0)</f>
        <v>0</v>
      </c>
      <c r="CY81" s="628">
        <f>_xlfn.XLOOKUP($E81,'Løp 29'!$E$10:$E$95,'Løp 29'!$M$10:$M$95,0)</f>
        <v>0</v>
      </c>
      <c r="CZ81" s="629">
        <f>_xlfn.XLOOKUP($E81,'Løp 29'!$E$10:$E$95,'Løp 29'!$O$10:$O$95,0)</f>
        <v>0</v>
      </c>
      <c r="DA81" s="629">
        <f>_xlfn.XLOOKUP($E81,'Løp 29'!$E$10:$E$95,'Løp 29'!$L$10:$L$95,0)</f>
        <v>0</v>
      </c>
    </row>
    <row r="82" spans="2:105" ht="26" customHeight="1" thickBot="1" x14ac:dyDescent="0.3">
      <c r="B82" s="627">
        <f t="shared" si="1"/>
        <v>73</v>
      </c>
      <c r="C82" s="119" t="s">
        <v>216</v>
      </c>
      <c r="D82" s="620" t="s">
        <v>77</v>
      </c>
      <c r="E82" s="616" t="str">
        <f>_xlfn.CONCAT(C82:D82)</f>
        <v>Åse RitaEllingsen</v>
      </c>
      <c r="F82" s="610"/>
      <c r="G82" s="653">
        <f>COUNTIF(S82:DA82,"&gt;2")/2</f>
        <v>3</v>
      </c>
      <c r="H82" s="852">
        <f>COUNTIF(S82:DA82,"=Løype")+COUNTIF(S82:DA82,"Arr")</f>
        <v>0</v>
      </c>
      <c r="I82" s="610"/>
      <c r="J82" s="632">
        <f>S82+V82+Y82+AB82+AE82+AH82+AK82+AN82+AQ82+AT82+AW82+AZ82+BC82+BF82+BI82+BL82+BO82+BR82+BU82+BX82+CA82+CD82+CG82+CJ82+CM82+CP82+CS82+CV82+CY82</f>
        <v>181</v>
      </c>
      <c r="K82" s="633">
        <f>T82+W82+Z82+AC82+AF82+AI82+AL82+AO82+AR82+AU82+AX82+BA82+BD82+BG82+BJ82+BM82+BP82+BS82+BV82+BY82+CB82+CE82+CH82+CK82+CN82+CQ82+CT82+CW82+CZ82</f>
        <v>204</v>
      </c>
      <c r="L82" s="613"/>
      <c r="M82" s="658">
        <f>IF($G82&gt;0,J82/G82,0)</f>
        <v>60.333333333333336</v>
      </c>
      <c r="N82" s="659">
        <f>IF($G82&gt;0,K82/$G82,0)</f>
        <v>68</v>
      </c>
      <c r="O82" s="862"/>
      <c r="P82" s="874">
        <f>IF(AND($G82&gt;$Q$3-1,$G82-$H82&gt;0),M82,0)</f>
        <v>0</v>
      </c>
      <c r="Q82" s="875">
        <f>IF(AND($G82&gt;$Q$3-1,$G82-$H82&gt;0),N82,0)</f>
        <v>0</v>
      </c>
      <c r="R82" s="613"/>
      <c r="S82" s="628">
        <f>_xlfn.XLOOKUP($E82,'Løp 1'!$E$10:$E$90,'Løp 1'!$M$10:$M$90,0)</f>
        <v>0</v>
      </c>
      <c r="T82" s="629">
        <f>_xlfn.XLOOKUP($E82,'Løp 1'!$E$10:$E$90,'Løp 1'!$O$10:$O$90,0)</f>
        <v>0</v>
      </c>
      <c r="U82" s="629">
        <f>_xlfn.XLOOKUP($E82,'Løp 1'!$E$10:$E$90,'Løp 1'!$L$10:$L$90,0)</f>
        <v>0</v>
      </c>
      <c r="V82" s="628">
        <f>_xlfn.XLOOKUP($E82,'Løp 2'!$E$10:$E$90,'Løp 2'!$M$10:$M$90,0)</f>
        <v>0</v>
      </c>
      <c r="W82" s="629">
        <f>_xlfn.XLOOKUP($E82,'Løp 2'!$E$10:$E$90,'Løp 2'!$O$10:$O$90,0)</f>
        <v>0</v>
      </c>
      <c r="X82" s="629">
        <f>_xlfn.XLOOKUP($E82,'Løp 2'!$E$10:$E$90,'Løp 2'!$L$10:$L$90,0)</f>
        <v>0</v>
      </c>
      <c r="Y82" s="628">
        <f>_xlfn.XLOOKUP($E82,'Løp 3'!$E$10:$E$90,'Løp 3'!$M$10:$M$90,0)</f>
        <v>0</v>
      </c>
      <c r="Z82" s="629">
        <f>_xlfn.XLOOKUP($E82,'Løp 3'!$E$10:$E$90,'Løp 3'!$O$10:$O$90,0)</f>
        <v>0</v>
      </c>
      <c r="AA82" s="629">
        <f>_xlfn.XLOOKUP($E82,'Løp 3'!$E$10:$E$90,'Løp 3'!$L$10:$L$90,0)</f>
        <v>0</v>
      </c>
      <c r="AB82" s="628">
        <f>_xlfn.XLOOKUP($E82,'Løp 4'!$E$10:$E$90,'Løp 4'!$M$10:$M$90,0)</f>
        <v>0</v>
      </c>
      <c r="AC82" s="629">
        <f>_xlfn.XLOOKUP($E82,'Løp 4'!$E$10:$E$90,'Løp 4'!$O$10:$O$90,0)</f>
        <v>0</v>
      </c>
      <c r="AD82" s="629">
        <f>_xlfn.XLOOKUP($E82,'Løp 4'!$E$10:$E$90,'Løp 4'!$L$10:$L$90,0)</f>
        <v>0</v>
      </c>
      <c r="AE82" s="628">
        <f>_xlfn.XLOOKUP($E82,'Løp 5'!$E$10:$E$90,'Løp 5'!$M$10:$M$90,0)</f>
        <v>0</v>
      </c>
      <c r="AF82" s="629">
        <f>_xlfn.XLOOKUP($E82,'Løp 5'!$E$10:$E$90,'Løp 5'!$O$10:$O$90,0)</f>
        <v>0</v>
      </c>
      <c r="AG82" s="629">
        <f>_xlfn.XLOOKUP($E82,'Løp 5'!$E$10:$E$90,'Løp 5'!$L$10:$L$90,0)</f>
        <v>0</v>
      </c>
      <c r="AH82" s="628">
        <f>_xlfn.XLOOKUP($E82,'Løp 6'!$E$10:$E$90,'Løp 6'!$M$10:$M$90,0)</f>
        <v>0</v>
      </c>
      <c r="AI82" s="629">
        <f>_xlfn.XLOOKUP($E82,'Løp 6'!$E$10:$E$90,'Løp 6'!$O$10:$O$90,0)</f>
        <v>0</v>
      </c>
      <c r="AJ82" s="629">
        <f>_xlfn.XLOOKUP($E82,'Løp 6'!$E$10:$E$90,'Løp 6'!$L$10:$L$90,0)</f>
        <v>0</v>
      </c>
      <c r="AK82" s="628">
        <f>_xlfn.XLOOKUP($E82,'Løp 7'!$E$10:$E$90,'Løp 7'!$M$10:$M$90,0)</f>
        <v>0</v>
      </c>
      <c r="AL82" s="629">
        <f>_xlfn.XLOOKUP($E82,'Løp 7'!$E$10:$E$90,'Løp 7'!$O$10:$O$90,0)</f>
        <v>0</v>
      </c>
      <c r="AM82" s="629">
        <f>_xlfn.XLOOKUP($E82,'Løp 7'!$E$10:$E$90,'Løp 7'!$L$10:$L$90,0)</f>
        <v>0</v>
      </c>
      <c r="AN82" s="628">
        <f>_xlfn.XLOOKUP($E82,'Løp 8'!$E$10:$E$91,'Løp 8'!$M$10:$M$91,0)</f>
        <v>0</v>
      </c>
      <c r="AO82" s="629">
        <f>_xlfn.XLOOKUP($E82,'Løp 8'!$E$10:$E$91,'Løp 8'!$O$10:$O$91,0)</f>
        <v>0</v>
      </c>
      <c r="AP82" s="629">
        <f>_xlfn.XLOOKUP($E82,'Løp 8'!$E$10:$E$91,'Løp 8'!$L$10:$L$91,0)</f>
        <v>0</v>
      </c>
      <c r="AQ82" s="628">
        <f>_xlfn.XLOOKUP($E82,'Løp 9'!$E$10:$E$91,'Løp 9'!$M$10:$M$91,0)</f>
        <v>0</v>
      </c>
      <c r="AR82" s="629">
        <f>_xlfn.XLOOKUP($E82,'Løp 9'!$E$10:$E$91,'Løp 9'!$O$10:$O$91,0)</f>
        <v>0</v>
      </c>
      <c r="AS82" s="629">
        <f>_xlfn.XLOOKUP($E82,'Løp 9'!$E$10:$E$91,'Løp 9'!$L$10:$L$91,0)</f>
        <v>0</v>
      </c>
      <c r="AT82" s="628">
        <f>_xlfn.XLOOKUP($E82,'Løp 10'!$E$10:$E$91,'Løp 10'!$M$10:$M$91,0)</f>
        <v>0</v>
      </c>
      <c r="AU82" s="629">
        <f>_xlfn.XLOOKUP($E82,'Løp 10'!$E$10:$E$91,'Løp 10'!$O$10:$O$91,0)</f>
        <v>0</v>
      </c>
      <c r="AV82" s="629">
        <f>_xlfn.XLOOKUP($E82,'Løp 10'!$E$10:$E$91,'Løp 10'!$L$10:$L$91,0)</f>
        <v>0</v>
      </c>
      <c r="AW82" s="628">
        <f>_xlfn.XLOOKUP($E82,'Løp 11'!$E$10:$E$91,'Løp 11'!$M$10:$M$91,0)</f>
        <v>0</v>
      </c>
      <c r="AX82" s="629">
        <f>_xlfn.XLOOKUP($E82,'Løp 11'!$E$10:$E$91,'Løp 11'!$O$10:$O$91,0)</f>
        <v>0</v>
      </c>
      <c r="AY82" s="629">
        <f>_xlfn.XLOOKUP($E82,'Løp 11'!$E$10:$E$91,'Løp 11'!$L$10:$L$91,0)</f>
        <v>0</v>
      </c>
      <c r="AZ82" s="628">
        <f>_xlfn.XLOOKUP($E82,'Løp 12'!$E$10:$E$91,'Løp 12'!$M$10:$M$91,0)</f>
        <v>0</v>
      </c>
      <c r="BA82" s="629">
        <f>_xlfn.XLOOKUP($E82,'Løp 12'!$E$10:$E$91,'Løp 12'!$O$10:$O$91,0)</f>
        <v>0</v>
      </c>
      <c r="BB82" s="629">
        <f>_xlfn.XLOOKUP($E82,'Løp 12'!$E$10:$E$91,'Løp 12'!$L$10:$L$91,0)</f>
        <v>0</v>
      </c>
      <c r="BC82" s="628">
        <f>_xlfn.XLOOKUP($E82,'Løp 13'!$E$10:$E$91,'Løp 13'!$M$10:$M$91,0)</f>
        <v>58</v>
      </c>
      <c r="BD82" s="629">
        <f>_xlfn.XLOOKUP($E82,'Løp 13'!$E$10:$E$91,'Løp 13'!$O$10:$O$91,0)</f>
        <v>71</v>
      </c>
      <c r="BE82" s="629">
        <f>_xlfn.XLOOKUP($E82,'Løp 13'!$E$10:$E$91,'Løp 13'!$L$10:$L$91,0)</f>
        <v>9.3923611111111117E-3</v>
      </c>
      <c r="BF82" s="628">
        <f>_xlfn.XLOOKUP($E82,'Løp 14'!$E$10:$E$91,'Løp 14'!$M$10:$M$91,0)</f>
        <v>0</v>
      </c>
      <c r="BG82" s="629">
        <f>_xlfn.XLOOKUP($E82,'Løp 14'!$E$10:$E$91,'Løp 14'!$O$10:$O$91,0)</f>
        <v>0</v>
      </c>
      <c r="BH82" s="629">
        <f>_xlfn.XLOOKUP($E82,'Løp 14'!$E$10:$E$91,'Løp 14'!$L$10:$L$91,0)</f>
        <v>0</v>
      </c>
      <c r="BI82" s="628">
        <f>_xlfn.XLOOKUP($E82,'Løp 15'!$E$10:$E$91,'Løp 15'!$M$10:$M$91,0)</f>
        <v>0</v>
      </c>
      <c r="BJ82" s="629">
        <f>_xlfn.XLOOKUP($E82,'Løp 15'!$E$10:$E$91,'Løp 15'!$O$10:$O$91,0)</f>
        <v>0</v>
      </c>
      <c r="BK82" s="629">
        <f>_xlfn.XLOOKUP($E82,'Løp 15'!$E$10:$E$91,'Løp 15'!$L$10:$L$91,0)</f>
        <v>0</v>
      </c>
      <c r="BL82" s="628">
        <f>_xlfn.XLOOKUP($E82,'Løp 16'!$E$10:$E$91,'Løp 16'!$M$10:$M$91,0)</f>
        <v>0</v>
      </c>
      <c r="BM82" s="629">
        <f>_xlfn.XLOOKUP($E82,'Løp 16'!$E$10:$E$91,'Løp 16'!$O$10:$O$91,0)</f>
        <v>0</v>
      </c>
      <c r="BN82" s="629">
        <f>_xlfn.XLOOKUP($E82,'Løp 16'!$E$10:$E$91,'Løp 16'!$L$10:$L$91,0)</f>
        <v>0</v>
      </c>
      <c r="BO82" s="628">
        <f>_xlfn.XLOOKUP($E82,'Løp 17'!$E$10:$E$91,'Løp 17'!$M$10:$M$91,0)</f>
        <v>0</v>
      </c>
      <c r="BP82" s="629">
        <f>_xlfn.XLOOKUP($E82,'Løp 17'!$E$10:$E$91,'Løp 17'!$O$10:$O$91,0)</f>
        <v>0</v>
      </c>
      <c r="BQ82" s="629">
        <f>_xlfn.XLOOKUP($E82,'Løp 17'!$E$10:$E$91,'Løp 17'!$L$10:$L$91,0)</f>
        <v>0</v>
      </c>
      <c r="BR82" s="628">
        <f>_xlfn.XLOOKUP($E82,'Løp 18'!$E$10:$E$91,'Løp 18'!$M$10:$M$91,0)</f>
        <v>0</v>
      </c>
      <c r="BS82" s="629">
        <f>_xlfn.XLOOKUP($E82,'Løp 18'!$E$10:$E$91,'Løp 18'!$O$10:$O$91,0)</f>
        <v>0</v>
      </c>
      <c r="BT82" s="629">
        <f>_xlfn.XLOOKUP($E82,'Løp 18'!$E$10:$E$91,'Løp 18'!$L$10:$L$91,0)</f>
        <v>0</v>
      </c>
      <c r="BU82" s="628">
        <f>_xlfn.XLOOKUP($E82,'Løp 19'!$E$10:$E$91,'Løp 19'!$M$10:$M$91,0)</f>
        <v>0</v>
      </c>
      <c r="BV82" s="629">
        <f>_xlfn.XLOOKUP($E82,'Løp 19'!$E$10:$E$91,'Løp 19'!$O$10:$O$91,0)</f>
        <v>0</v>
      </c>
      <c r="BW82" s="629">
        <f>_xlfn.XLOOKUP($E82,'Løp 19'!$E$10:$E$91,'Løp 19'!$L$10:$L$91,0)</f>
        <v>0</v>
      </c>
      <c r="BX82" s="628">
        <f>_xlfn.XLOOKUP($E82,'Løp 20'!$E$10:$E$92,'Løp 20'!$M$10:$M$92,0)</f>
        <v>0</v>
      </c>
      <c r="BY82" s="629">
        <f>_xlfn.XLOOKUP($E82,'Løp 20'!$E$10:$E$92,'Løp 20'!$O$10:$O$92,0)</f>
        <v>0</v>
      </c>
      <c r="BZ82" s="629">
        <f>_xlfn.XLOOKUP($E82,'Løp 20'!$E$10:$E$92,'Løp 20'!$L$10:$L$92,0)</f>
        <v>0</v>
      </c>
      <c r="CA82" s="628">
        <f>_xlfn.XLOOKUP($E82,'Løp 21'!$E$10:$E$93,'Løp 21'!$M$10:$M$93,0)</f>
        <v>0</v>
      </c>
      <c r="CB82" s="629">
        <f>_xlfn.XLOOKUP($E82,'Løp 21'!$E$10:$E$93,'Løp 21'!$O$10:$O$93,0)</f>
        <v>0</v>
      </c>
      <c r="CC82" s="629">
        <f>_xlfn.XLOOKUP($E82,'Løp 21'!$E$10:$E$93,'Løp 21'!$L$10:$L$93,0)</f>
        <v>0</v>
      </c>
      <c r="CD82" s="628">
        <f>_xlfn.XLOOKUP($E82,'Løp 22'!$E$10:$E$93,'Løp 22'!$M$10:$M$93,0)</f>
        <v>0</v>
      </c>
      <c r="CE82" s="629">
        <f>_xlfn.XLOOKUP($E82,'Løp 22'!$E$10:$E$93,'Løp 22'!$O$10:$O$93,0)</f>
        <v>0</v>
      </c>
      <c r="CF82" s="629">
        <f>_xlfn.XLOOKUP($E82,'Løp 22'!$E$10:$E$93,'Løp 22'!$L$10:$L$93,0)</f>
        <v>0</v>
      </c>
      <c r="CG82" s="628">
        <f>_xlfn.XLOOKUP($E82,'Løp 23'!$E$10:$E$93,'Løp 23'!$M$10:$M$93,0)</f>
        <v>0</v>
      </c>
      <c r="CH82" s="629">
        <f>_xlfn.XLOOKUP($E82,'Løp 23'!$E$10:$E$93,'Løp 23'!$O$10:$O$93,0)</f>
        <v>0</v>
      </c>
      <c r="CI82" s="629">
        <f>_xlfn.XLOOKUP($E82,'Løp 23'!$E$10:$E$93,'Løp 23'!$L$10:$L$93,0)</f>
        <v>0</v>
      </c>
      <c r="CJ82" s="628">
        <f>_xlfn.XLOOKUP($E82,'Løp 24'!$E$10:$E$93,'Løp 24'!$M$10:$M$93,0)</f>
        <v>0</v>
      </c>
      <c r="CK82" s="629">
        <f>_xlfn.XLOOKUP($E82,'Løp 24'!$E$10:$E$93,'Løp 24'!$O$10:$O$93,0)</f>
        <v>0</v>
      </c>
      <c r="CL82" s="629">
        <f>_xlfn.XLOOKUP($E82,'Løp 24'!$E$10:$E$93,'Løp 24'!$L$10:$L$93,0)</f>
        <v>0</v>
      </c>
      <c r="CM82" s="628">
        <f>_xlfn.XLOOKUP($E82,'Løp 25'!$E$10:$E$94,'Løp 25'!$M$10:$M$94,0)</f>
        <v>0</v>
      </c>
      <c r="CN82" s="629">
        <f>_xlfn.XLOOKUP($E82,'Løp 25'!$E$10:$E$94,'Løp 25'!$O$10:$O$94,0)</f>
        <v>0</v>
      </c>
      <c r="CO82" s="629">
        <f>_xlfn.XLOOKUP($E82,'Løp 25'!$E$10:$E$94,'Løp 25'!$L$10:$L$94,0)</f>
        <v>0</v>
      </c>
      <c r="CP82" s="628">
        <f>_xlfn.XLOOKUP($E82,'Løp 26'!$E$10:$E$94,'Løp 26'!$M$10:$M$94,0)</f>
        <v>0</v>
      </c>
      <c r="CQ82" s="629">
        <f>_xlfn.XLOOKUP($E82,'Løp 26'!$E$10:$E$94,'Løp 26'!$O$10:$O$94,0)</f>
        <v>0</v>
      </c>
      <c r="CR82" s="629">
        <f>_xlfn.XLOOKUP($E82,'Løp 26'!$E$10:$E$94,'Løp 26'!$L$10:$L$94,0)</f>
        <v>0</v>
      </c>
      <c r="CS82" s="628">
        <f>_xlfn.XLOOKUP($E82,'Løp 27'!$E$10:$E$94,'Løp 27'!$M$10:$M$94,0)</f>
        <v>0</v>
      </c>
      <c r="CT82" s="629">
        <f>_xlfn.XLOOKUP($E82,'Løp 27'!$E$10:$E$94,'Løp 27'!$O$10:$O$94,0)</f>
        <v>0</v>
      </c>
      <c r="CU82" s="629">
        <f>_xlfn.XLOOKUP($E82,'Løp 27'!$E$10:$E$94,'Løp 27'!$L$10:$L$94,0)</f>
        <v>0</v>
      </c>
      <c r="CV82" s="628">
        <f>_xlfn.XLOOKUP($E82,'Løp 28'!$E$10:$E$95,'Løp 28'!$M$10:$M$95,0)</f>
        <v>62</v>
      </c>
      <c r="CW82" s="629">
        <f>_xlfn.XLOOKUP($E82,'Løp 28'!$E$10:$E$95,'Løp 28'!$O$10:$O$95,0)</f>
        <v>69</v>
      </c>
      <c r="CX82" s="629">
        <f>_xlfn.XLOOKUP($E82,'Løp 28'!$E$10:$E$95,'Løp 28'!$L$10:$L$95,0)</f>
        <v>1.0763888888888889E-2</v>
      </c>
      <c r="CY82" s="628">
        <f>_xlfn.XLOOKUP($E82,'Løp 29'!$E$10:$E$95,'Løp 29'!$M$10:$M$95,0)</f>
        <v>61</v>
      </c>
      <c r="CZ82" s="629">
        <f>_xlfn.XLOOKUP($E82,'Løp 29'!$E$10:$E$95,'Løp 29'!$O$10:$O$95,0)</f>
        <v>64</v>
      </c>
      <c r="DA82" s="629">
        <f>_xlfn.XLOOKUP($E82,'Løp 29'!$E$10:$E$95,'Løp 29'!$L$10:$L$95,0)</f>
        <v>1.1877893518518517E-2</v>
      </c>
    </row>
    <row r="83" spans="2:105" ht="26" thickBot="1" x14ac:dyDescent="0.3">
      <c r="B83" s="627">
        <f t="shared" si="0"/>
        <v>74</v>
      </c>
      <c r="C83" s="119" t="s">
        <v>298</v>
      </c>
      <c r="D83" s="620" t="s">
        <v>405</v>
      </c>
      <c r="E83" s="616" t="str">
        <f>_xlfn.CONCAT(C83:D83)</f>
        <v>ØyvindRogndalen</v>
      </c>
      <c r="F83" s="610"/>
      <c r="G83" s="653">
        <f>COUNTIF(S83:DA83,"&gt;2")/2</f>
        <v>1</v>
      </c>
      <c r="H83" s="852">
        <f>COUNTIF(S83:DA83,"=Løype")+COUNTIF(S83:DA83,"Arr")</f>
        <v>0</v>
      </c>
      <c r="I83" s="610"/>
      <c r="J83" s="632">
        <f>S83+V83+Y83+AB83+AE83+AH83+AK83+AN83+AQ83+AT83+AW83+AZ83+BC83+BF83+BI83+BL83+BO83+BR83+BU83+BX83+CA83+CD83+CG83+CJ83+CM83+CP83+CS83+CV83+CY83</f>
        <v>56</v>
      </c>
      <c r="K83" s="633">
        <f>T83+W83+Z83+AC83+AF83+AI83+AL83+AO83+AR83+AU83+AX83+BA83+BD83+BG83+BJ83+BM83+BP83+BS83+BV83+BY83+CB83+CE83+CH83+CK83+CN83+CQ83+CT83+CW83+CZ83</f>
        <v>68</v>
      </c>
      <c r="L83" s="613"/>
      <c r="M83" s="658">
        <f>IF($G83&gt;0,J83/G83,0)</f>
        <v>56</v>
      </c>
      <c r="N83" s="659">
        <f>IF($G83&gt;0,K83/$G83,0)</f>
        <v>68</v>
      </c>
      <c r="O83" s="862"/>
      <c r="P83" s="874">
        <f>IF(AND($G83&gt;$Q$3-1,$G83-$H83&gt;0),M83,0)</f>
        <v>0</v>
      </c>
      <c r="Q83" s="875">
        <f>IF(AND($G83&gt;$Q$3-1,$G83-$H83&gt;0),N83,0)</f>
        <v>0</v>
      </c>
      <c r="R83" s="613"/>
      <c r="S83" s="628">
        <f>_xlfn.XLOOKUP($E83,'Løp 1'!$E$10:$E$90,'Løp 1'!$M$10:$M$90,0)</f>
        <v>0</v>
      </c>
      <c r="T83" s="629">
        <f>_xlfn.XLOOKUP($E83,'Løp 1'!$E$10:$E$90,'Løp 1'!$O$10:$O$90,0)</f>
        <v>0</v>
      </c>
      <c r="U83" s="629">
        <f>_xlfn.XLOOKUP($E83,'Løp 1'!$E$10:$E$90,'Løp 1'!$L$10:$L$90,0)</f>
        <v>0</v>
      </c>
      <c r="V83" s="628">
        <f>_xlfn.XLOOKUP($E83,'Løp 2'!$E$10:$E$90,'Løp 2'!$M$10:$M$90,0)</f>
        <v>0</v>
      </c>
      <c r="W83" s="629">
        <f>_xlfn.XLOOKUP($E83,'Løp 2'!$E$10:$E$90,'Løp 2'!$O$10:$O$90,0)</f>
        <v>0</v>
      </c>
      <c r="X83" s="629">
        <f>_xlfn.XLOOKUP($E83,'Løp 2'!$E$10:$E$90,'Løp 2'!$L$10:$L$90,0)</f>
        <v>0</v>
      </c>
      <c r="Y83" s="628">
        <f>_xlfn.XLOOKUP($E83,'Løp 3'!$E$10:$E$90,'Løp 3'!$M$10:$M$90,0)</f>
        <v>0</v>
      </c>
      <c r="Z83" s="629">
        <f>_xlfn.XLOOKUP($E83,'Løp 3'!$E$10:$E$90,'Løp 3'!$O$10:$O$90,0)</f>
        <v>0</v>
      </c>
      <c r="AA83" s="629">
        <f>_xlfn.XLOOKUP($E83,'Løp 3'!$E$10:$E$90,'Løp 3'!$L$10:$L$90,0)</f>
        <v>0</v>
      </c>
      <c r="AB83" s="628">
        <f>_xlfn.XLOOKUP($E83,'Løp 4'!$E$10:$E$90,'Løp 4'!$M$10:$M$90,0)</f>
        <v>0</v>
      </c>
      <c r="AC83" s="629">
        <f>_xlfn.XLOOKUP($E83,'Løp 4'!$E$10:$E$90,'Løp 4'!$O$10:$O$90,0)</f>
        <v>0</v>
      </c>
      <c r="AD83" s="629">
        <f>_xlfn.XLOOKUP($E83,'Løp 4'!$E$10:$E$90,'Løp 4'!$L$10:$L$90,0)</f>
        <v>0</v>
      </c>
      <c r="AE83" s="628">
        <f>_xlfn.XLOOKUP($E83,'Løp 5'!$E$10:$E$90,'Løp 5'!$M$10:$M$90,0)</f>
        <v>0</v>
      </c>
      <c r="AF83" s="629">
        <f>_xlfn.XLOOKUP($E83,'Løp 5'!$E$10:$E$90,'Løp 5'!$O$10:$O$90,0)</f>
        <v>0</v>
      </c>
      <c r="AG83" s="629">
        <f>_xlfn.XLOOKUP($E83,'Løp 5'!$E$10:$E$90,'Løp 5'!$L$10:$L$90,0)</f>
        <v>0</v>
      </c>
      <c r="AH83" s="628">
        <f>_xlfn.XLOOKUP($E83,'Løp 6'!$E$10:$E$90,'Løp 6'!$M$10:$M$90,0)</f>
        <v>0</v>
      </c>
      <c r="AI83" s="629">
        <f>_xlfn.XLOOKUP($E83,'Løp 6'!$E$10:$E$90,'Løp 6'!$O$10:$O$90,0)</f>
        <v>0</v>
      </c>
      <c r="AJ83" s="629">
        <f>_xlfn.XLOOKUP($E83,'Løp 6'!$E$10:$E$90,'Løp 6'!$L$10:$L$90,0)</f>
        <v>0</v>
      </c>
      <c r="AK83" s="628">
        <f>_xlfn.XLOOKUP($E83,'Løp 7'!$E$10:$E$90,'Løp 7'!$M$10:$M$90,0)</f>
        <v>0</v>
      </c>
      <c r="AL83" s="629">
        <f>_xlfn.XLOOKUP($E83,'Løp 7'!$E$10:$E$90,'Løp 7'!$O$10:$O$90,0)</f>
        <v>0</v>
      </c>
      <c r="AM83" s="629">
        <f>_xlfn.XLOOKUP($E83,'Løp 7'!$E$10:$E$90,'Løp 7'!$L$10:$L$90,0)</f>
        <v>0</v>
      </c>
      <c r="AN83" s="628">
        <f>_xlfn.XLOOKUP($E83,'Løp 8'!$E$10:$E$91,'Løp 8'!$M$10:$M$91,0)</f>
        <v>0</v>
      </c>
      <c r="AO83" s="629">
        <f>_xlfn.XLOOKUP($E83,'Løp 8'!$E$10:$E$91,'Løp 8'!$O$10:$O$91,0)</f>
        <v>0</v>
      </c>
      <c r="AP83" s="629">
        <f>_xlfn.XLOOKUP($E83,'Løp 8'!$E$10:$E$91,'Løp 8'!$L$10:$L$91,0)</f>
        <v>0</v>
      </c>
      <c r="AQ83" s="628">
        <f>_xlfn.XLOOKUP($E83,'Løp 9'!$E$10:$E$91,'Løp 9'!$M$10:$M$91,0)</f>
        <v>0</v>
      </c>
      <c r="AR83" s="629">
        <f>_xlfn.XLOOKUP($E83,'Løp 9'!$E$10:$E$91,'Løp 9'!$O$10:$O$91,0)</f>
        <v>0</v>
      </c>
      <c r="AS83" s="629">
        <f>_xlfn.XLOOKUP($E83,'Løp 9'!$E$10:$E$91,'Løp 9'!$L$10:$L$91,0)</f>
        <v>0</v>
      </c>
      <c r="AT83" s="628">
        <f>_xlfn.XLOOKUP($E83,'Løp 10'!$E$10:$E$91,'Løp 10'!$M$10:$M$91,0)</f>
        <v>0</v>
      </c>
      <c r="AU83" s="629">
        <f>_xlfn.XLOOKUP($E83,'Løp 10'!$E$10:$E$91,'Løp 10'!$O$10:$O$91,0)</f>
        <v>0</v>
      </c>
      <c r="AV83" s="629">
        <f>_xlfn.XLOOKUP($E83,'Løp 10'!$E$10:$E$91,'Løp 10'!$L$10:$L$91,0)</f>
        <v>0</v>
      </c>
      <c r="AW83" s="628">
        <f>_xlfn.XLOOKUP($E83,'Løp 11'!$E$10:$E$91,'Løp 11'!$M$10:$M$91,0)</f>
        <v>0</v>
      </c>
      <c r="AX83" s="629">
        <f>_xlfn.XLOOKUP($E83,'Løp 11'!$E$10:$E$91,'Løp 11'!$O$10:$O$91,0)</f>
        <v>0</v>
      </c>
      <c r="AY83" s="629">
        <f>_xlfn.XLOOKUP($E83,'Løp 11'!$E$10:$E$91,'Løp 11'!$L$10:$L$91,0)</f>
        <v>0</v>
      </c>
      <c r="AZ83" s="628">
        <f>_xlfn.XLOOKUP($E83,'Løp 12'!$E$10:$E$91,'Løp 12'!$M$10:$M$91,0)</f>
        <v>0</v>
      </c>
      <c r="BA83" s="629">
        <f>_xlfn.XLOOKUP($E83,'Løp 12'!$E$10:$E$91,'Løp 12'!$O$10:$O$91,0)</f>
        <v>0</v>
      </c>
      <c r="BB83" s="629">
        <f>_xlfn.XLOOKUP($E83,'Løp 12'!$E$10:$E$91,'Løp 12'!$L$10:$L$91,0)</f>
        <v>0</v>
      </c>
      <c r="BC83" s="628">
        <f>_xlfn.XLOOKUP($E83,'Løp 13'!$E$10:$E$91,'Løp 13'!$M$10:$M$91,0)</f>
        <v>0</v>
      </c>
      <c r="BD83" s="629">
        <f>_xlfn.XLOOKUP($E83,'Løp 13'!$E$10:$E$91,'Løp 13'!$O$10:$O$91,0)</f>
        <v>0</v>
      </c>
      <c r="BE83" s="629">
        <f>_xlfn.XLOOKUP($E83,'Løp 13'!$E$10:$E$91,'Løp 13'!$L$10:$L$91,0)</f>
        <v>0</v>
      </c>
      <c r="BF83" s="628">
        <f>_xlfn.XLOOKUP($E83,'Løp 14'!$E$10:$E$91,'Løp 14'!$M$10:$M$91,0)</f>
        <v>0</v>
      </c>
      <c r="BG83" s="629">
        <f>_xlfn.XLOOKUP($E83,'Løp 14'!$E$10:$E$91,'Løp 14'!$O$10:$O$91,0)</f>
        <v>0</v>
      </c>
      <c r="BH83" s="629">
        <f>_xlfn.XLOOKUP($E83,'Løp 14'!$E$10:$E$91,'Løp 14'!$L$10:$L$91,0)</f>
        <v>0</v>
      </c>
      <c r="BI83" s="628">
        <f>_xlfn.XLOOKUP($E83,'Løp 15'!$E$10:$E$91,'Løp 15'!$M$10:$M$91,0)</f>
        <v>0</v>
      </c>
      <c r="BJ83" s="629">
        <f>_xlfn.XLOOKUP($E83,'Løp 15'!$E$10:$E$91,'Løp 15'!$O$10:$O$91,0)</f>
        <v>0</v>
      </c>
      <c r="BK83" s="629">
        <f>_xlfn.XLOOKUP($E83,'Løp 15'!$E$10:$E$91,'Løp 15'!$L$10:$L$91,0)</f>
        <v>0</v>
      </c>
      <c r="BL83" s="628">
        <f>_xlfn.XLOOKUP($E83,'Løp 16'!$E$10:$E$91,'Løp 16'!$M$10:$M$91,0)</f>
        <v>0</v>
      </c>
      <c r="BM83" s="629">
        <f>_xlfn.XLOOKUP($E83,'Løp 16'!$E$10:$E$91,'Løp 16'!$O$10:$O$91,0)</f>
        <v>0</v>
      </c>
      <c r="BN83" s="629">
        <f>_xlfn.XLOOKUP($E83,'Løp 16'!$E$10:$E$91,'Løp 16'!$L$10:$L$91,0)</f>
        <v>0</v>
      </c>
      <c r="BO83" s="628">
        <f>_xlfn.XLOOKUP($E83,'Løp 17'!$E$10:$E$91,'Løp 17'!$M$10:$M$91,0)</f>
        <v>0</v>
      </c>
      <c r="BP83" s="629">
        <f>_xlfn.XLOOKUP($E83,'Løp 17'!$E$10:$E$91,'Løp 17'!$O$10:$O$91,0)</f>
        <v>0</v>
      </c>
      <c r="BQ83" s="629">
        <f>_xlfn.XLOOKUP($E83,'Løp 17'!$E$10:$E$91,'Løp 17'!$L$10:$L$91,0)</f>
        <v>0</v>
      </c>
      <c r="BR83" s="628">
        <f>_xlfn.XLOOKUP($E83,'Løp 18'!$E$10:$E$91,'Løp 18'!$M$10:$M$91,0)</f>
        <v>0</v>
      </c>
      <c r="BS83" s="629">
        <f>_xlfn.XLOOKUP($E83,'Løp 18'!$E$10:$E$91,'Løp 18'!$O$10:$O$91,0)</f>
        <v>0</v>
      </c>
      <c r="BT83" s="629">
        <f>_xlfn.XLOOKUP($E83,'Løp 18'!$E$10:$E$91,'Løp 18'!$L$10:$L$91,0)</f>
        <v>0</v>
      </c>
      <c r="BU83" s="628">
        <f>_xlfn.XLOOKUP($E83,'Løp 19'!$E$10:$E$91,'Løp 19'!$M$10:$M$91,0)</f>
        <v>0</v>
      </c>
      <c r="BV83" s="629">
        <f>_xlfn.XLOOKUP($E83,'Løp 19'!$E$10:$E$91,'Løp 19'!$O$10:$O$91,0)</f>
        <v>0</v>
      </c>
      <c r="BW83" s="629">
        <f>_xlfn.XLOOKUP($E83,'Løp 19'!$E$10:$E$91,'Løp 19'!$L$10:$L$91,0)</f>
        <v>0</v>
      </c>
      <c r="BX83" s="628">
        <f>_xlfn.XLOOKUP($E83,'Løp 20'!$E$10:$E$92,'Løp 20'!$M$10:$M$92,0)</f>
        <v>0</v>
      </c>
      <c r="BY83" s="629">
        <f>_xlfn.XLOOKUP($E83,'Løp 20'!$E$10:$E$92,'Løp 20'!$O$10:$O$92,0)</f>
        <v>0</v>
      </c>
      <c r="BZ83" s="629">
        <f>_xlfn.XLOOKUP($E83,'Løp 20'!$E$10:$E$92,'Løp 20'!$L$10:$L$92,0)</f>
        <v>0</v>
      </c>
      <c r="CA83" s="628">
        <f>_xlfn.XLOOKUP($E83,'Løp 21'!$E$10:$E$93,'Løp 21'!$M$10:$M$93,0)</f>
        <v>56</v>
      </c>
      <c r="CB83" s="629">
        <f>_xlfn.XLOOKUP($E83,'Løp 21'!$E$10:$E$93,'Løp 21'!$O$10:$O$93,0)</f>
        <v>68</v>
      </c>
      <c r="CC83" s="629">
        <f>_xlfn.XLOOKUP($E83,'Løp 21'!$E$10:$E$93,'Løp 21'!$L$10:$L$93,0)</f>
        <v>1.0829307568438003E-2</v>
      </c>
      <c r="CD83" s="628">
        <f>_xlfn.XLOOKUP($E83,'Løp 22'!$E$10:$E$93,'Løp 22'!$M$10:$M$93,0)</f>
        <v>0</v>
      </c>
      <c r="CE83" s="629">
        <f>_xlfn.XLOOKUP($E83,'Løp 22'!$E$10:$E$93,'Løp 22'!$O$10:$O$93,0)</f>
        <v>0</v>
      </c>
      <c r="CF83" s="629">
        <f>_xlfn.XLOOKUP($E83,'Løp 22'!$E$10:$E$93,'Løp 22'!$L$10:$L$93,0)</f>
        <v>0</v>
      </c>
      <c r="CG83" s="628">
        <f>_xlfn.XLOOKUP($E83,'Løp 23'!$E$10:$E$93,'Løp 23'!$M$10:$M$93,0)</f>
        <v>0</v>
      </c>
      <c r="CH83" s="629">
        <f>_xlfn.XLOOKUP($E83,'Løp 23'!$E$10:$E$93,'Løp 23'!$O$10:$O$93,0)</f>
        <v>0</v>
      </c>
      <c r="CI83" s="629">
        <f>_xlfn.XLOOKUP($E83,'Løp 23'!$E$10:$E$93,'Løp 23'!$L$10:$L$93,0)</f>
        <v>0</v>
      </c>
      <c r="CJ83" s="628">
        <f>_xlfn.XLOOKUP($E83,'Løp 24'!$E$10:$E$93,'Løp 24'!$M$10:$M$93,0)</f>
        <v>0</v>
      </c>
      <c r="CK83" s="629">
        <f>_xlfn.XLOOKUP($E83,'Løp 24'!$E$10:$E$93,'Løp 24'!$O$10:$O$93,0)</f>
        <v>0</v>
      </c>
      <c r="CL83" s="629">
        <f>_xlfn.XLOOKUP($E83,'Løp 24'!$E$10:$E$93,'Løp 24'!$L$10:$L$93,0)</f>
        <v>0</v>
      </c>
      <c r="CM83" s="628">
        <f>_xlfn.XLOOKUP($E83,'Løp 25'!$E$10:$E$94,'Løp 25'!$M$10:$M$94,0)</f>
        <v>0</v>
      </c>
      <c r="CN83" s="629">
        <f>_xlfn.XLOOKUP($E83,'Løp 25'!$E$10:$E$94,'Løp 25'!$O$10:$O$94,0)</f>
        <v>0</v>
      </c>
      <c r="CO83" s="629">
        <f>_xlfn.XLOOKUP($E83,'Løp 25'!$E$10:$E$94,'Løp 25'!$L$10:$L$94,0)</f>
        <v>0</v>
      </c>
      <c r="CP83" s="628">
        <f>_xlfn.XLOOKUP($E83,'Løp 26'!$E$10:$E$94,'Løp 26'!$M$10:$M$94,0)</f>
        <v>0</v>
      </c>
      <c r="CQ83" s="629">
        <f>_xlfn.XLOOKUP($E83,'Løp 26'!$E$10:$E$94,'Løp 26'!$O$10:$O$94,0)</f>
        <v>0</v>
      </c>
      <c r="CR83" s="629">
        <f>_xlfn.XLOOKUP($E83,'Løp 26'!$E$10:$E$94,'Løp 26'!$L$10:$L$94,0)</f>
        <v>0</v>
      </c>
      <c r="CS83" s="628">
        <f>_xlfn.XLOOKUP($E83,'Løp 27'!$E$10:$E$94,'Løp 27'!$M$10:$M$94,0)</f>
        <v>0</v>
      </c>
      <c r="CT83" s="629">
        <f>_xlfn.XLOOKUP($E83,'Løp 27'!$E$10:$E$94,'Løp 27'!$O$10:$O$94,0)</f>
        <v>0</v>
      </c>
      <c r="CU83" s="629">
        <f>_xlfn.XLOOKUP($E83,'Løp 27'!$E$10:$E$94,'Løp 27'!$L$10:$L$94,0)</f>
        <v>0</v>
      </c>
      <c r="CV83" s="628">
        <f>_xlfn.XLOOKUP($E83,'Løp 28'!$E$10:$E$95,'Løp 28'!$M$10:$M$95,0)</f>
        <v>0</v>
      </c>
      <c r="CW83" s="629">
        <f>_xlfn.XLOOKUP($E83,'Løp 28'!$E$10:$E$95,'Løp 28'!$O$10:$O$95,0)</f>
        <v>0</v>
      </c>
      <c r="CX83" s="629">
        <f>_xlfn.XLOOKUP($E83,'Løp 28'!$E$10:$E$95,'Løp 28'!$L$10:$L$95,0)</f>
        <v>0</v>
      </c>
      <c r="CY83" s="628">
        <f>_xlfn.XLOOKUP($E83,'Løp 29'!$E$10:$E$95,'Løp 29'!$M$10:$M$95,0)</f>
        <v>0</v>
      </c>
      <c r="CZ83" s="629">
        <f>_xlfn.XLOOKUP($E83,'Løp 29'!$E$10:$E$95,'Løp 29'!$O$10:$O$95,0)</f>
        <v>0</v>
      </c>
      <c r="DA83" s="629">
        <f>_xlfn.XLOOKUP($E83,'Løp 29'!$E$10:$E$95,'Løp 29'!$L$10:$L$95,0)</f>
        <v>0</v>
      </c>
    </row>
    <row r="84" spans="2:105" ht="26" thickBot="1" x14ac:dyDescent="0.3">
      <c r="B84" s="627">
        <f t="shared" si="0"/>
        <v>75</v>
      </c>
      <c r="C84" s="123" t="s">
        <v>147</v>
      </c>
      <c r="D84" s="620" t="s">
        <v>148</v>
      </c>
      <c r="E84" s="616" t="str">
        <f>_xlfn.CONCAT(C84:D84)</f>
        <v>ViggoSchei</v>
      </c>
      <c r="F84" s="610"/>
      <c r="G84" s="653">
        <f>COUNTIF(S84:DA84,"&gt;2")/2</f>
        <v>3</v>
      </c>
      <c r="H84" s="852">
        <f>COUNTIF(S84:DA84,"=Løype")+COUNTIF(S84:DA84,"Arr")</f>
        <v>0</v>
      </c>
      <c r="I84" s="610"/>
      <c r="J84" s="632">
        <f>S84+V84+Y84+AB84+AE84+AH84+AK84+AN84+AQ84+AT84+AW84+AZ84+BC84+BF84+BI84+BL84+BO84+BR84+BU84+BX84+CA84+CD84+CG84+CJ84+CM84+CP84+CS84+CV84+CY84</f>
        <v>187</v>
      </c>
      <c r="K84" s="633">
        <f>T84+W84+Z84+AC84+AF84+AI84+AL84+AO84+AR84+AU84+AX84+BA84+BD84+BG84+BJ84+BM84+BP84+BS84+BV84+BY84+CB84+CE84+CH84+CK84+CN84+CQ84+CT84+CW84+CZ84</f>
        <v>188</v>
      </c>
      <c r="L84" s="613"/>
      <c r="M84" s="658">
        <f>IF($G84&gt;0,J84/G84,0)</f>
        <v>62.333333333333336</v>
      </c>
      <c r="N84" s="659">
        <f>IF($G84&gt;0,K84/$G84,0)</f>
        <v>62.666666666666664</v>
      </c>
      <c r="O84" s="862"/>
      <c r="P84" s="874">
        <f>IF(AND($G84&gt;$Q$3-1,$G84-$H84&gt;0),M84,0)</f>
        <v>0</v>
      </c>
      <c r="Q84" s="875">
        <f>IF(AND($G84&gt;$Q$3-1,$G84-$H84&gt;0),N84,0)</f>
        <v>0</v>
      </c>
      <c r="R84" s="613"/>
      <c r="S84" s="628">
        <f>_xlfn.XLOOKUP($E84,'Løp 1'!$E$10:$E$90,'Løp 1'!$M$10:$M$90,0)</f>
        <v>0</v>
      </c>
      <c r="T84" s="629">
        <f>_xlfn.XLOOKUP($E84,'Løp 1'!$E$10:$E$90,'Løp 1'!$O$10:$O$90,0)</f>
        <v>0</v>
      </c>
      <c r="U84" s="629">
        <f>_xlfn.XLOOKUP($E84,'Løp 1'!$E$10:$E$90,'Løp 1'!$L$10:$L$90,0)</f>
        <v>0</v>
      </c>
      <c r="V84" s="628">
        <f>_xlfn.XLOOKUP($E84,'Løp 2'!$E$10:$E$90,'Løp 2'!$M$10:$M$90,0)</f>
        <v>0</v>
      </c>
      <c r="W84" s="629">
        <f>_xlfn.XLOOKUP($E84,'Løp 2'!$E$10:$E$90,'Løp 2'!$O$10:$O$90,0)</f>
        <v>0</v>
      </c>
      <c r="X84" s="629">
        <f>_xlfn.XLOOKUP($E84,'Løp 2'!$E$10:$E$90,'Løp 2'!$L$10:$L$90,0)</f>
        <v>0</v>
      </c>
      <c r="Y84" s="628">
        <f>_xlfn.XLOOKUP($E84,'Løp 3'!$E$10:$E$90,'Løp 3'!$M$10:$M$90,0)</f>
        <v>0</v>
      </c>
      <c r="Z84" s="629">
        <f>_xlfn.XLOOKUP($E84,'Løp 3'!$E$10:$E$90,'Løp 3'!$O$10:$O$90,0)</f>
        <v>0</v>
      </c>
      <c r="AA84" s="629">
        <f>_xlfn.XLOOKUP($E84,'Løp 3'!$E$10:$E$90,'Løp 3'!$L$10:$L$90,0)</f>
        <v>0</v>
      </c>
      <c r="AB84" s="628">
        <f>_xlfn.XLOOKUP($E84,'Løp 4'!$E$10:$E$90,'Løp 4'!$M$10:$M$90,0)</f>
        <v>59</v>
      </c>
      <c r="AC84" s="629">
        <f>_xlfn.XLOOKUP($E84,'Løp 4'!$E$10:$E$90,'Løp 4'!$O$10:$O$90,0)</f>
        <v>63</v>
      </c>
      <c r="AD84" s="629">
        <f>_xlfn.XLOOKUP($E84,'Løp 4'!$E$10:$E$90,'Løp 4'!$L$10:$L$90,0)</f>
        <v>1.1712962962962961E-2</v>
      </c>
      <c r="AE84" s="628">
        <f>_xlfn.XLOOKUP($E84,'Løp 5'!$E$10:$E$90,'Løp 5'!$M$10:$M$90,0)</f>
        <v>65</v>
      </c>
      <c r="AF84" s="629">
        <f>_xlfn.XLOOKUP($E84,'Løp 5'!$E$10:$E$90,'Løp 5'!$O$10:$O$90,0)</f>
        <v>62</v>
      </c>
      <c r="AG84" s="629">
        <f>_xlfn.XLOOKUP($E84,'Løp 5'!$E$10:$E$90,'Løp 5'!$L$10:$L$90,0)</f>
        <v>1.1201131687242797E-2</v>
      </c>
      <c r="AH84" s="628">
        <f>_xlfn.XLOOKUP($E84,'Løp 6'!$E$10:$E$90,'Løp 6'!$M$10:$M$90,0)</f>
        <v>0</v>
      </c>
      <c r="AI84" s="629">
        <f>_xlfn.XLOOKUP($E84,'Løp 6'!$E$10:$E$90,'Løp 6'!$O$10:$O$90,0)</f>
        <v>0</v>
      </c>
      <c r="AJ84" s="629">
        <f>_xlfn.XLOOKUP($E84,'Løp 6'!$E$10:$E$90,'Løp 6'!$L$10:$L$90,0)</f>
        <v>0</v>
      </c>
      <c r="AK84" s="628">
        <f>_xlfn.XLOOKUP($E84,'Løp 7'!$E$10:$E$90,'Løp 7'!$M$10:$M$90,0)</f>
        <v>0</v>
      </c>
      <c r="AL84" s="629">
        <f>_xlfn.XLOOKUP($E84,'Løp 7'!$E$10:$E$90,'Løp 7'!$O$10:$O$90,0)</f>
        <v>0</v>
      </c>
      <c r="AM84" s="629">
        <f>_xlfn.XLOOKUP($E84,'Løp 7'!$E$10:$E$90,'Løp 7'!$L$10:$L$90,0)</f>
        <v>0</v>
      </c>
      <c r="AN84" s="628">
        <f>_xlfn.XLOOKUP($E84,'Løp 8'!$E$10:$E$91,'Løp 8'!$M$10:$M$91,0)</f>
        <v>0</v>
      </c>
      <c r="AO84" s="629">
        <f>_xlfn.XLOOKUP($E84,'Løp 8'!$E$10:$E$91,'Løp 8'!$O$10:$O$91,0)</f>
        <v>0</v>
      </c>
      <c r="AP84" s="629">
        <f>_xlfn.XLOOKUP($E84,'Løp 8'!$E$10:$E$91,'Løp 8'!$L$10:$L$91,0)</f>
        <v>0</v>
      </c>
      <c r="AQ84" s="628">
        <f>_xlfn.XLOOKUP($E84,'Løp 9'!$E$10:$E$91,'Løp 9'!$M$10:$M$91,0)</f>
        <v>0</v>
      </c>
      <c r="AR84" s="629">
        <f>_xlfn.XLOOKUP($E84,'Løp 9'!$E$10:$E$91,'Løp 9'!$O$10:$O$91,0)</f>
        <v>0</v>
      </c>
      <c r="AS84" s="629">
        <f>_xlfn.XLOOKUP($E84,'Løp 9'!$E$10:$E$91,'Løp 9'!$L$10:$L$91,0)</f>
        <v>0</v>
      </c>
      <c r="AT84" s="628">
        <f>_xlfn.XLOOKUP($E84,'Løp 10'!$E$10:$E$91,'Løp 10'!$M$10:$M$91,0)</f>
        <v>0</v>
      </c>
      <c r="AU84" s="629">
        <f>_xlfn.XLOOKUP($E84,'Løp 10'!$E$10:$E$91,'Løp 10'!$O$10:$O$91,0)</f>
        <v>0</v>
      </c>
      <c r="AV84" s="629">
        <f>_xlfn.XLOOKUP($E84,'Løp 10'!$E$10:$E$91,'Løp 10'!$L$10:$L$91,0)</f>
        <v>0</v>
      </c>
      <c r="AW84" s="628">
        <f>_xlfn.XLOOKUP($E84,'Løp 11'!$E$10:$E$91,'Løp 11'!$M$10:$M$91,0)</f>
        <v>0</v>
      </c>
      <c r="AX84" s="629">
        <f>_xlfn.XLOOKUP($E84,'Løp 11'!$E$10:$E$91,'Løp 11'!$O$10:$O$91,0)</f>
        <v>0</v>
      </c>
      <c r="AY84" s="629">
        <f>_xlfn.XLOOKUP($E84,'Løp 11'!$E$10:$E$91,'Løp 11'!$L$10:$L$91,0)</f>
        <v>0</v>
      </c>
      <c r="AZ84" s="628">
        <f>_xlfn.XLOOKUP($E84,'Løp 12'!$E$10:$E$91,'Løp 12'!$M$10:$M$91,0)</f>
        <v>0</v>
      </c>
      <c r="BA84" s="629">
        <f>_xlfn.XLOOKUP($E84,'Løp 12'!$E$10:$E$91,'Løp 12'!$O$10:$O$91,0)</f>
        <v>0</v>
      </c>
      <c r="BB84" s="629">
        <f>_xlfn.XLOOKUP($E84,'Løp 12'!$E$10:$E$91,'Løp 12'!$L$10:$L$91,0)</f>
        <v>0</v>
      </c>
      <c r="BC84" s="628">
        <f>_xlfn.XLOOKUP($E84,'Løp 13'!$E$10:$E$91,'Løp 13'!$M$10:$M$91,0)</f>
        <v>0</v>
      </c>
      <c r="BD84" s="629">
        <f>_xlfn.XLOOKUP($E84,'Løp 13'!$E$10:$E$91,'Løp 13'!$O$10:$O$91,0)</f>
        <v>0</v>
      </c>
      <c r="BE84" s="629">
        <f>_xlfn.XLOOKUP($E84,'Løp 13'!$E$10:$E$91,'Løp 13'!$L$10:$L$91,0)</f>
        <v>0</v>
      </c>
      <c r="BF84" s="628">
        <f>_xlfn.XLOOKUP($E84,'Løp 14'!$E$10:$E$91,'Løp 14'!$M$10:$M$91,0)</f>
        <v>0</v>
      </c>
      <c r="BG84" s="629">
        <f>_xlfn.XLOOKUP($E84,'Løp 14'!$E$10:$E$91,'Løp 14'!$O$10:$O$91,0)</f>
        <v>0</v>
      </c>
      <c r="BH84" s="629">
        <f>_xlfn.XLOOKUP($E84,'Løp 14'!$E$10:$E$91,'Løp 14'!$L$10:$L$91,0)</f>
        <v>0</v>
      </c>
      <c r="BI84" s="628">
        <f>_xlfn.XLOOKUP($E84,'Løp 15'!$E$10:$E$91,'Løp 15'!$M$10:$M$91,0)</f>
        <v>0</v>
      </c>
      <c r="BJ84" s="629">
        <f>_xlfn.XLOOKUP($E84,'Løp 15'!$E$10:$E$91,'Løp 15'!$O$10:$O$91,0)</f>
        <v>0</v>
      </c>
      <c r="BK84" s="629">
        <f>_xlfn.XLOOKUP($E84,'Løp 15'!$E$10:$E$91,'Løp 15'!$L$10:$L$91,0)</f>
        <v>0</v>
      </c>
      <c r="BL84" s="628">
        <f>_xlfn.XLOOKUP($E84,'Løp 16'!$E$10:$E$91,'Løp 16'!$M$10:$M$91,0)</f>
        <v>0</v>
      </c>
      <c r="BM84" s="629">
        <f>_xlfn.XLOOKUP($E84,'Løp 16'!$E$10:$E$91,'Løp 16'!$O$10:$O$91,0)</f>
        <v>0</v>
      </c>
      <c r="BN84" s="629">
        <f>_xlfn.XLOOKUP($E84,'Løp 16'!$E$10:$E$91,'Løp 16'!$L$10:$L$91,0)</f>
        <v>0</v>
      </c>
      <c r="BO84" s="628">
        <f>_xlfn.XLOOKUP($E84,'Løp 17'!$E$10:$E$91,'Løp 17'!$M$10:$M$91,0)</f>
        <v>0</v>
      </c>
      <c r="BP84" s="629">
        <f>_xlfn.XLOOKUP($E84,'Løp 17'!$E$10:$E$91,'Løp 17'!$O$10:$O$91,0)</f>
        <v>0</v>
      </c>
      <c r="BQ84" s="629">
        <f>_xlfn.XLOOKUP($E84,'Løp 17'!$E$10:$E$91,'Løp 17'!$L$10:$L$91,0)</f>
        <v>0</v>
      </c>
      <c r="BR84" s="628">
        <f>_xlfn.XLOOKUP($E84,'Løp 18'!$E$10:$E$91,'Løp 18'!$M$10:$M$91,0)</f>
        <v>0</v>
      </c>
      <c r="BS84" s="629">
        <f>_xlfn.XLOOKUP($E84,'Løp 18'!$E$10:$E$91,'Løp 18'!$O$10:$O$91,0)</f>
        <v>0</v>
      </c>
      <c r="BT84" s="629">
        <f>_xlfn.XLOOKUP($E84,'Løp 18'!$E$10:$E$91,'Løp 18'!$L$10:$L$91,0)</f>
        <v>0</v>
      </c>
      <c r="BU84" s="628">
        <f>_xlfn.XLOOKUP($E84,'Løp 19'!$E$10:$E$91,'Løp 19'!$M$10:$M$91,0)</f>
        <v>0</v>
      </c>
      <c r="BV84" s="629">
        <f>_xlfn.XLOOKUP($E84,'Løp 19'!$E$10:$E$91,'Løp 19'!$O$10:$O$91,0)</f>
        <v>0</v>
      </c>
      <c r="BW84" s="629">
        <f>_xlfn.XLOOKUP($E84,'Løp 19'!$E$10:$E$91,'Løp 19'!$L$10:$L$91,0)</f>
        <v>0</v>
      </c>
      <c r="BX84" s="628">
        <f>_xlfn.XLOOKUP($E84,'Løp 20'!$E$10:$E$92,'Løp 20'!$M$10:$M$92,0)</f>
        <v>0</v>
      </c>
      <c r="BY84" s="629">
        <f>_xlfn.XLOOKUP($E84,'Løp 20'!$E$10:$E$92,'Løp 20'!$O$10:$O$92,0)</f>
        <v>0</v>
      </c>
      <c r="BZ84" s="629">
        <f>_xlfn.XLOOKUP($E84,'Løp 20'!$E$10:$E$92,'Løp 20'!$L$10:$L$92,0)</f>
        <v>0</v>
      </c>
      <c r="CA84" s="628">
        <f>_xlfn.XLOOKUP($E84,'Løp 21'!$E$10:$E$93,'Løp 21'!$M$10:$M$93,0)</f>
        <v>0</v>
      </c>
      <c r="CB84" s="629">
        <f>_xlfn.XLOOKUP($E84,'Løp 21'!$E$10:$E$93,'Løp 21'!$O$10:$O$93,0)</f>
        <v>0</v>
      </c>
      <c r="CC84" s="629">
        <f>_xlfn.XLOOKUP($E84,'Løp 21'!$E$10:$E$93,'Løp 21'!$L$10:$L$93,0)</f>
        <v>0</v>
      </c>
      <c r="CD84" s="628">
        <f>_xlfn.XLOOKUP($E84,'Løp 22'!$E$10:$E$93,'Løp 22'!$M$10:$M$93,0)</f>
        <v>0</v>
      </c>
      <c r="CE84" s="629">
        <f>_xlfn.XLOOKUP($E84,'Løp 22'!$E$10:$E$93,'Løp 22'!$O$10:$O$93,0)</f>
        <v>0</v>
      </c>
      <c r="CF84" s="629">
        <f>_xlfn.XLOOKUP($E84,'Løp 22'!$E$10:$E$93,'Løp 22'!$L$10:$L$93,0)</f>
        <v>0</v>
      </c>
      <c r="CG84" s="628">
        <f>_xlfn.XLOOKUP($E84,'Løp 23'!$E$10:$E$93,'Løp 23'!$M$10:$M$93,0)</f>
        <v>0</v>
      </c>
      <c r="CH84" s="629">
        <f>_xlfn.XLOOKUP($E84,'Løp 23'!$E$10:$E$93,'Løp 23'!$O$10:$O$93,0)</f>
        <v>0</v>
      </c>
      <c r="CI84" s="629">
        <f>_xlfn.XLOOKUP($E84,'Løp 23'!$E$10:$E$93,'Løp 23'!$L$10:$L$93,0)</f>
        <v>0</v>
      </c>
      <c r="CJ84" s="628">
        <f>_xlfn.XLOOKUP($E84,'Løp 24'!$E$10:$E$93,'Løp 24'!$M$10:$M$93,0)</f>
        <v>0</v>
      </c>
      <c r="CK84" s="629">
        <f>_xlfn.XLOOKUP($E84,'Løp 24'!$E$10:$E$93,'Løp 24'!$O$10:$O$93,0)</f>
        <v>0</v>
      </c>
      <c r="CL84" s="629">
        <f>_xlfn.XLOOKUP($E84,'Løp 24'!$E$10:$E$93,'Løp 24'!$L$10:$L$93,0)</f>
        <v>0</v>
      </c>
      <c r="CM84" s="628">
        <f>_xlfn.XLOOKUP($E84,'Løp 25'!$E$10:$E$94,'Løp 25'!$M$10:$M$94,0)</f>
        <v>0</v>
      </c>
      <c r="CN84" s="629">
        <f>_xlfn.XLOOKUP($E84,'Løp 25'!$E$10:$E$94,'Løp 25'!$O$10:$O$94,0)</f>
        <v>0</v>
      </c>
      <c r="CO84" s="629">
        <f>_xlfn.XLOOKUP($E84,'Løp 25'!$E$10:$E$94,'Løp 25'!$L$10:$L$94,0)</f>
        <v>0</v>
      </c>
      <c r="CP84" s="628">
        <f>_xlfn.XLOOKUP($E84,'Løp 26'!$E$10:$E$94,'Løp 26'!$M$10:$M$94,0)</f>
        <v>0</v>
      </c>
      <c r="CQ84" s="629">
        <f>_xlfn.XLOOKUP($E84,'Løp 26'!$E$10:$E$94,'Løp 26'!$O$10:$O$94,0)</f>
        <v>0</v>
      </c>
      <c r="CR84" s="629">
        <f>_xlfn.XLOOKUP($E84,'Løp 26'!$E$10:$E$94,'Løp 26'!$L$10:$L$94,0)</f>
        <v>0</v>
      </c>
      <c r="CS84" s="628">
        <f>_xlfn.XLOOKUP($E84,'Løp 27'!$E$10:$E$94,'Løp 27'!$M$10:$M$94,0)</f>
        <v>0</v>
      </c>
      <c r="CT84" s="629">
        <f>_xlfn.XLOOKUP($E84,'Løp 27'!$E$10:$E$94,'Løp 27'!$O$10:$O$94,0)</f>
        <v>0</v>
      </c>
      <c r="CU84" s="629">
        <f>_xlfn.XLOOKUP($E84,'Løp 27'!$E$10:$E$94,'Løp 27'!$L$10:$L$94,0)</f>
        <v>0</v>
      </c>
      <c r="CV84" s="628">
        <f>_xlfn.XLOOKUP($E84,'Løp 28'!$E$10:$E$95,'Løp 28'!$M$10:$M$95,0)</f>
        <v>0</v>
      </c>
      <c r="CW84" s="629">
        <f>_xlfn.XLOOKUP($E84,'Løp 28'!$E$10:$E$95,'Løp 28'!$O$10:$O$95,0)</f>
        <v>0</v>
      </c>
      <c r="CX84" s="629">
        <f>_xlfn.XLOOKUP($E84,'Løp 28'!$E$10:$E$95,'Løp 28'!$L$10:$L$95,0)</f>
        <v>0</v>
      </c>
      <c r="CY84" s="628">
        <f>_xlfn.XLOOKUP($E84,'Løp 29'!$E$10:$E$95,'Løp 29'!$M$10:$M$95,0)</f>
        <v>63</v>
      </c>
      <c r="CZ84" s="629">
        <f>_xlfn.XLOOKUP($E84,'Løp 29'!$E$10:$E$95,'Løp 29'!$O$10:$O$95,0)</f>
        <v>63</v>
      </c>
      <c r="DA84" s="629">
        <f>_xlfn.XLOOKUP($E84,'Løp 29'!$E$10:$E$95,'Løp 29'!$L$10:$L$95,0)</f>
        <v>1.1470734126984126E-2</v>
      </c>
    </row>
    <row r="85" spans="2:105" ht="26" customHeight="1" thickBot="1" x14ac:dyDescent="0.3">
      <c r="B85" s="627">
        <f t="shared" si="0"/>
        <v>76</v>
      </c>
      <c r="C85" s="119" t="s">
        <v>64</v>
      </c>
      <c r="D85" s="620" t="s">
        <v>267</v>
      </c>
      <c r="E85" s="616" t="str">
        <f>_xlfn.CONCAT(C85:D85)</f>
        <v>BjørnBrenne</v>
      </c>
      <c r="F85" s="610"/>
      <c r="G85" s="653">
        <f>COUNTIF(S85:DA85,"&gt;2")/2</f>
        <v>3</v>
      </c>
      <c r="H85" s="852">
        <f>COUNTIF(S85:DA85,"=Løype")+COUNTIF(S85:DA85,"Arr")</f>
        <v>0</v>
      </c>
      <c r="I85" s="610"/>
      <c r="J85" s="632">
        <f>S85+V85+Y85+AB85+AE85+AH85+AK85+AN85+AQ85+AT85+AW85+AZ85+BC85+BF85+BI85+BL85+BO85+BR85+BU85+BX85+CA85+CD85+CG85+CJ85+CM85+CP85+CS85+CV85+CY85</f>
        <v>157</v>
      </c>
      <c r="K85" s="633">
        <f>T85+W85+Z85+AC85+AF85+AI85+AL85+AO85+AR85+AU85+AX85+BA85+BD85+BG85+BJ85+BM85+BP85+BS85+BV85+BY85+CB85+CE85+CH85+CK85+CN85+CQ85+CT85+CW85+CZ85</f>
        <v>178</v>
      </c>
      <c r="L85" s="613"/>
      <c r="M85" s="658">
        <f>IF($G85&gt;0,J85/G85,0)</f>
        <v>52.333333333333336</v>
      </c>
      <c r="N85" s="659">
        <f>IF($G85&gt;0,K85/$G85,0)</f>
        <v>59.333333333333336</v>
      </c>
      <c r="O85" s="862"/>
      <c r="P85" s="874">
        <f>IF(AND($G85&gt;$Q$3-1,$G85-$H85&gt;0),M85,0)</f>
        <v>0</v>
      </c>
      <c r="Q85" s="875">
        <f>IF(AND($G85&gt;$Q$3-1,$G85-$H85&gt;0),N85,0)</f>
        <v>0</v>
      </c>
      <c r="R85" s="613"/>
      <c r="S85" s="628">
        <f>_xlfn.XLOOKUP($E85,'Løp 1'!$E$10:$E$90,'Løp 1'!$M$10:$M$90,0)</f>
        <v>0</v>
      </c>
      <c r="T85" s="629">
        <f>_xlfn.XLOOKUP($E85,'Løp 1'!$E$10:$E$90,'Løp 1'!$O$10:$O$90,0)</f>
        <v>0</v>
      </c>
      <c r="U85" s="629">
        <f>_xlfn.XLOOKUP($E85,'Løp 1'!$E$10:$E$90,'Løp 1'!$L$10:$L$90,0)</f>
        <v>0</v>
      </c>
      <c r="V85" s="628">
        <f>_xlfn.XLOOKUP($E85,'Løp 2'!$E$10:$E$90,'Løp 2'!$M$10:$M$90,0)</f>
        <v>0</v>
      </c>
      <c r="W85" s="629">
        <f>_xlfn.XLOOKUP($E85,'Løp 2'!$E$10:$E$90,'Løp 2'!$O$10:$O$90,0)</f>
        <v>0</v>
      </c>
      <c r="X85" s="629">
        <f>_xlfn.XLOOKUP($E85,'Løp 2'!$E$10:$E$90,'Løp 2'!$L$10:$L$90,0)</f>
        <v>0</v>
      </c>
      <c r="Y85" s="628">
        <f>_xlfn.XLOOKUP($E85,'Løp 3'!$E$10:$E$90,'Løp 3'!$M$10:$M$90,0)</f>
        <v>0</v>
      </c>
      <c r="Z85" s="629">
        <f>_xlfn.XLOOKUP($E85,'Løp 3'!$E$10:$E$90,'Løp 3'!$O$10:$O$90,0)</f>
        <v>0</v>
      </c>
      <c r="AA85" s="629">
        <f>_xlfn.XLOOKUP($E85,'Løp 3'!$E$10:$E$90,'Løp 3'!$L$10:$L$90,0)</f>
        <v>0</v>
      </c>
      <c r="AB85" s="628">
        <f>_xlfn.XLOOKUP($E85,'Løp 4'!$E$10:$E$90,'Løp 4'!$M$10:$M$90,0)</f>
        <v>50</v>
      </c>
      <c r="AC85" s="629">
        <f>_xlfn.XLOOKUP($E85,'Løp 4'!$E$10:$E$90,'Løp 4'!$O$10:$O$90,0)</f>
        <v>50</v>
      </c>
      <c r="AD85" s="629" t="str">
        <f>_xlfn.XLOOKUP($E85,'Løp 4'!$E$10:$E$90,'Løp 4'!$L$10:$L$90,0)</f>
        <v>Brutt</v>
      </c>
      <c r="AE85" s="628">
        <f>_xlfn.XLOOKUP($E85,'Løp 5'!$E$10:$E$90,'Løp 5'!$M$10:$M$90,0)</f>
        <v>0</v>
      </c>
      <c r="AF85" s="629">
        <f>_xlfn.XLOOKUP($E85,'Løp 5'!$E$10:$E$90,'Løp 5'!$O$10:$O$90,0)</f>
        <v>0</v>
      </c>
      <c r="AG85" s="629">
        <f>_xlfn.XLOOKUP($E85,'Løp 5'!$E$10:$E$90,'Løp 5'!$L$10:$L$90,0)</f>
        <v>0</v>
      </c>
      <c r="AH85" s="628">
        <f>_xlfn.XLOOKUP($E85,'Løp 6'!$E$10:$E$90,'Løp 6'!$M$10:$M$90,0)</f>
        <v>0</v>
      </c>
      <c r="AI85" s="629">
        <f>_xlfn.XLOOKUP($E85,'Løp 6'!$E$10:$E$90,'Løp 6'!$O$10:$O$90,0)</f>
        <v>0</v>
      </c>
      <c r="AJ85" s="629">
        <f>_xlfn.XLOOKUP($E85,'Løp 6'!$E$10:$E$90,'Løp 6'!$L$10:$L$90,0)</f>
        <v>0</v>
      </c>
      <c r="AK85" s="628">
        <f>_xlfn.XLOOKUP($E85,'Løp 7'!$E$10:$E$90,'Løp 7'!$M$10:$M$90,0)</f>
        <v>0</v>
      </c>
      <c r="AL85" s="629">
        <f>_xlfn.XLOOKUP($E85,'Løp 7'!$E$10:$E$90,'Løp 7'!$O$10:$O$90,0)</f>
        <v>0</v>
      </c>
      <c r="AM85" s="629">
        <f>_xlfn.XLOOKUP($E85,'Løp 7'!$E$10:$E$90,'Løp 7'!$L$10:$L$90,0)</f>
        <v>0</v>
      </c>
      <c r="AN85" s="628">
        <f>_xlfn.XLOOKUP($E85,'Løp 8'!$E$10:$E$91,'Løp 8'!$M$10:$M$91,0)</f>
        <v>0</v>
      </c>
      <c r="AO85" s="629">
        <f>_xlfn.XLOOKUP($E85,'Løp 8'!$E$10:$E$91,'Løp 8'!$O$10:$O$91,0)</f>
        <v>0</v>
      </c>
      <c r="AP85" s="629">
        <f>_xlfn.XLOOKUP($E85,'Løp 8'!$E$10:$E$91,'Løp 8'!$L$10:$L$91,0)</f>
        <v>0</v>
      </c>
      <c r="AQ85" s="628">
        <f>_xlfn.XLOOKUP($E85,'Løp 9'!$E$10:$E$91,'Løp 9'!$M$10:$M$91,0)</f>
        <v>0</v>
      </c>
      <c r="AR85" s="629">
        <f>_xlfn.XLOOKUP($E85,'Løp 9'!$E$10:$E$91,'Løp 9'!$O$10:$O$91,0)</f>
        <v>0</v>
      </c>
      <c r="AS85" s="629">
        <f>_xlfn.XLOOKUP($E85,'Løp 9'!$E$10:$E$91,'Løp 9'!$L$10:$L$91,0)</f>
        <v>0</v>
      </c>
      <c r="AT85" s="628">
        <f>_xlfn.XLOOKUP($E85,'Løp 10'!$E$10:$E$91,'Løp 10'!$M$10:$M$91,0)</f>
        <v>0</v>
      </c>
      <c r="AU85" s="629">
        <f>_xlfn.XLOOKUP($E85,'Løp 10'!$E$10:$E$91,'Løp 10'!$O$10:$O$91,0)</f>
        <v>0</v>
      </c>
      <c r="AV85" s="629">
        <f>_xlfn.XLOOKUP($E85,'Løp 10'!$E$10:$E$91,'Løp 10'!$L$10:$L$91,0)</f>
        <v>0</v>
      </c>
      <c r="AW85" s="628">
        <f>_xlfn.XLOOKUP($E85,'Løp 11'!$E$10:$E$91,'Løp 11'!$M$10:$M$91,0)</f>
        <v>0</v>
      </c>
      <c r="AX85" s="629">
        <f>_xlfn.XLOOKUP($E85,'Løp 11'!$E$10:$E$91,'Løp 11'!$O$10:$O$91,0)</f>
        <v>0</v>
      </c>
      <c r="AY85" s="629">
        <f>_xlfn.XLOOKUP($E85,'Løp 11'!$E$10:$E$91,'Løp 11'!$L$10:$L$91,0)</f>
        <v>0</v>
      </c>
      <c r="AZ85" s="628">
        <f>_xlfn.XLOOKUP($E85,'Løp 12'!$E$10:$E$91,'Løp 12'!$M$10:$M$91,0)</f>
        <v>0</v>
      </c>
      <c r="BA85" s="629">
        <f>_xlfn.XLOOKUP($E85,'Løp 12'!$E$10:$E$91,'Løp 12'!$O$10:$O$91,0)</f>
        <v>0</v>
      </c>
      <c r="BB85" s="629">
        <f>_xlfn.XLOOKUP($E85,'Løp 12'!$E$10:$E$91,'Løp 12'!$L$10:$L$91,0)</f>
        <v>0</v>
      </c>
      <c r="BC85" s="628">
        <f>_xlfn.XLOOKUP($E85,'Løp 13'!$E$10:$E$91,'Løp 13'!$M$10:$M$91,0)</f>
        <v>0</v>
      </c>
      <c r="BD85" s="629">
        <f>_xlfn.XLOOKUP($E85,'Løp 13'!$E$10:$E$91,'Løp 13'!$O$10:$O$91,0)</f>
        <v>0</v>
      </c>
      <c r="BE85" s="629">
        <f>_xlfn.XLOOKUP($E85,'Løp 13'!$E$10:$E$91,'Løp 13'!$L$10:$L$91,0)</f>
        <v>0</v>
      </c>
      <c r="BF85" s="628">
        <f>_xlfn.XLOOKUP($E85,'Løp 14'!$E$10:$E$91,'Løp 14'!$M$10:$M$91,0)</f>
        <v>0</v>
      </c>
      <c r="BG85" s="629">
        <f>_xlfn.XLOOKUP($E85,'Løp 14'!$E$10:$E$91,'Løp 14'!$O$10:$O$91,0)</f>
        <v>0</v>
      </c>
      <c r="BH85" s="629">
        <f>_xlfn.XLOOKUP($E85,'Løp 14'!$E$10:$E$91,'Løp 14'!$L$10:$L$91,0)</f>
        <v>0</v>
      </c>
      <c r="BI85" s="628">
        <f>_xlfn.XLOOKUP($E85,'Løp 15'!$E$10:$E$91,'Løp 15'!$M$10:$M$91,0)</f>
        <v>0</v>
      </c>
      <c r="BJ85" s="629">
        <f>_xlfn.XLOOKUP($E85,'Løp 15'!$E$10:$E$91,'Løp 15'!$O$10:$O$91,0)</f>
        <v>0</v>
      </c>
      <c r="BK85" s="629">
        <f>_xlfn.XLOOKUP($E85,'Løp 15'!$E$10:$E$91,'Løp 15'!$L$10:$L$91,0)</f>
        <v>0</v>
      </c>
      <c r="BL85" s="628">
        <f>_xlfn.XLOOKUP($E85,'Løp 16'!$E$10:$E$91,'Løp 16'!$M$10:$M$91,0)</f>
        <v>0</v>
      </c>
      <c r="BM85" s="629">
        <f>_xlfn.XLOOKUP($E85,'Løp 16'!$E$10:$E$91,'Løp 16'!$O$10:$O$91,0)</f>
        <v>0</v>
      </c>
      <c r="BN85" s="629">
        <f>_xlfn.XLOOKUP($E85,'Løp 16'!$E$10:$E$91,'Løp 16'!$L$10:$L$91,0)</f>
        <v>0</v>
      </c>
      <c r="BO85" s="628">
        <f>_xlfn.XLOOKUP($E85,'Løp 17'!$E$10:$E$91,'Løp 17'!$M$10:$M$91,0)</f>
        <v>0</v>
      </c>
      <c r="BP85" s="629">
        <f>_xlfn.XLOOKUP($E85,'Løp 17'!$E$10:$E$91,'Løp 17'!$O$10:$O$91,0)</f>
        <v>0</v>
      </c>
      <c r="BQ85" s="629">
        <f>_xlfn.XLOOKUP($E85,'Løp 17'!$E$10:$E$91,'Løp 17'!$L$10:$L$91,0)</f>
        <v>0</v>
      </c>
      <c r="BR85" s="628">
        <f>_xlfn.XLOOKUP($E85,'Løp 18'!$E$10:$E$91,'Løp 18'!$M$10:$M$91,0)</f>
        <v>0</v>
      </c>
      <c r="BS85" s="629">
        <f>_xlfn.XLOOKUP($E85,'Løp 18'!$E$10:$E$91,'Løp 18'!$O$10:$O$91,0)</f>
        <v>0</v>
      </c>
      <c r="BT85" s="629">
        <f>_xlfn.XLOOKUP($E85,'Løp 18'!$E$10:$E$91,'Løp 18'!$L$10:$L$91,0)</f>
        <v>0</v>
      </c>
      <c r="BU85" s="628">
        <f>_xlfn.XLOOKUP($E85,'Løp 19'!$E$10:$E$91,'Løp 19'!$M$10:$M$91,0)</f>
        <v>0</v>
      </c>
      <c r="BV85" s="629">
        <f>_xlfn.XLOOKUP($E85,'Løp 19'!$E$10:$E$91,'Løp 19'!$O$10:$O$91,0)</f>
        <v>0</v>
      </c>
      <c r="BW85" s="629">
        <f>_xlfn.XLOOKUP($E85,'Løp 19'!$E$10:$E$91,'Løp 19'!$L$10:$L$91,0)</f>
        <v>0</v>
      </c>
      <c r="BX85" s="628">
        <f>_xlfn.XLOOKUP($E85,'Løp 20'!$E$10:$E$92,'Løp 20'!$M$10:$M$92,0)</f>
        <v>0</v>
      </c>
      <c r="BY85" s="629">
        <f>_xlfn.XLOOKUP($E85,'Løp 20'!$E$10:$E$92,'Løp 20'!$O$10:$O$92,0)</f>
        <v>0</v>
      </c>
      <c r="BZ85" s="629">
        <f>_xlfn.XLOOKUP($E85,'Løp 20'!$E$10:$E$92,'Løp 20'!$L$10:$L$92,0)</f>
        <v>0</v>
      </c>
      <c r="CA85" s="628">
        <f>_xlfn.XLOOKUP($E85,'Løp 21'!$E$10:$E$93,'Løp 21'!$M$10:$M$93,0)</f>
        <v>0</v>
      </c>
      <c r="CB85" s="629">
        <f>_xlfn.XLOOKUP($E85,'Løp 21'!$E$10:$E$93,'Løp 21'!$O$10:$O$93,0)</f>
        <v>0</v>
      </c>
      <c r="CC85" s="629">
        <f>_xlfn.XLOOKUP($E85,'Løp 21'!$E$10:$E$93,'Løp 21'!$L$10:$L$93,0)</f>
        <v>0</v>
      </c>
      <c r="CD85" s="628">
        <f>_xlfn.XLOOKUP($E85,'Løp 22'!$E$10:$E$93,'Løp 22'!$M$10:$M$93,0)</f>
        <v>0</v>
      </c>
      <c r="CE85" s="629">
        <f>_xlfn.XLOOKUP($E85,'Løp 22'!$E$10:$E$93,'Løp 22'!$O$10:$O$93,0)</f>
        <v>0</v>
      </c>
      <c r="CF85" s="629">
        <f>_xlfn.XLOOKUP($E85,'Løp 22'!$E$10:$E$93,'Løp 22'!$L$10:$L$93,0)</f>
        <v>0</v>
      </c>
      <c r="CG85" s="628">
        <f>_xlfn.XLOOKUP($E85,'Løp 23'!$E$10:$E$93,'Løp 23'!$M$10:$M$93,0)</f>
        <v>0</v>
      </c>
      <c r="CH85" s="629">
        <f>_xlfn.XLOOKUP($E85,'Løp 23'!$E$10:$E$93,'Løp 23'!$O$10:$O$93,0)</f>
        <v>0</v>
      </c>
      <c r="CI85" s="629">
        <f>_xlfn.XLOOKUP($E85,'Løp 23'!$E$10:$E$93,'Løp 23'!$L$10:$L$93,0)</f>
        <v>0</v>
      </c>
      <c r="CJ85" s="628">
        <f>_xlfn.XLOOKUP($E85,'Løp 24'!$E$10:$E$93,'Løp 24'!$M$10:$M$93,0)</f>
        <v>0</v>
      </c>
      <c r="CK85" s="629">
        <f>_xlfn.XLOOKUP($E85,'Løp 24'!$E$10:$E$93,'Løp 24'!$O$10:$O$93,0)</f>
        <v>0</v>
      </c>
      <c r="CL85" s="629">
        <f>_xlfn.XLOOKUP($E85,'Løp 24'!$E$10:$E$93,'Løp 24'!$L$10:$L$93,0)</f>
        <v>0</v>
      </c>
      <c r="CM85" s="628">
        <f>_xlfn.XLOOKUP($E85,'Løp 25'!$E$10:$E$94,'Løp 25'!$M$10:$M$94,0)</f>
        <v>0</v>
      </c>
      <c r="CN85" s="629">
        <f>_xlfn.XLOOKUP($E85,'Løp 25'!$E$10:$E$94,'Løp 25'!$O$10:$O$94,0)</f>
        <v>0</v>
      </c>
      <c r="CO85" s="629">
        <f>_xlfn.XLOOKUP($E85,'Løp 25'!$E$10:$E$94,'Løp 25'!$L$10:$L$94,0)</f>
        <v>0</v>
      </c>
      <c r="CP85" s="628">
        <f>_xlfn.XLOOKUP($E85,'Løp 26'!$E$10:$E$94,'Løp 26'!$M$10:$M$94,0)</f>
        <v>0</v>
      </c>
      <c r="CQ85" s="629">
        <f>_xlfn.XLOOKUP($E85,'Løp 26'!$E$10:$E$94,'Løp 26'!$O$10:$O$94,0)</f>
        <v>0</v>
      </c>
      <c r="CR85" s="629">
        <f>_xlfn.XLOOKUP($E85,'Løp 26'!$E$10:$E$94,'Løp 26'!$L$10:$L$94,0)</f>
        <v>0</v>
      </c>
      <c r="CS85" s="628">
        <f>_xlfn.XLOOKUP($E85,'Løp 27'!$E$10:$E$94,'Løp 27'!$M$10:$M$94,0)</f>
        <v>0</v>
      </c>
      <c r="CT85" s="629">
        <f>_xlfn.XLOOKUP($E85,'Løp 27'!$E$10:$E$94,'Løp 27'!$O$10:$O$94,0)</f>
        <v>0</v>
      </c>
      <c r="CU85" s="629">
        <f>_xlfn.XLOOKUP($E85,'Løp 27'!$E$10:$E$94,'Løp 27'!$L$10:$L$94,0)</f>
        <v>0</v>
      </c>
      <c r="CV85" s="628">
        <f>_xlfn.XLOOKUP($E85,'Løp 28'!$E$10:$E$95,'Løp 28'!$M$10:$M$95,0)</f>
        <v>50</v>
      </c>
      <c r="CW85" s="629">
        <f>_xlfn.XLOOKUP($E85,'Løp 28'!$E$10:$E$95,'Løp 28'!$O$10:$O$95,0)</f>
        <v>60</v>
      </c>
      <c r="CX85" s="629">
        <f>_xlfn.XLOOKUP($E85,'Løp 28'!$E$10:$E$95,'Løp 28'!$L$10:$L$95,0)</f>
        <v>1.4172453703703704E-2</v>
      </c>
      <c r="CY85" s="628">
        <f>_xlfn.XLOOKUP($E85,'Løp 29'!$E$10:$E$95,'Løp 29'!$M$10:$M$95,0)</f>
        <v>57</v>
      </c>
      <c r="CZ85" s="629">
        <f>_xlfn.XLOOKUP($E85,'Løp 29'!$E$10:$E$95,'Løp 29'!$O$10:$O$95,0)</f>
        <v>68</v>
      </c>
      <c r="DA85" s="629">
        <f>_xlfn.XLOOKUP($E85,'Løp 29'!$E$10:$E$95,'Løp 29'!$L$10:$L$95,0)</f>
        <v>1.2830687830687831E-2</v>
      </c>
    </row>
    <row r="86" spans="2:105" ht="26" thickBot="1" x14ac:dyDescent="0.3">
      <c r="B86" s="627">
        <f t="shared" si="0"/>
        <v>77</v>
      </c>
      <c r="C86" s="119" t="s">
        <v>417</v>
      </c>
      <c r="D86" s="620" t="s">
        <v>267</v>
      </c>
      <c r="E86" s="616" t="str">
        <f>_xlfn.CONCAT(C86:D86)</f>
        <v>Anne LiseBrenne</v>
      </c>
      <c r="F86" s="610"/>
      <c r="G86" s="653">
        <f>COUNTIF(S86:DA86,"&gt;2")/2</f>
        <v>2</v>
      </c>
      <c r="H86" s="852">
        <f>COUNTIF(S86:DA86,"=Løype")+COUNTIF(S86:DA86,"Arr")</f>
        <v>0</v>
      </c>
      <c r="I86" s="610"/>
      <c r="J86" s="632">
        <f>S86+V86+Y86+AB86+AE86+AH86+AK86+AN86+AQ86+AT86+AW86+AZ86+BC86+BF86+BI86+BL86+BO86+BR86+BU86+BX86+CA86+CD86+CG86+CJ86+CM86+CP86+CS86+CV86+CY86</f>
        <v>100</v>
      </c>
      <c r="K86" s="633">
        <f>T86+W86+Z86+AC86+AF86+AI86+AL86+AO86+AR86+AU86+AX86+BA86+BD86+BG86+BJ86+BM86+BP86+BS86+BV86+BY86+CB86+CE86+CH86+CK86+CN86+CQ86+CT86+CW86+CZ86</f>
        <v>115</v>
      </c>
      <c r="L86" s="613"/>
      <c r="M86" s="658">
        <f>IF($G86&gt;0,J86/G86,0)</f>
        <v>50</v>
      </c>
      <c r="N86" s="659">
        <f>IF($G86&gt;0,K86/$G86,0)</f>
        <v>57.5</v>
      </c>
      <c r="O86" s="862"/>
      <c r="P86" s="874">
        <f>IF(AND($G86&gt;$Q$3-1,$G86-$H86&gt;0),M86,0)</f>
        <v>0</v>
      </c>
      <c r="Q86" s="875">
        <f>IF(AND($G86&gt;$Q$3-1,$G86-$H86&gt;0),N86,0)</f>
        <v>0</v>
      </c>
      <c r="R86" s="613"/>
      <c r="S86" s="628">
        <f>_xlfn.XLOOKUP($E86,'Løp 1'!$E$10:$E$90,'Løp 1'!$M$10:$M$90,0)</f>
        <v>0</v>
      </c>
      <c r="T86" s="629">
        <f>_xlfn.XLOOKUP($E86,'Løp 1'!$E$10:$E$90,'Løp 1'!$O$10:$O$90,0)</f>
        <v>0</v>
      </c>
      <c r="U86" s="629">
        <f>_xlfn.XLOOKUP($E86,'Løp 1'!$E$10:$E$90,'Løp 1'!$L$10:$L$90,0)</f>
        <v>0</v>
      </c>
      <c r="V86" s="628">
        <f>_xlfn.XLOOKUP($E86,'Løp 2'!$E$10:$E$90,'Løp 2'!$M$10:$M$90,0)</f>
        <v>0</v>
      </c>
      <c r="W86" s="629">
        <f>_xlfn.XLOOKUP($E86,'Løp 2'!$E$10:$E$90,'Løp 2'!$O$10:$O$90,0)</f>
        <v>0</v>
      </c>
      <c r="X86" s="629">
        <f>_xlfn.XLOOKUP($E86,'Løp 2'!$E$10:$E$90,'Løp 2'!$L$10:$L$90,0)</f>
        <v>0</v>
      </c>
      <c r="Y86" s="628">
        <f>_xlfn.XLOOKUP($E86,'Løp 3'!$E$10:$E$90,'Løp 3'!$M$10:$M$90,0)</f>
        <v>0</v>
      </c>
      <c r="Z86" s="629">
        <f>_xlfn.XLOOKUP($E86,'Løp 3'!$E$10:$E$90,'Løp 3'!$O$10:$O$90,0)</f>
        <v>0</v>
      </c>
      <c r="AA86" s="629">
        <f>_xlfn.XLOOKUP($E86,'Løp 3'!$E$10:$E$90,'Løp 3'!$L$10:$L$90,0)</f>
        <v>0</v>
      </c>
      <c r="AB86" s="628">
        <f>_xlfn.XLOOKUP($E86,'Løp 4'!$E$10:$E$90,'Løp 4'!$M$10:$M$90,0)</f>
        <v>0</v>
      </c>
      <c r="AC86" s="629">
        <f>_xlfn.XLOOKUP($E86,'Løp 4'!$E$10:$E$90,'Løp 4'!$O$10:$O$90,0)</f>
        <v>0</v>
      </c>
      <c r="AD86" s="629">
        <f>_xlfn.XLOOKUP($E86,'Løp 4'!$E$10:$E$90,'Løp 4'!$L$10:$L$90,0)</f>
        <v>0</v>
      </c>
      <c r="AE86" s="628">
        <f>_xlfn.XLOOKUP($E86,'Løp 5'!$E$10:$E$90,'Løp 5'!$M$10:$M$90,0)</f>
        <v>0</v>
      </c>
      <c r="AF86" s="629">
        <f>_xlfn.XLOOKUP($E86,'Løp 5'!$E$10:$E$90,'Løp 5'!$O$10:$O$90,0)</f>
        <v>0</v>
      </c>
      <c r="AG86" s="629">
        <f>_xlfn.XLOOKUP($E86,'Løp 5'!$E$10:$E$90,'Løp 5'!$L$10:$L$90,0)</f>
        <v>0</v>
      </c>
      <c r="AH86" s="628">
        <f>_xlfn.XLOOKUP($E86,'Løp 6'!$E$10:$E$90,'Løp 6'!$M$10:$M$90,0)</f>
        <v>0</v>
      </c>
      <c r="AI86" s="629">
        <f>_xlfn.XLOOKUP($E86,'Løp 6'!$E$10:$E$90,'Løp 6'!$O$10:$O$90,0)</f>
        <v>0</v>
      </c>
      <c r="AJ86" s="629">
        <f>_xlfn.XLOOKUP($E86,'Løp 6'!$E$10:$E$90,'Løp 6'!$L$10:$L$90,0)</f>
        <v>0</v>
      </c>
      <c r="AK86" s="628">
        <f>_xlfn.XLOOKUP($E86,'Løp 7'!$E$10:$E$90,'Løp 7'!$M$10:$M$90,0)</f>
        <v>0</v>
      </c>
      <c r="AL86" s="629">
        <f>_xlfn.XLOOKUP($E86,'Løp 7'!$E$10:$E$90,'Løp 7'!$O$10:$O$90,0)</f>
        <v>0</v>
      </c>
      <c r="AM86" s="629">
        <f>_xlfn.XLOOKUP($E86,'Løp 7'!$E$10:$E$90,'Løp 7'!$L$10:$L$90,0)</f>
        <v>0</v>
      </c>
      <c r="AN86" s="628">
        <f>_xlfn.XLOOKUP($E86,'Løp 8'!$E$10:$E$91,'Løp 8'!$M$10:$M$91,0)</f>
        <v>0</v>
      </c>
      <c r="AO86" s="629">
        <f>_xlfn.XLOOKUP($E86,'Løp 8'!$E$10:$E$91,'Løp 8'!$O$10:$O$91,0)</f>
        <v>0</v>
      </c>
      <c r="AP86" s="629">
        <f>_xlfn.XLOOKUP($E86,'Løp 8'!$E$10:$E$91,'Løp 8'!$L$10:$L$91,0)</f>
        <v>0</v>
      </c>
      <c r="AQ86" s="628">
        <f>_xlfn.XLOOKUP($E86,'Løp 9'!$E$10:$E$91,'Løp 9'!$M$10:$M$91,0)</f>
        <v>0</v>
      </c>
      <c r="AR86" s="629">
        <f>_xlfn.XLOOKUP($E86,'Løp 9'!$E$10:$E$91,'Løp 9'!$O$10:$O$91,0)</f>
        <v>0</v>
      </c>
      <c r="AS86" s="629">
        <f>_xlfn.XLOOKUP($E86,'Løp 9'!$E$10:$E$91,'Løp 9'!$L$10:$L$91,0)</f>
        <v>0</v>
      </c>
      <c r="AT86" s="628">
        <f>_xlfn.XLOOKUP($E86,'Løp 10'!$E$10:$E$91,'Løp 10'!$M$10:$M$91,0)</f>
        <v>0</v>
      </c>
      <c r="AU86" s="629">
        <f>_xlfn.XLOOKUP($E86,'Løp 10'!$E$10:$E$91,'Løp 10'!$O$10:$O$91,0)</f>
        <v>0</v>
      </c>
      <c r="AV86" s="629">
        <f>_xlfn.XLOOKUP($E86,'Løp 10'!$E$10:$E$91,'Løp 10'!$L$10:$L$91,0)</f>
        <v>0</v>
      </c>
      <c r="AW86" s="628">
        <f>_xlfn.XLOOKUP($E86,'Løp 11'!$E$10:$E$91,'Løp 11'!$M$10:$M$91,0)</f>
        <v>0</v>
      </c>
      <c r="AX86" s="629">
        <f>_xlfn.XLOOKUP($E86,'Løp 11'!$E$10:$E$91,'Løp 11'!$O$10:$O$91,0)</f>
        <v>0</v>
      </c>
      <c r="AY86" s="629">
        <f>_xlfn.XLOOKUP($E86,'Løp 11'!$E$10:$E$91,'Løp 11'!$L$10:$L$91,0)</f>
        <v>0</v>
      </c>
      <c r="AZ86" s="628">
        <f>_xlfn.XLOOKUP($E86,'Løp 12'!$E$10:$E$91,'Løp 12'!$M$10:$M$91,0)</f>
        <v>0</v>
      </c>
      <c r="BA86" s="629">
        <f>_xlfn.XLOOKUP($E86,'Løp 12'!$E$10:$E$91,'Løp 12'!$O$10:$O$91,0)</f>
        <v>0</v>
      </c>
      <c r="BB86" s="629">
        <f>_xlfn.XLOOKUP($E86,'Løp 12'!$E$10:$E$91,'Løp 12'!$L$10:$L$91,0)</f>
        <v>0</v>
      </c>
      <c r="BC86" s="628">
        <f>_xlfn.XLOOKUP($E86,'Løp 13'!$E$10:$E$91,'Løp 13'!$M$10:$M$91,0)</f>
        <v>0</v>
      </c>
      <c r="BD86" s="629">
        <f>_xlfn.XLOOKUP($E86,'Løp 13'!$E$10:$E$91,'Løp 13'!$O$10:$O$91,0)</f>
        <v>0</v>
      </c>
      <c r="BE86" s="629">
        <f>_xlfn.XLOOKUP($E86,'Løp 13'!$E$10:$E$91,'Løp 13'!$L$10:$L$91,0)</f>
        <v>0</v>
      </c>
      <c r="BF86" s="628">
        <f>_xlfn.XLOOKUP($E86,'Løp 14'!$E$10:$E$91,'Løp 14'!$M$10:$M$91,0)</f>
        <v>0</v>
      </c>
      <c r="BG86" s="629">
        <f>_xlfn.XLOOKUP($E86,'Løp 14'!$E$10:$E$91,'Løp 14'!$O$10:$O$91,0)</f>
        <v>0</v>
      </c>
      <c r="BH86" s="629">
        <f>_xlfn.XLOOKUP($E86,'Løp 14'!$E$10:$E$91,'Løp 14'!$L$10:$L$91,0)</f>
        <v>0</v>
      </c>
      <c r="BI86" s="628">
        <f>_xlfn.XLOOKUP($E86,'Løp 15'!$E$10:$E$91,'Løp 15'!$M$10:$M$91,0)</f>
        <v>0</v>
      </c>
      <c r="BJ86" s="629">
        <f>_xlfn.XLOOKUP($E86,'Løp 15'!$E$10:$E$91,'Løp 15'!$O$10:$O$91,0)</f>
        <v>0</v>
      </c>
      <c r="BK86" s="629">
        <f>_xlfn.XLOOKUP($E86,'Løp 15'!$E$10:$E$91,'Løp 15'!$L$10:$L$91,0)</f>
        <v>0</v>
      </c>
      <c r="BL86" s="628">
        <f>_xlfn.XLOOKUP($E86,'Løp 16'!$E$10:$E$91,'Løp 16'!$M$10:$M$91,0)</f>
        <v>0</v>
      </c>
      <c r="BM86" s="629">
        <f>_xlfn.XLOOKUP($E86,'Løp 16'!$E$10:$E$91,'Løp 16'!$O$10:$O$91,0)</f>
        <v>0</v>
      </c>
      <c r="BN86" s="629">
        <f>_xlfn.XLOOKUP($E86,'Løp 16'!$E$10:$E$91,'Løp 16'!$L$10:$L$91,0)</f>
        <v>0</v>
      </c>
      <c r="BO86" s="628">
        <f>_xlfn.XLOOKUP($E86,'Løp 17'!$E$10:$E$91,'Løp 17'!$M$10:$M$91,0)</f>
        <v>0</v>
      </c>
      <c r="BP86" s="629">
        <f>_xlfn.XLOOKUP($E86,'Løp 17'!$E$10:$E$91,'Løp 17'!$O$10:$O$91,0)</f>
        <v>0</v>
      </c>
      <c r="BQ86" s="629">
        <f>_xlfn.XLOOKUP($E86,'Løp 17'!$E$10:$E$91,'Løp 17'!$L$10:$L$91,0)</f>
        <v>0</v>
      </c>
      <c r="BR86" s="628">
        <f>_xlfn.XLOOKUP($E86,'Løp 18'!$E$10:$E$91,'Løp 18'!$M$10:$M$91,0)</f>
        <v>0</v>
      </c>
      <c r="BS86" s="629">
        <f>_xlfn.XLOOKUP($E86,'Løp 18'!$E$10:$E$91,'Løp 18'!$O$10:$O$91,0)</f>
        <v>0</v>
      </c>
      <c r="BT86" s="629">
        <f>_xlfn.XLOOKUP($E86,'Løp 18'!$E$10:$E$91,'Løp 18'!$L$10:$L$91,0)</f>
        <v>0</v>
      </c>
      <c r="BU86" s="628">
        <f>_xlfn.XLOOKUP($E86,'Løp 19'!$E$10:$E$91,'Løp 19'!$M$10:$M$91,0)</f>
        <v>0</v>
      </c>
      <c r="BV86" s="629">
        <f>_xlfn.XLOOKUP($E86,'Løp 19'!$E$10:$E$91,'Løp 19'!$O$10:$O$91,0)</f>
        <v>0</v>
      </c>
      <c r="BW86" s="629">
        <f>_xlfn.XLOOKUP($E86,'Løp 19'!$E$10:$E$91,'Løp 19'!$L$10:$L$91,0)</f>
        <v>0</v>
      </c>
      <c r="BX86" s="628">
        <f>_xlfn.XLOOKUP($E86,'Løp 20'!$E$10:$E$92,'Løp 20'!$M$10:$M$92,0)</f>
        <v>0</v>
      </c>
      <c r="BY86" s="629">
        <f>_xlfn.XLOOKUP($E86,'Løp 20'!$E$10:$E$92,'Løp 20'!$O$10:$O$92,0)</f>
        <v>0</v>
      </c>
      <c r="BZ86" s="629">
        <f>_xlfn.XLOOKUP($E86,'Løp 20'!$E$10:$E$92,'Løp 20'!$L$10:$L$92,0)</f>
        <v>0</v>
      </c>
      <c r="CA86" s="628">
        <f>_xlfn.XLOOKUP($E86,'Løp 21'!$E$10:$E$93,'Løp 21'!$M$10:$M$93,0)</f>
        <v>0</v>
      </c>
      <c r="CB86" s="629">
        <f>_xlfn.XLOOKUP($E86,'Løp 21'!$E$10:$E$93,'Løp 21'!$O$10:$O$93,0)</f>
        <v>0</v>
      </c>
      <c r="CC86" s="629">
        <f>_xlfn.XLOOKUP($E86,'Løp 21'!$E$10:$E$93,'Løp 21'!$L$10:$L$93,0)</f>
        <v>0</v>
      </c>
      <c r="CD86" s="628">
        <f>_xlfn.XLOOKUP($E86,'Løp 22'!$E$10:$E$93,'Løp 22'!$M$10:$M$93,0)</f>
        <v>0</v>
      </c>
      <c r="CE86" s="629">
        <f>_xlfn.XLOOKUP($E86,'Løp 22'!$E$10:$E$93,'Løp 22'!$O$10:$O$93,0)</f>
        <v>0</v>
      </c>
      <c r="CF86" s="629">
        <f>_xlfn.XLOOKUP($E86,'Løp 22'!$E$10:$E$93,'Løp 22'!$L$10:$L$93,0)</f>
        <v>0</v>
      </c>
      <c r="CG86" s="628">
        <f>_xlfn.XLOOKUP($E86,'Løp 23'!$E$10:$E$93,'Løp 23'!$M$10:$M$93,0)</f>
        <v>0</v>
      </c>
      <c r="CH86" s="629">
        <f>_xlfn.XLOOKUP($E86,'Løp 23'!$E$10:$E$93,'Løp 23'!$O$10:$O$93,0)</f>
        <v>0</v>
      </c>
      <c r="CI86" s="629">
        <f>_xlfn.XLOOKUP($E86,'Løp 23'!$E$10:$E$93,'Løp 23'!$L$10:$L$93,0)</f>
        <v>0</v>
      </c>
      <c r="CJ86" s="628">
        <f>_xlfn.XLOOKUP($E86,'Løp 24'!$E$10:$E$93,'Løp 24'!$M$10:$M$93,0)</f>
        <v>0</v>
      </c>
      <c r="CK86" s="629">
        <f>_xlfn.XLOOKUP($E86,'Løp 24'!$E$10:$E$93,'Løp 24'!$O$10:$O$93,0)</f>
        <v>0</v>
      </c>
      <c r="CL86" s="629">
        <f>_xlfn.XLOOKUP($E86,'Løp 24'!$E$10:$E$93,'Løp 24'!$L$10:$L$93,0)</f>
        <v>0</v>
      </c>
      <c r="CM86" s="628">
        <f>_xlfn.XLOOKUP($E86,'Løp 25'!$E$10:$E$94,'Løp 25'!$M$10:$M$94,0)</f>
        <v>0</v>
      </c>
      <c r="CN86" s="629">
        <f>_xlfn.XLOOKUP($E86,'Løp 25'!$E$10:$E$94,'Løp 25'!$O$10:$O$94,0)</f>
        <v>0</v>
      </c>
      <c r="CO86" s="629">
        <f>_xlfn.XLOOKUP($E86,'Løp 25'!$E$10:$E$94,'Løp 25'!$L$10:$L$94,0)</f>
        <v>0</v>
      </c>
      <c r="CP86" s="628">
        <f>_xlfn.XLOOKUP($E86,'Løp 26'!$E$10:$E$94,'Løp 26'!$M$10:$M$94,0)</f>
        <v>0</v>
      </c>
      <c r="CQ86" s="629">
        <f>_xlfn.XLOOKUP($E86,'Løp 26'!$E$10:$E$94,'Løp 26'!$O$10:$O$94,0)</f>
        <v>0</v>
      </c>
      <c r="CR86" s="629">
        <f>_xlfn.XLOOKUP($E86,'Løp 26'!$E$10:$E$94,'Løp 26'!$L$10:$L$94,0)</f>
        <v>0</v>
      </c>
      <c r="CS86" s="628">
        <f>_xlfn.XLOOKUP($E86,'Løp 27'!$E$10:$E$94,'Løp 27'!$M$10:$M$94,0)</f>
        <v>0</v>
      </c>
      <c r="CT86" s="629">
        <f>_xlfn.XLOOKUP($E86,'Løp 27'!$E$10:$E$94,'Løp 27'!$O$10:$O$94,0)</f>
        <v>0</v>
      </c>
      <c r="CU86" s="629">
        <f>_xlfn.XLOOKUP($E86,'Løp 27'!$E$10:$E$94,'Løp 27'!$L$10:$L$94,0)</f>
        <v>0</v>
      </c>
      <c r="CV86" s="628">
        <f>_xlfn.XLOOKUP($E86,'Løp 28'!$E$10:$E$95,'Løp 28'!$M$10:$M$95,0)</f>
        <v>50</v>
      </c>
      <c r="CW86" s="629">
        <f>_xlfn.XLOOKUP($E86,'Løp 28'!$E$10:$E$95,'Løp 28'!$O$10:$O$95,0)</f>
        <v>65</v>
      </c>
      <c r="CX86" s="629">
        <f>_xlfn.XLOOKUP($E86,'Løp 28'!$E$10:$E$95,'Løp 28'!$L$10:$L$95,0)</f>
        <v>1.636574074074074E-2</v>
      </c>
      <c r="CY86" s="628">
        <f>_xlfn.XLOOKUP($E86,'Løp 29'!$E$10:$E$95,'Løp 29'!$M$10:$M$95,0)</f>
        <v>50</v>
      </c>
      <c r="CZ86" s="629">
        <f>_xlfn.XLOOKUP($E86,'Løp 29'!$E$10:$E$95,'Løp 29'!$O$10:$O$95,0)</f>
        <v>50</v>
      </c>
      <c r="DA86" s="629" t="str">
        <f>_xlfn.XLOOKUP($E86,'Løp 29'!$E$10:$E$95,'Løp 29'!$L$10:$L$95,0)</f>
        <v>Disk</v>
      </c>
    </row>
    <row r="87" spans="2:105" ht="26" customHeight="1" thickBot="1" x14ac:dyDescent="0.3">
      <c r="B87" s="627">
        <f t="shared" si="0"/>
        <v>78</v>
      </c>
      <c r="C87" s="119" t="s">
        <v>254</v>
      </c>
      <c r="D87" s="620" t="s">
        <v>255</v>
      </c>
      <c r="E87" s="616" t="str">
        <f>_xlfn.CONCAT(C87:D87)</f>
        <v>ArnfinnLangeland</v>
      </c>
      <c r="F87" s="610"/>
      <c r="G87" s="653">
        <f>COUNTIF(S87:DA87,"&gt;2")/2</f>
        <v>2</v>
      </c>
      <c r="H87" s="852">
        <f>COUNTIF(S87:DA87,"=Løype")+COUNTIF(S87:DA87,"Arr")</f>
        <v>0</v>
      </c>
      <c r="I87" s="610"/>
      <c r="J87" s="632">
        <f>S87+V87+Y87+AB87+AE87+AH87+AK87+AN87+AQ87+AT87+AW87+AZ87+BC87+BF87+BI87+BL87+BO87+BR87+BU87+BX87+CA87+CD87+CG87+CJ87+CM87+CP87+CS87+CV87+CY87</f>
        <v>100</v>
      </c>
      <c r="K87" s="633">
        <f>T87+W87+Z87+AC87+AF87+AI87+AL87+AO87+AR87+AU87+AX87+BA87+BD87+BG87+BJ87+BM87+BP87+BS87+BV87+BY87+CB87+CE87+CH87+CK87+CN87+CQ87+CT87+CW87+CZ87</f>
        <v>108</v>
      </c>
      <c r="L87" s="613"/>
      <c r="M87" s="658">
        <f>IF($G87&gt;0,J87/G87,0)</f>
        <v>50</v>
      </c>
      <c r="N87" s="659">
        <f>IF($G87&gt;0,K87/$G87,0)</f>
        <v>54</v>
      </c>
      <c r="O87" s="862"/>
      <c r="P87" s="874">
        <f>IF(AND($G87&gt;$Q$3-1,$G87-$H87&gt;0),M87,0)</f>
        <v>0</v>
      </c>
      <c r="Q87" s="875">
        <f>IF(AND($G87&gt;$Q$3-1,$G87-$H87&gt;0),N87,0)</f>
        <v>0</v>
      </c>
      <c r="R87" s="613"/>
      <c r="S87" s="628">
        <f>_xlfn.XLOOKUP($E87,'Løp 1'!$E$10:$E$90,'Løp 1'!$M$10:$M$90,0)</f>
        <v>0</v>
      </c>
      <c r="T87" s="629">
        <f>_xlfn.XLOOKUP($E87,'Løp 1'!$E$10:$E$90,'Løp 1'!$O$10:$O$90,0)</f>
        <v>0</v>
      </c>
      <c r="U87" s="629">
        <f>_xlfn.XLOOKUP($E87,'Løp 1'!$E$10:$E$90,'Løp 1'!$L$10:$L$90,0)</f>
        <v>0</v>
      </c>
      <c r="V87" s="628">
        <f>_xlfn.XLOOKUP($E87,'Løp 2'!$E$10:$E$90,'Løp 2'!$M$10:$M$90,0)</f>
        <v>0</v>
      </c>
      <c r="W87" s="629">
        <f>_xlfn.XLOOKUP($E87,'Løp 2'!$E$10:$E$90,'Løp 2'!$O$10:$O$90,0)</f>
        <v>0</v>
      </c>
      <c r="X87" s="629">
        <f>_xlfn.XLOOKUP($E87,'Løp 2'!$E$10:$E$90,'Løp 2'!$L$10:$L$90,0)</f>
        <v>0</v>
      </c>
      <c r="Y87" s="628">
        <f>_xlfn.XLOOKUP($E87,'Løp 3'!$E$10:$E$90,'Løp 3'!$M$10:$M$90,0)</f>
        <v>0</v>
      </c>
      <c r="Z87" s="629">
        <f>_xlfn.XLOOKUP($E87,'Løp 3'!$E$10:$E$90,'Løp 3'!$O$10:$O$90,0)</f>
        <v>0</v>
      </c>
      <c r="AA87" s="629">
        <f>_xlfn.XLOOKUP($E87,'Løp 3'!$E$10:$E$90,'Løp 3'!$L$10:$L$90,0)</f>
        <v>0</v>
      </c>
      <c r="AB87" s="628">
        <f>_xlfn.XLOOKUP($E87,'Løp 4'!$E$10:$E$90,'Løp 4'!$M$10:$M$90,0)</f>
        <v>0</v>
      </c>
      <c r="AC87" s="629">
        <f>_xlfn.XLOOKUP($E87,'Løp 4'!$E$10:$E$90,'Løp 4'!$O$10:$O$90,0)</f>
        <v>0</v>
      </c>
      <c r="AD87" s="629">
        <f>_xlfn.XLOOKUP($E87,'Løp 4'!$E$10:$E$90,'Løp 4'!$L$10:$L$90,0)</f>
        <v>0</v>
      </c>
      <c r="AE87" s="628">
        <f>_xlfn.XLOOKUP($E87,'Løp 5'!$E$10:$E$90,'Løp 5'!$M$10:$M$90,0)</f>
        <v>50</v>
      </c>
      <c r="AF87" s="629">
        <f>_xlfn.XLOOKUP($E87,'Løp 5'!$E$10:$E$90,'Løp 5'!$O$10:$O$90,0)</f>
        <v>58</v>
      </c>
      <c r="AG87" s="629">
        <f>_xlfn.XLOOKUP($E87,'Løp 5'!$E$10:$E$90,'Løp 5'!$L$10:$L$90,0)</f>
        <v>1.9726562499999999E-2</v>
      </c>
      <c r="AH87" s="628">
        <f>_xlfn.XLOOKUP($E87,'Løp 6'!$E$10:$E$90,'Løp 6'!$M$10:$M$90,0)</f>
        <v>0</v>
      </c>
      <c r="AI87" s="629">
        <f>_xlfn.XLOOKUP($E87,'Løp 6'!$E$10:$E$90,'Løp 6'!$O$10:$O$90,0)</f>
        <v>0</v>
      </c>
      <c r="AJ87" s="629">
        <f>_xlfn.XLOOKUP($E87,'Løp 6'!$E$10:$E$90,'Løp 6'!$L$10:$L$90,0)</f>
        <v>0</v>
      </c>
      <c r="AK87" s="628">
        <f>_xlfn.XLOOKUP($E87,'Løp 7'!$E$10:$E$90,'Løp 7'!$M$10:$M$90,0)</f>
        <v>0</v>
      </c>
      <c r="AL87" s="629">
        <f>_xlfn.XLOOKUP($E87,'Løp 7'!$E$10:$E$90,'Løp 7'!$O$10:$O$90,0)</f>
        <v>0</v>
      </c>
      <c r="AM87" s="629">
        <f>_xlfn.XLOOKUP($E87,'Løp 7'!$E$10:$E$90,'Løp 7'!$L$10:$L$90,0)</f>
        <v>0</v>
      </c>
      <c r="AN87" s="628">
        <f>_xlfn.XLOOKUP($E87,'Løp 8'!$E$10:$E$91,'Løp 8'!$M$10:$M$91,0)</f>
        <v>0</v>
      </c>
      <c r="AO87" s="629">
        <f>_xlfn.XLOOKUP($E87,'Løp 8'!$E$10:$E$91,'Løp 8'!$O$10:$O$91,0)</f>
        <v>0</v>
      </c>
      <c r="AP87" s="629">
        <f>_xlfn.XLOOKUP($E87,'Løp 8'!$E$10:$E$91,'Løp 8'!$L$10:$L$91,0)</f>
        <v>0</v>
      </c>
      <c r="AQ87" s="628">
        <f>_xlfn.XLOOKUP($E87,'Løp 9'!$E$10:$E$91,'Løp 9'!$M$10:$M$91,0)</f>
        <v>0</v>
      </c>
      <c r="AR87" s="629">
        <f>_xlfn.XLOOKUP($E87,'Løp 9'!$E$10:$E$91,'Løp 9'!$O$10:$O$91,0)</f>
        <v>0</v>
      </c>
      <c r="AS87" s="629">
        <f>_xlfn.XLOOKUP($E87,'Løp 9'!$E$10:$E$91,'Løp 9'!$L$10:$L$91,0)</f>
        <v>0</v>
      </c>
      <c r="AT87" s="628">
        <f>_xlfn.XLOOKUP($E87,'Løp 10'!$E$10:$E$91,'Løp 10'!$M$10:$M$91,0)</f>
        <v>0</v>
      </c>
      <c r="AU87" s="629">
        <f>_xlfn.XLOOKUP($E87,'Løp 10'!$E$10:$E$91,'Løp 10'!$O$10:$O$91,0)</f>
        <v>0</v>
      </c>
      <c r="AV87" s="629">
        <f>_xlfn.XLOOKUP($E87,'Løp 10'!$E$10:$E$91,'Løp 10'!$L$10:$L$91,0)</f>
        <v>0</v>
      </c>
      <c r="AW87" s="628">
        <f>_xlfn.XLOOKUP($E87,'Løp 11'!$E$10:$E$91,'Løp 11'!$M$10:$M$91,0)</f>
        <v>0</v>
      </c>
      <c r="AX87" s="629">
        <f>_xlfn.XLOOKUP($E87,'Løp 11'!$E$10:$E$91,'Løp 11'!$O$10:$O$91,0)</f>
        <v>0</v>
      </c>
      <c r="AY87" s="629">
        <f>_xlfn.XLOOKUP($E87,'Løp 11'!$E$10:$E$91,'Løp 11'!$L$10:$L$91,0)</f>
        <v>0</v>
      </c>
      <c r="AZ87" s="628">
        <f>_xlfn.XLOOKUP($E87,'Løp 12'!$E$10:$E$91,'Løp 12'!$M$10:$M$91,0)</f>
        <v>0</v>
      </c>
      <c r="BA87" s="629">
        <f>_xlfn.XLOOKUP($E87,'Løp 12'!$E$10:$E$91,'Løp 12'!$O$10:$O$91,0)</f>
        <v>0</v>
      </c>
      <c r="BB87" s="629">
        <f>_xlfn.XLOOKUP($E87,'Løp 12'!$E$10:$E$91,'Løp 12'!$L$10:$L$91,0)</f>
        <v>0</v>
      </c>
      <c r="BC87" s="628">
        <f>_xlfn.XLOOKUP($E87,'Løp 13'!$E$10:$E$91,'Løp 13'!$M$10:$M$91,0)</f>
        <v>0</v>
      </c>
      <c r="BD87" s="629">
        <f>_xlfn.XLOOKUP($E87,'Løp 13'!$E$10:$E$91,'Løp 13'!$O$10:$O$91,0)</f>
        <v>0</v>
      </c>
      <c r="BE87" s="629">
        <f>_xlfn.XLOOKUP($E87,'Løp 13'!$E$10:$E$91,'Løp 13'!$L$10:$L$91,0)</f>
        <v>0</v>
      </c>
      <c r="BF87" s="628">
        <f>_xlfn.XLOOKUP($E87,'Løp 14'!$E$10:$E$91,'Løp 14'!$M$10:$M$91,0)</f>
        <v>0</v>
      </c>
      <c r="BG87" s="629">
        <f>_xlfn.XLOOKUP($E87,'Løp 14'!$E$10:$E$91,'Løp 14'!$O$10:$O$91,0)</f>
        <v>0</v>
      </c>
      <c r="BH87" s="629">
        <f>_xlfn.XLOOKUP($E87,'Løp 14'!$E$10:$E$91,'Løp 14'!$L$10:$L$91,0)</f>
        <v>0</v>
      </c>
      <c r="BI87" s="628">
        <f>_xlfn.XLOOKUP($E87,'Løp 15'!$E$10:$E$91,'Løp 15'!$M$10:$M$91,0)</f>
        <v>0</v>
      </c>
      <c r="BJ87" s="629">
        <f>_xlfn.XLOOKUP($E87,'Løp 15'!$E$10:$E$91,'Løp 15'!$O$10:$O$91,0)</f>
        <v>0</v>
      </c>
      <c r="BK87" s="629">
        <f>_xlfn.XLOOKUP($E87,'Løp 15'!$E$10:$E$91,'Løp 15'!$L$10:$L$91,0)</f>
        <v>0</v>
      </c>
      <c r="BL87" s="628">
        <f>_xlfn.XLOOKUP($E87,'Løp 16'!$E$10:$E$91,'Løp 16'!$M$10:$M$91,0)</f>
        <v>0</v>
      </c>
      <c r="BM87" s="629">
        <f>_xlfn.XLOOKUP($E87,'Løp 16'!$E$10:$E$91,'Løp 16'!$O$10:$O$91,0)</f>
        <v>0</v>
      </c>
      <c r="BN87" s="629">
        <f>_xlfn.XLOOKUP($E87,'Løp 16'!$E$10:$E$91,'Løp 16'!$L$10:$L$91,0)</f>
        <v>0</v>
      </c>
      <c r="BO87" s="628">
        <f>_xlfn.XLOOKUP($E87,'Løp 17'!$E$10:$E$91,'Løp 17'!$M$10:$M$91,0)</f>
        <v>0</v>
      </c>
      <c r="BP87" s="629">
        <f>_xlfn.XLOOKUP($E87,'Løp 17'!$E$10:$E$91,'Løp 17'!$O$10:$O$91,0)</f>
        <v>0</v>
      </c>
      <c r="BQ87" s="629">
        <f>_xlfn.XLOOKUP($E87,'Løp 17'!$E$10:$E$91,'Løp 17'!$L$10:$L$91,0)</f>
        <v>0</v>
      </c>
      <c r="BR87" s="628">
        <f>_xlfn.XLOOKUP($E87,'Løp 18'!$E$10:$E$91,'Løp 18'!$M$10:$M$91,0)</f>
        <v>0</v>
      </c>
      <c r="BS87" s="629">
        <f>_xlfn.XLOOKUP($E87,'Løp 18'!$E$10:$E$91,'Løp 18'!$O$10:$O$91,0)</f>
        <v>0</v>
      </c>
      <c r="BT87" s="629">
        <f>_xlfn.XLOOKUP($E87,'Løp 18'!$E$10:$E$91,'Løp 18'!$L$10:$L$91,0)</f>
        <v>0</v>
      </c>
      <c r="BU87" s="628">
        <f>_xlfn.XLOOKUP($E87,'Løp 19'!$E$10:$E$91,'Løp 19'!$M$10:$M$91,0)</f>
        <v>0</v>
      </c>
      <c r="BV87" s="629">
        <f>_xlfn.XLOOKUP($E87,'Løp 19'!$E$10:$E$91,'Løp 19'!$O$10:$O$91,0)</f>
        <v>0</v>
      </c>
      <c r="BW87" s="629">
        <f>_xlfn.XLOOKUP($E87,'Løp 19'!$E$10:$E$91,'Løp 19'!$L$10:$L$91,0)</f>
        <v>0</v>
      </c>
      <c r="BX87" s="628">
        <f>_xlfn.XLOOKUP($E87,'Løp 20'!$E$10:$E$92,'Løp 20'!$M$10:$M$92,0)</f>
        <v>0</v>
      </c>
      <c r="BY87" s="629">
        <f>_xlfn.XLOOKUP($E87,'Løp 20'!$E$10:$E$92,'Løp 20'!$O$10:$O$92,0)</f>
        <v>0</v>
      </c>
      <c r="BZ87" s="629">
        <f>_xlfn.XLOOKUP($E87,'Løp 20'!$E$10:$E$92,'Løp 20'!$L$10:$L$92,0)</f>
        <v>0</v>
      </c>
      <c r="CA87" s="628">
        <f>_xlfn.XLOOKUP($E87,'Løp 21'!$E$10:$E$93,'Løp 21'!$M$10:$M$93,0)</f>
        <v>0</v>
      </c>
      <c r="CB87" s="629">
        <f>_xlfn.XLOOKUP($E87,'Løp 21'!$E$10:$E$93,'Løp 21'!$O$10:$O$93,0)</f>
        <v>0</v>
      </c>
      <c r="CC87" s="629">
        <f>_xlfn.XLOOKUP($E87,'Løp 21'!$E$10:$E$93,'Løp 21'!$L$10:$L$93,0)</f>
        <v>0</v>
      </c>
      <c r="CD87" s="628">
        <f>_xlfn.XLOOKUP($E87,'Løp 22'!$E$10:$E$93,'Løp 22'!$M$10:$M$93,0)</f>
        <v>0</v>
      </c>
      <c r="CE87" s="629">
        <f>_xlfn.XLOOKUP($E87,'Løp 22'!$E$10:$E$93,'Løp 22'!$O$10:$O$93,0)</f>
        <v>0</v>
      </c>
      <c r="CF87" s="629">
        <f>_xlfn.XLOOKUP($E87,'Løp 22'!$E$10:$E$93,'Løp 22'!$L$10:$L$93,0)</f>
        <v>0</v>
      </c>
      <c r="CG87" s="628">
        <f>_xlfn.XLOOKUP($E87,'Løp 23'!$E$10:$E$93,'Løp 23'!$M$10:$M$93,0)</f>
        <v>0</v>
      </c>
      <c r="CH87" s="629">
        <f>_xlfn.XLOOKUP($E87,'Løp 23'!$E$10:$E$93,'Løp 23'!$O$10:$O$93,0)</f>
        <v>0</v>
      </c>
      <c r="CI87" s="629">
        <f>_xlfn.XLOOKUP($E87,'Løp 23'!$E$10:$E$93,'Løp 23'!$L$10:$L$93,0)</f>
        <v>0</v>
      </c>
      <c r="CJ87" s="628">
        <f>_xlfn.XLOOKUP($E87,'Løp 24'!$E$10:$E$93,'Løp 24'!$M$10:$M$93,0)</f>
        <v>50</v>
      </c>
      <c r="CK87" s="629">
        <f>_xlfn.XLOOKUP($E87,'Løp 24'!$E$10:$E$93,'Løp 24'!$O$10:$O$93,0)</f>
        <v>50</v>
      </c>
      <c r="CL87" s="629" t="str">
        <f>_xlfn.XLOOKUP($E87,'Løp 24'!$E$10:$E$93,'Løp 24'!$L$10:$L$93,0)</f>
        <v>Brutt</v>
      </c>
      <c r="CM87" s="628">
        <f>_xlfn.XLOOKUP($E87,'Løp 25'!$E$10:$E$94,'Løp 25'!$M$10:$M$94,0)</f>
        <v>0</v>
      </c>
      <c r="CN87" s="629">
        <f>_xlfn.XLOOKUP($E87,'Løp 25'!$E$10:$E$94,'Løp 25'!$O$10:$O$94,0)</f>
        <v>0</v>
      </c>
      <c r="CO87" s="629">
        <f>_xlfn.XLOOKUP($E87,'Løp 25'!$E$10:$E$94,'Løp 25'!$L$10:$L$94,0)</f>
        <v>0</v>
      </c>
      <c r="CP87" s="628">
        <f>_xlfn.XLOOKUP($E87,'Løp 26'!$E$10:$E$94,'Løp 26'!$M$10:$M$94,0)</f>
        <v>0</v>
      </c>
      <c r="CQ87" s="629">
        <f>_xlfn.XLOOKUP($E87,'Løp 26'!$E$10:$E$94,'Løp 26'!$O$10:$O$94,0)</f>
        <v>0</v>
      </c>
      <c r="CR87" s="629">
        <f>_xlfn.XLOOKUP($E87,'Løp 26'!$E$10:$E$94,'Løp 26'!$L$10:$L$94,0)</f>
        <v>0</v>
      </c>
      <c r="CS87" s="628">
        <f>_xlfn.XLOOKUP($E87,'Løp 27'!$E$10:$E$94,'Løp 27'!$M$10:$M$94,0)</f>
        <v>0</v>
      </c>
      <c r="CT87" s="629">
        <f>_xlfn.XLOOKUP($E87,'Løp 27'!$E$10:$E$94,'Løp 27'!$O$10:$O$94,0)</f>
        <v>0</v>
      </c>
      <c r="CU87" s="629">
        <f>_xlfn.XLOOKUP($E87,'Løp 27'!$E$10:$E$94,'Løp 27'!$L$10:$L$94,0)</f>
        <v>0</v>
      </c>
      <c r="CV87" s="628">
        <f>_xlfn.XLOOKUP($E87,'Løp 28'!$E$10:$E$95,'Løp 28'!$M$10:$M$95,0)</f>
        <v>0</v>
      </c>
      <c r="CW87" s="629">
        <f>_xlfn.XLOOKUP($E87,'Løp 28'!$E$10:$E$95,'Løp 28'!$O$10:$O$95,0)</f>
        <v>0</v>
      </c>
      <c r="CX87" s="629">
        <f>_xlfn.XLOOKUP($E87,'Løp 28'!$E$10:$E$95,'Løp 28'!$L$10:$L$95,0)</f>
        <v>0</v>
      </c>
      <c r="CY87" s="628">
        <f>_xlfn.XLOOKUP($E87,'Løp 29'!$E$10:$E$95,'Løp 29'!$M$10:$M$95,0)</f>
        <v>0</v>
      </c>
      <c r="CZ87" s="629">
        <f>_xlfn.XLOOKUP($E87,'Løp 29'!$E$10:$E$95,'Løp 29'!$O$10:$O$95,0)</f>
        <v>0</v>
      </c>
      <c r="DA87" s="629">
        <f>_xlfn.XLOOKUP($E87,'Løp 29'!$E$10:$E$95,'Løp 29'!$L$10:$L$95,0)</f>
        <v>0</v>
      </c>
    </row>
    <row r="88" spans="2:105" ht="26" thickBot="1" x14ac:dyDescent="0.3">
      <c r="B88" s="627">
        <f t="shared" si="0"/>
        <v>79</v>
      </c>
      <c r="C88" s="123" t="s">
        <v>84</v>
      </c>
      <c r="D88" s="621" t="s">
        <v>85</v>
      </c>
      <c r="E88" s="616" t="str">
        <f>_xlfn.CONCAT(C88:D88)</f>
        <v>PaulForseth</v>
      </c>
      <c r="F88" s="610"/>
      <c r="G88" s="653">
        <f>COUNTIF(S88:DA88,"&gt;2")/2</f>
        <v>1</v>
      </c>
      <c r="H88" s="852">
        <f>COUNTIF(S88:DA88,"=Løype")+COUNTIF(S88:DA88,"Arr")</f>
        <v>0</v>
      </c>
      <c r="I88" s="610"/>
      <c r="J88" s="632">
        <f>S88+V88+Y88+AB88+AE88+AH88+AK88+AN88+AQ88+AT88+AW88+AZ88+BC88+BF88+BI88+BL88+BO88+BR88+BU88+BX88+CA88+CD88+CG88+CJ88+CM88+CP88+CS88+CV88+CY88</f>
        <v>50</v>
      </c>
      <c r="K88" s="633">
        <f>T88+W88+Z88+AC88+AF88+AI88+AL88+AO88+AR88+AU88+AX88+BA88+BD88+BG88+BJ88+BM88+BP88+BS88+BV88+BY88+CB88+CE88+CH88+CK88+CN88+CQ88+CT88+CW88+CZ88</f>
        <v>52</v>
      </c>
      <c r="L88" s="613"/>
      <c r="M88" s="658">
        <f>IF($G88&gt;0,J88/G88,0)</f>
        <v>50</v>
      </c>
      <c r="N88" s="659">
        <f>IF($G88&gt;0,K88/$G88,0)</f>
        <v>52</v>
      </c>
      <c r="O88" s="862"/>
      <c r="P88" s="874">
        <f>IF(AND($G88&gt;$Q$3-1,$G88-$H88&gt;0),M88,0)</f>
        <v>0</v>
      </c>
      <c r="Q88" s="875">
        <f>IF(AND($G88&gt;$Q$3-1,$G88-$H88&gt;0),N88,0)</f>
        <v>0</v>
      </c>
      <c r="R88" s="613"/>
      <c r="S88" s="628">
        <f>_xlfn.XLOOKUP($E88,'Løp 1'!$E$10:$E$90,'Løp 1'!$M$10:$M$90,0)</f>
        <v>0</v>
      </c>
      <c r="T88" s="629">
        <f>_xlfn.XLOOKUP($E88,'Løp 1'!$E$10:$E$90,'Løp 1'!$O$10:$O$90,0)</f>
        <v>0</v>
      </c>
      <c r="U88" s="629">
        <f>_xlfn.XLOOKUP($E88,'Løp 1'!$E$10:$E$90,'Løp 1'!$L$10:$L$90,0)</f>
        <v>0</v>
      </c>
      <c r="V88" s="628">
        <f>_xlfn.XLOOKUP($E88,'Løp 2'!$E$10:$E$90,'Løp 2'!$M$10:$M$90,0)</f>
        <v>0</v>
      </c>
      <c r="W88" s="629">
        <f>_xlfn.XLOOKUP($E88,'Løp 2'!$E$10:$E$90,'Løp 2'!$O$10:$O$90,0)</f>
        <v>0</v>
      </c>
      <c r="X88" s="629">
        <f>_xlfn.XLOOKUP($E88,'Løp 2'!$E$10:$E$90,'Løp 2'!$L$10:$L$90,0)</f>
        <v>0</v>
      </c>
      <c r="Y88" s="628">
        <f>_xlfn.XLOOKUP($E88,'Løp 3'!$E$10:$E$90,'Løp 3'!$M$10:$M$90,0)</f>
        <v>0</v>
      </c>
      <c r="Z88" s="629">
        <f>_xlfn.XLOOKUP($E88,'Løp 3'!$E$10:$E$90,'Løp 3'!$O$10:$O$90,0)</f>
        <v>0</v>
      </c>
      <c r="AA88" s="629">
        <f>_xlfn.XLOOKUP($E88,'Løp 3'!$E$10:$E$90,'Løp 3'!$L$10:$L$90,0)</f>
        <v>0</v>
      </c>
      <c r="AB88" s="628">
        <f>_xlfn.XLOOKUP($E88,'Løp 4'!$E$10:$E$90,'Løp 4'!$M$10:$M$90,0)</f>
        <v>0</v>
      </c>
      <c r="AC88" s="629">
        <f>_xlfn.XLOOKUP($E88,'Løp 4'!$E$10:$E$90,'Løp 4'!$O$10:$O$90,0)</f>
        <v>0</v>
      </c>
      <c r="AD88" s="629">
        <f>_xlfn.XLOOKUP($E88,'Løp 4'!$E$10:$E$90,'Løp 4'!$L$10:$L$90,0)</f>
        <v>0</v>
      </c>
      <c r="AE88" s="628">
        <f>_xlfn.XLOOKUP($E88,'Løp 5'!$E$10:$E$90,'Løp 5'!$M$10:$M$90,0)</f>
        <v>0</v>
      </c>
      <c r="AF88" s="629">
        <f>_xlfn.XLOOKUP($E88,'Løp 5'!$E$10:$E$90,'Løp 5'!$O$10:$O$90,0)</f>
        <v>0</v>
      </c>
      <c r="AG88" s="629">
        <f>_xlfn.XLOOKUP($E88,'Løp 5'!$E$10:$E$90,'Løp 5'!$L$10:$L$90,0)</f>
        <v>0</v>
      </c>
      <c r="AH88" s="628">
        <f>_xlfn.XLOOKUP($E88,'Løp 6'!$E$10:$E$90,'Løp 6'!$M$10:$M$90,0)</f>
        <v>0</v>
      </c>
      <c r="AI88" s="629">
        <f>_xlfn.XLOOKUP($E88,'Løp 6'!$E$10:$E$90,'Løp 6'!$O$10:$O$90,0)</f>
        <v>0</v>
      </c>
      <c r="AJ88" s="629">
        <f>_xlfn.XLOOKUP($E88,'Løp 6'!$E$10:$E$90,'Løp 6'!$L$10:$L$90,0)</f>
        <v>0</v>
      </c>
      <c r="AK88" s="628">
        <f>_xlfn.XLOOKUP($E88,'Løp 7'!$E$10:$E$90,'Løp 7'!$M$10:$M$90,0)</f>
        <v>0</v>
      </c>
      <c r="AL88" s="629">
        <f>_xlfn.XLOOKUP($E88,'Løp 7'!$E$10:$E$90,'Løp 7'!$O$10:$O$90,0)</f>
        <v>0</v>
      </c>
      <c r="AM88" s="629">
        <f>_xlfn.XLOOKUP($E88,'Løp 7'!$E$10:$E$90,'Løp 7'!$L$10:$L$90,0)</f>
        <v>0</v>
      </c>
      <c r="AN88" s="628">
        <f>_xlfn.XLOOKUP($E88,'Løp 8'!$E$10:$E$91,'Løp 8'!$M$10:$M$91,0)</f>
        <v>0</v>
      </c>
      <c r="AO88" s="629">
        <f>_xlfn.XLOOKUP($E88,'Løp 8'!$E$10:$E$91,'Løp 8'!$O$10:$O$91,0)</f>
        <v>0</v>
      </c>
      <c r="AP88" s="629">
        <f>_xlfn.XLOOKUP($E88,'Løp 8'!$E$10:$E$91,'Løp 8'!$L$10:$L$91,0)</f>
        <v>0</v>
      </c>
      <c r="AQ88" s="628">
        <f>_xlfn.XLOOKUP($E88,'Løp 9'!$E$10:$E$91,'Løp 9'!$M$10:$M$91,0)</f>
        <v>0</v>
      </c>
      <c r="AR88" s="629">
        <f>_xlfn.XLOOKUP($E88,'Løp 9'!$E$10:$E$91,'Løp 9'!$O$10:$O$91,0)</f>
        <v>0</v>
      </c>
      <c r="AS88" s="629">
        <f>_xlfn.XLOOKUP($E88,'Løp 9'!$E$10:$E$91,'Løp 9'!$L$10:$L$91,0)</f>
        <v>0</v>
      </c>
      <c r="AT88" s="628">
        <f>_xlfn.XLOOKUP($E88,'Løp 10'!$E$10:$E$91,'Løp 10'!$M$10:$M$91,0)</f>
        <v>0</v>
      </c>
      <c r="AU88" s="629">
        <f>_xlfn.XLOOKUP($E88,'Løp 10'!$E$10:$E$91,'Løp 10'!$O$10:$O$91,0)</f>
        <v>0</v>
      </c>
      <c r="AV88" s="629">
        <f>_xlfn.XLOOKUP($E88,'Løp 10'!$E$10:$E$91,'Løp 10'!$L$10:$L$91,0)</f>
        <v>0</v>
      </c>
      <c r="AW88" s="628">
        <f>_xlfn.XLOOKUP($E88,'Løp 11'!$E$10:$E$91,'Løp 11'!$M$10:$M$91,0)</f>
        <v>0</v>
      </c>
      <c r="AX88" s="629">
        <f>_xlfn.XLOOKUP($E88,'Løp 11'!$E$10:$E$91,'Løp 11'!$O$10:$O$91,0)</f>
        <v>0</v>
      </c>
      <c r="AY88" s="629">
        <f>_xlfn.XLOOKUP($E88,'Løp 11'!$E$10:$E$91,'Løp 11'!$L$10:$L$91,0)</f>
        <v>0</v>
      </c>
      <c r="AZ88" s="628">
        <f>_xlfn.XLOOKUP($E88,'Løp 12'!$E$10:$E$91,'Løp 12'!$M$10:$M$91,0)</f>
        <v>0</v>
      </c>
      <c r="BA88" s="629">
        <f>_xlfn.XLOOKUP($E88,'Løp 12'!$E$10:$E$91,'Løp 12'!$O$10:$O$91,0)</f>
        <v>0</v>
      </c>
      <c r="BB88" s="629">
        <f>_xlfn.XLOOKUP($E88,'Løp 12'!$E$10:$E$91,'Løp 12'!$L$10:$L$91,0)</f>
        <v>0</v>
      </c>
      <c r="BC88" s="628">
        <f>_xlfn.XLOOKUP($E88,'Løp 13'!$E$10:$E$91,'Løp 13'!$M$10:$M$91,0)</f>
        <v>0</v>
      </c>
      <c r="BD88" s="629">
        <f>_xlfn.XLOOKUP($E88,'Løp 13'!$E$10:$E$91,'Løp 13'!$O$10:$O$91,0)</f>
        <v>0</v>
      </c>
      <c r="BE88" s="629">
        <f>_xlfn.XLOOKUP($E88,'Løp 13'!$E$10:$E$91,'Løp 13'!$L$10:$L$91,0)</f>
        <v>0</v>
      </c>
      <c r="BF88" s="628">
        <f>_xlfn.XLOOKUP($E88,'Løp 14'!$E$10:$E$91,'Løp 14'!$M$10:$M$91,0)</f>
        <v>0</v>
      </c>
      <c r="BG88" s="629">
        <f>_xlfn.XLOOKUP($E88,'Løp 14'!$E$10:$E$91,'Løp 14'!$O$10:$O$91,0)</f>
        <v>0</v>
      </c>
      <c r="BH88" s="629">
        <f>_xlfn.XLOOKUP($E88,'Løp 14'!$E$10:$E$91,'Løp 14'!$L$10:$L$91,0)</f>
        <v>0</v>
      </c>
      <c r="BI88" s="628">
        <f>_xlfn.XLOOKUP($E88,'Løp 15'!$E$10:$E$91,'Løp 15'!$M$10:$M$91,0)</f>
        <v>0</v>
      </c>
      <c r="BJ88" s="629">
        <f>_xlfn.XLOOKUP($E88,'Løp 15'!$E$10:$E$91,'Løp 15'!$O$10:$O$91,0)</f>
        <v>0</v>
      </c>
      <c r="BK88" s="629">
        <f>_xlfn.XLOOKUP($E88,'Løp 15'!$E$10:$E$91,'Løp 15'!$L$10:$L$91,0)</f>
        <v>0</v>
      </c>
      <c r="BL88" s="628">
        <f>_xlfn.XLOOKUP($E88,'Løp 16'!$E$10:$E$91,'Løp 16'!$M$10:$M$91,0)</f>
        <v>0</v>
      </c>
      <c r="BM88" s="629">
        <f>_xlfn.XLOOKUP($E88,'Løp 16'!$E$10:$E$91,'Løp 16'!$O$10:$O$91,0)</f>
        <v>0</v>
      </c>
      <c r="BN88" s="629">
        <f>_xlfn.XLOOKUP($E88,'Løp 16'!$E$10:$E$91,'Løp 16'!$L$10:$L$91,0)</f>
        <v>0</v>
      </c>
      <c r="BO88" s="628">
        <f>_xlfn.XLOOKUP($E88,'Løp 17'!$E$10:$E$91,'Løp 17'!$M$10:$M$91,0)</f>
        <v>0</v>
      </c>
      <c r="BP88" s="629">
        <f>_xlfn.XLOOKUP($E88,'Løp 17'!$E$10:$E$91,'Løp 17'!$O$10:$O$91,0)</f>
        <v>0</v>
      </c>
      <c r="BQ88" s="629">
        <f>_xlfn.XLOOKUP($E88,'Løp 17'!$E$10:$E$91,'Løp 17'!$L$10:$L$91,0)</f>
        <v>0</v>
      </c>
      <c r="BR88" s="628">
        <f>_xlfn.XLOOKUP($E88,'Løp 18'!$E$10:$E$91,'Løp 18'!$M$10:$M$91,0)</f>
        <v>0</v>
      </c>
      <c r="BS88" s="629">
        <f>_xlfn.XLOOKUP($E88,'Løp 18'!$E$10:$E$91,'Løp 18'!$O$10:$O$91,0)</f>
        <v>0</v>
      </c>
      <c r="BT88" s="629">
        <f>_xlfn.XLOOKUP($E88,'Løp 18'!$E$10:$E$91,'Løp 18'!$L$10:$L$91,0)</f>
        <v>0</v>
      </c>
      <c r="BU88" s="628">
        <f>_xlfn.XLOOKUP($E88,'Løp 19'!$E$10:$E$91,'Løp 19'!$M$10:$M$91,0)</f>
        <v>0</v>
      </c>
      <c r="BV88" s="629">
        <f>_xlfn.XLOOKUP($E88,'Løp 19'!$E$10:$E$91,'Løp 19'!$O$10:$O$91,0)</f>
        <v>0</v>
      </c>
      <c r="BW88" s="629">
        <f>_xlfn.XLOOKUP($E88,'Løp 19'!$E$10:$E$91,'Løp 19'!$L$10:$L$91,0)</f>
        <v>0</v>
      </c>
      <c r="BX88" s="628">
        <f>_xlfn.XLOOKUP($E88,'Løp 20'!$E$10:$E$92,'Løp 20'!$M$10:$M$92,0)</f>
        <v>0</v>
      </c>
      <c r="BY88" s="629">
        <f>_xlfn.XLOOKUP($E88,'Løp 20'!$E$10:$E$92,'Løp 20'!$O$10:$O$92,0)</f>
        <v>0</v>
      </c>
      <c r="BZ88" s="629">
        <f>_xlfn.XLOOKUP($E88,'Løp 20'!$E$10:$E$92,'Løp 20'!$L$10:$L$92,0)</f>
        <v>0</v>
      </c>
      <c r="CA88" s="628">
        <f>_xlfn.XLOOKUP($E88,'Løp 21'!$E$10:$E$93,'Løp 21'!$M$10:$M$93,0)</f>
        <v>0</v>
      </c>
      <c r="CB88" s="629">
        <f>_xlfn.XLOOKUP($E88,'Løp 21'!$E$10:$E$93,'Løp 21'!$O$10:$O$93,0)</f>
        <v>0</v>
      </c>
      <c r="CC88" s="629">
        <f>_xlfn.XLOOKUP($E88,'Løp 21'!$E$10:$E$93,'Løp 21'!$L$10:$L$93,0)</f>
        <v>0</v>
      </c>
      <c r="CD88" s="628">
        <f>_xlfn.XLOOKUP($E88,'Løp 22'!$E$10:$E$93,'Løp 22'!$M$10:$M$93,0)</f>
        <v>0</v>
      </c>
      <c r="CE88" s="629">
        <f>_xlfn.XLOOKUP($E88,'Løp 22'!$E$10:$E$93,'Løp 22'!$O$10:$O$93,0)</f>
        <v>0</v>
      </c>
      <c r="CF88" s="629">
        <f>_xlfn.XLOOKUP($E88,'Løp 22'!$E$10:$E$93,'Løp 22'!$L$10:$L$93,0)</f>
        <v>0</v>
      </c>
      <c r="CG88" s="628">
        <f>_xlfn.XLOOKUP($E88,'Løp 23'!$E$10:$E$93,'Løp 23'!$M$10:$M$93,0)</f>
        <v>0</v>
      </c>
      <c r="CH88" s="629">
        <f>_xlfn.XLOOKUP($E88,'Løp 23'!$E$10:$E$93,'Løp 23'!$O$10:$O$93,0)</f>
        <v>0</v>
      </c>
      <c r="CI88" s="629">
        <f>_xlfn.XLOOKUP($E88,'Løp 23'!$E$10:$E$93,'Løp 23'!$L$10:$L$93,0)</f>
        <v>0</v>
      </c>
      <c r="CJ88" s="628">
        <f>_xlfn.XLOOKUP($E88,'Løp 24'!$E$10:$E$93,'Løp 24'!$M$10:$M$93,0)</f>
        <v>0</v>
      </c>
      <c r="CK88" s="629">
        <f>_xlfn.XLOOKUP($E88,'Løp 24'!$E$10:$E$93,'Løp 24'!$O$10:$O$93,0)</f>
        <v>0</v>
      </c>
      <c r="CL88" s="629">
        <f>_xlfn.XLOOKUP($E88,'Løp 24'!$E$10:$E$93,'Løp 24'!$L$10:$L$93,0)</f>
        <v>0</v>
      </c>
      <c r="CM88" s="628">
        <f>_xlfn.XLOOKUP($E88,'Løp 25'!$E$10:$E$94,'Løp 25'!$M$10:$M$94,0)</f>
        <v>0</v>
      </c>
      <c r="CN88" s="629">
        <f>_xlfn.XLOOKUP($E88,'Løp 25'!$E$10:$E$94,'Løp 25'!$O$10:$O$94,0)</f>
        <v>0</v>
      </c>
      <c r="CO88" s="629">
        <f>_xlfn.XLOOKUP($E88,'Løp 25'!$E$10:$E$94,'Løp 25'!$L$10:$L$94,0)</f>
        <v>0</v>
      </c>
      <c r="CP88" s="628">
        <f>_xlfn.XLOOKUP($E88,'Løp 26'!$E$10:$E$94,'Løp 26'!$M$10:$M$94,0)</f>
        <v>0</v>
      </c>
      <c r="CQ88" s="629">
        <f>_xlfn.XLOOKUP($E88,'Løp 26'!$E$10:$E$94,'Løp 26'!$O$10:$O$94,0)</f>
        <v>0</v>
      </c>
      <c r="CR88" s="629">
        <f>_xlfn.XLOOKUP($E88,'Løp 26'!$E$10:$E$94,'Løp 26'!$L$10:$L$94,0)</f>
        <v>0</v>
      </c>
      <c r="CS88" s="628">
        <f>_xlfn.XLOOKUP($E88,'Løp 27'!$E$10:$E$94,'Løp 27'!$M$10:$M$94,0)</f>
        <v>0</v>
      </c>
      <c r="CT88" s="629">
        <f>_xlfn.XLOOKUP($E88,'Løp 27'!$E$10:$E$94,'Løp 27'!$O$10:$O$94,0)</f>
        <v>0</v>
      </c>
      <c r="CU88" s="629">
        <f>_xlfn.XLOOKUP($E88,'Løp 27'!$E$10:$E$94,'Løp 27'!$L$10:$L$94,0)</f>
        <v>0</v>
      </c>
      <c r="CV88" s="628">
        <f>_xlfn.XLOOKUP($E88,'Løp 28'!$E$10:$E$95,'Løp 28'!$M$10:$M$95,0)</f>
        <v>0</v>
      </c>
      <c r="CW88" s="629">
        <f>_xlfn.XLOOKUP($E88,'Løp 28'!$E$10:$E$95,'Løp 28'!$O$10:$O$95,0)</f>
        <v>0</v>
      </c>
      <c r="CX88" s="629">
        <f>_xlfn.XLOOKUP($E88,'Løp 28'!$E$10:$E$95,'Løp 28'!$L$10:$L$95,0)</f>
        <v>0</v>
      </c>
      <c r="CY88" s="628">
        <f>_xlfn.XLOOKUP($E88,'Løp 29'!$E$10:$E$95,'Løp 29'!$M$10:$M$95,0)</f>
        <v>50</v>
      </c>
      <c r="CZ88" s="629">
        <f>_xlfn.XLOOKUP($E88,'Løp 29'!$E$10:$E$95,'Løp 29'!$O$10:$O$95,0)</f>
        <v>52</v>
      </c>
      <c r="DA88" s="629">
        <f>_xlfn.XLOOKUP($E88,'Løp 29'!$E$10:$E$95,'Løp 29'!$L$10:$L$95,0)</f>
        <v>2.6056134259259255E-2</v>
      </c>
    </row>
    <row r="89" spans="2:105" ht="26" customHeight="1" thickBot="1" x14ac:dyDescent="0.3">
      <c r="B89" s="627">
        <f t="shared" si="0"/>
        <v>80</v>
      </c>
      <c r="C89" s="123" t="s">
        <v>402</v>
      </c>
      <c r="D89" s="621" t="s">
        <v>403</v>
      </c>
      <c r="E89" s="616" t="str">
        <f>_xlfn.CONCAT(C89:D89)</f>
        <v>BørgeNordli</v>
      </c>
      <c r="F89" s="610"/>
      <c r="G89" s="653">
        <f>COUNTIF(S89:DA89,"&gt;2")/2</f>
        <v>1</v>
      </c>
      <c r="H89" s="852">
        <f>COUNTIF(S89:DA89,"=Løype")+COUNTIF(S89:DA89,"Arr")</f>
        <v>0</v>
      </c>
      <c r="I89" s="610"/>
      <c r="J89" s="632">
        <f>S89+V89+Y89+AB89+AE89+AH89+AK89+AN89+AQ89+AT89+AW89+AZ89+BC89+BF89+BI89+BL89+BO89+BR89+BU89+BX89+CA89+CD89+CG89+CJ89+CM89+CP89+CS89+CV89+CY89</f>
        <v>83</v>
      </c>
      <c r="K89" s="633">
        <f>T89+W89+Z89+AC89+AF89+AI89+AL89+AO89+AR89+AU89+AX89+BA89+BD89+BG89+BJ89+BM89+BP89+BS89+BV89+BY89+CB89+CE89+CH89+CK89+CN89+CQ89+CT89+CW89+CZ89</f>
        <v>52</v>
      </c>
      <c r="L89" s="613"/>
      <c r="M89" s="658">
        <f>IF($G89&gt;0,J89/G89,0)</f>
        <v>83</v>
      </c>
      <c r="N89" s="659">
        <f>IF($G89&gt;0,K89/$G89,0)</f>
        <v>52</v>
      </c>
      <c r="O89" s="862"/>
      <c r="P89" s="874">
        <f>IF(AND($G89&gt;$Q$3-1,$G89-$H89&gt;0),M89,0)</f>
        <v>0</v>
      </c>
      <c r="Q89" s="875">
        <f>IF(AND($G89&gt;$Q$3-1,$G89-$H89&gt;0),N89,0)</f>
        <v>0</v>
      </c>
      <c r="R89" s="613"/>
      <c r="S89" s="628">
        <f>_xlfn.XLOOKUP($E89,'Løp 1'!$E$10:$E$90,'Løp 1'!$M$10:$M$90,0)</f>
        <v>0</v>
      </c>
      <c r="T89" s="629">
        <f>_xlfn.XLOOKUP($E89,'Løp 1'!$E$10:$E$90,'Løp 1'!$O$10:$O$90,0)</f>
        <v>0</v>
      </c>
      <c r="U89" s="629">
        <f>_xlfn.XLOOKUP($E89,'Løp 1'!$E$10:$E$90,'Løp 1'!$L$10:$L$90,0)</f>
        <v>0</v>
      </c>
      <c r="V89" s="628">
        <f>_xlfn.XLOOKUP($E89,'Løp 2'!$E$10:$E$90,'Løp 2'!$M$10:$M$90,0)</f>
        <v>0</v>
      </c>
      <c r="W89" s="629">
        <f>_xlfn.XLOOKUP($E89,'Løp 2'!$E$10:$E$90,'Løp 2'!$O$10:$O$90,0)</f>
        <v>0</v>
      </c>
      <c r="X89" s="629">
        <f>_xlfn.XLOOKUP($E89,'Løp 2'!$E$10:$E$90,'Løp 2'!$L$10:$L$90,0)</f>
        <v>0</v>
      </c>
      <c r="Y89" s="628">
        <f>_xlfn.XLOOKUP($E89,'Løp 3'!$E$10:$E$90,'Løp 3'!$M$10:$M$90,0)</f>
        <v>0</v>
      </c>
      <c r="Z89" s="629">
        <f>_xlfn.XLOOKUP($E89,'Løp 3'!$E$10:$E$90,'Løp 3'!$O$10:$O$90,0)</f>
        <v>0</v>
      </c>
      <c r="AA89" s="629">
        <f>_xlfn.XLOOKUP($E89,'Løp 3'!$E$10:$E$90,'Løp 3'!$L$10:$L$90,0)</f>
        <v>0</v>
      </c>
      <c r="AB89" s="628">
        <f>_xlfn.XLOOKUP($E89,'Løp 4'!$E$10:$E$90,'Løp 4'!$M$10:$M$90,0)</f>
        <v>0</v>
      </c>
      <c r="AC89" s="629">
        <f>_xlfn.XLOOKUP($E89,'Løp 4'!$E$10:$E$90,'Løp 4'!$O$10:$O$90,0)</f>
        <v>0</v>
      </c>
      <c r="AD89" s="629">
        <f>_xlfn.XLOOKUP($E89,'Løp 4'!$E$10:$E$90,'Løp 4'!$L$10:$L$90,0)</f>
        <v>0</v>
      </c>
      <c r="AE89" s="628">
        <f>_xlfn.XLOOKUP($E89,'Løp 5'!$E$10:$E$90,'Løp 5'!$M$10:$M$90,0)</f>
        <v>0</v>
      </c>
      <c r="AF89" s="629">
        <f>_xlfn.XLOOKUP($E89,'Løp 5'!$E$10:$E$90,'Løp 5'!$O$10:$O$90,0)</f>
        <v>0</v>
      </c>
      <c r="AG89" s="629">
        <f>_xlfn.XLOOKUP($E89,'Løp 5'!$E$10:$E$90,'Løp 5'!$L$10:$L$90,0)</f>
        <v>0</v>
      </c>
      <c r="AH89" s="628">
        <f>_xlfn.XLOOKUP($E89,'Løp 6'!$E$10:$E$90,'Løp 6'!$M$10:$M$90,0)</f>
        <v>0</v>
      </c>
      <c r="AI89" s="629">
        <f>_xlfn.XLOOKUP($E89,'Løp 6'!$E$10:$E$90,'Løp 6'!$O$10:$O$90,0)</f>
        <v>0</v>
      </c>
      <c r="AJ89" s="629">
        <f>_xlfn.XLOOKUP($E89,'Løp 6'!$E$10:$E$90,'Løp 6'!$L$10:$L$90,0)</f>
        <v>0</v>
      </c>
      <c r="AK89" s="628">
        <f>_xlfn.XLOOKUP($E89,'Løp 7'!$E$10:$E$90,'Løp 7'!$M$10:$M$90,0)</f>
        <v>0</v>
      </c>
      <c r="AL89" s="629">
        <f>_xlfn.XLOOKUP($E89,'Løp 7'!$E$10:$E$90,'Løp 7'!$O$10:$O$90,0)</f>
        <v>0</v>
      </c>
      <c r="AM89" s="629">
        <f>_xlfn.XLOOKUP($E89,'Løp 7'!$E$10:$E$90,'Løp 7'!$L$10:$L$90,0)</f>
        <v>0</v>
      </c>
      <c r="AN89" s="628">
        <f>_xlfn.XLOOKUP($E89,'Løp 8'!$E$10:$E$91,'Løp 8'!$M$10:$M$91,0)</f>
        <v>0</v>
      </c>
      <c r="AO89" s="629">
        <f>_xlfn.XLOOKUP($E89,'Løp 8'!$E$10:$E$91,'Løp 8'!$O$10:$O$91,0)</f>
        <v>0</v>
      </c>
      <c r="AP89" s="629">
        <f>_xlfn.XLOOKUP($E89,'Løp 8'!$E$10:$E$91,'Løp 8'!$L$10:$L$91,0)</f>
        <v>0</v>
      </c>
      <c r="AQ89" s="628">
        <f>_xlfn.XLOOKUP($E89,'Løp 9'!$E$10:$E$91,'Løp 9'!$M$10:$M$91,0)</f>
        <v>0</v>
      </c>
      <c r="AR89" s="629">
        <f>_xlfn.XLOOKUP($E89,'Løp 9'!$E$10:$E$91,'Løp 9'!$O$10:$O$91,0)</f>
        <v>0</v>
      </c>
      <c r="AS89" s="629">
        <f>_xlfn.XLOOKUP($E89,'Løp 9'!$E$10:$E$91,'Løp 9'!$L$10:$L$91,0)</f>
        <v>0</v>
      </c>
      <c r="AT89" s="628">
        <f>_xlfn.XLOOKUP($E89,'Løp 10'!$E$10:$E$91,'Løp 10'!$M$10:$M$91,0)</f>
        <v>0</v>
      </c>
      <c r="AU89" s="629">
        <f>_xlfn.XLOOKUP($E89,'Løp 10'!$E$10:$E$91,'Løp 10'!$O$10:$O$91,0)</f>
        <v>0</v>
      </c>
      <c r="AV89" s="629">
        <f>_xlfn.XLOOKUP($E89,'Løp 10'!$E$10:$E$91,'Løp 10'!$L$10:$L$91,0)</f>
        <v>0</v>
      </c>
      <c r="AW89" s="628">
        <f>_xlfn.XLOOKUP($E89,'Løp 11'!$E$10:$E$91,'Løp 11'!$M$10:$M$91,0)</f>
        <v>0</v>
      </c>
      <c r="AX89" s="629">
        <f>_xlfn.XLOOKUP($E89,'Løp 11'!$E$10:$E$91,'Løp 11'!$O$10:$O$91,0)</f>
        <v>0</v>
      </c>
      <c r="AY89" s="629">
        <f>_xlfn.XLOOKUP($E89,'Løp 11'!$E$10:$E$91,'Løp 11'!$L$10:$L$91,0)</f>
        <v>0</v>
      </c>
      <c r="AZ89" s="628">
        <f>_xlfn.XLOOKUP($E89,'Løp 12'!$E$10:$E$91,'Løp 12'!$M$10:$M$91,0)</f>
        <v>0</v>
      </c>
      <c r="BA89" s="629">
        <f>_xlfn.XLOOKUP($E89,'Løp 12'!$E$10:$E$91,'Løp 12'!$O$10:$O$91,0)</f>
        <v>0</v>
      </c>
      <c r="BB89" s="629">
        <f>_xlfn.XLOOKUP($E89,'Løp 12'!$E$10:$E$91,'Løp 12'!$L$10:$L$91,0)</f>
        <v>0</v>
      </c>
      <c r="BC89" s="628">
        <f>_xlfn.XLOOKUP($E89,'Løp 13'!$E$10:$E$91,'Løp 13'!$M$10:$M$91,0)</f>
        <v>0</v>
      </c>
      <c r="BD89" s="629">
        <f>_xlfn.XLOOKUP($E89,'Løp 13'!$E$10:$E$91,'Løp 13'!$O$10:$O$91,0)</f>
        <v>0</v>
      </c>
      <c r="BE89" s="629">
        <f>_xlfn.XLOOKUP($E89,'Løp 13'!$E$10:$E$91,'Løp 13'!$L$10:$L$91,0)</f>
        <v>0</v>
      </c>
      <c r="BF89" s="628">
        <f>_xlfn.XLOOKUP($E89,'Løp 14'!$E$10:$E$91,'Løp 14'!$M$10:$M$91,0)</f>
        <v>0</v>
      </c>
      <c r="BG89" s="629">
        <f>_xlfn.XLOOKUP($E89,'Løp 14'!$E$10:$E$91,'Løp 14'!$O$10:$O$91,0)</f>
        <v>0</v>
      </c>
      <c r="BH89" s="629">
        <f>_xlfn.XLOOKUP($E89,'Løp 14'!$E$10:$E$91,'Løp 14'!$L$10:$L$91,0)</f>
        <v>0</v>
      </c>
      <c r="BI89" s="628">
        <f>_xlfn.XLOOKUP($E89,'Løp 15'!$E$10:$E$91,'Løp 15'!$M$10:$M$91,0)</f>
        <v>0</v>
      </c>
      <c r="BJ89" s="629">
        <f>_xlfn.XLOOKUP($E89,'Løp 15'!$E$10:$E$91,'Løp 15'!$O$10:$O$91,0)</f>
        <v>0</v>
      </c>
      <c r="BK89" s="629">
        <f>_xlfn.XLOOKUP($E89,'Løp 15'!$E$10:$E$91,'Løp 15'!$L$10:$L$91,0)</f>
        <v>0</v>
      </c>
      <c r="BL89" s="628">
        <f>_xlfn.XLOOKUP($E89,'Løp 16'!$E$10:$E$91,'Løp 16'!$M$10:$M$91,0)</f>
        <v>0</v>
      </c>
      <c r="BM89" s="629">
        <f>_xlfn.XLOOKUP($E89,'Løp 16'!$E$10:$E$91,'Løp 16'!$O$10:$O$91,0)</f>
        <v>0</v>
      </c>
      <c r="BN89" s="629">
        <f>_xlfn.XLOOKUP($E89,'Løp 16'!$E$10:$E$91,'Løp 16'!$L$10:$L$91,0)</f>
        <v>0</v>
      </c>
      <c r="BO89" s="628">
        <f>_xlfn.XLOOKUP($E89,'Løp 17'!$E$10:$E$91,'Løp 17'!$M$10:$M$91,0)</f>
        <v>0</v>
      </c>
      <c r="BP89" s="629">
        <f>_xlfn.XLOOKUP($E89,'Løp 17'!$E$10:$E$91,'Løp 17'!$O$10:$O$91,0)</f>
        <v>0</v>
      </c>
      <c r="BQ89" s="629">
        <f>_xlfn.XLOOKUP($E89,'Løp 17'!$E$10:$E$91,'Løp 17'!$L$10:$L$91,0)</f>
        <v>0</v>
      </c>
      <c r="BR89" s="628">
        <f>_xlfn.XLOOKUP($E89,'Løp 18'!$E$10:$E$91,'Løp 18'!$M$10:$M$91,0)</f>
        <v>0</v>
      </c>
      <c r="BS89" s="629">
        <f>_xlfn.XLOOKUP($E89,'Løp 18'!$E$10:$E$91,'Løp 18'!$O$10:$O$91,0)</f>
        <v>0</v>
      </c>
      <c r="BT89" s="629">
        <f>_xlfn.XLOOKUP($E89,'Løp 18'!$E$10:$E$91,'Løp 18'!$L$10:$L$91,0)</f>
        <v>0</v>
      </c>
      <c r="BU89" s="628">
        <f>_xlfn.XLOOKUP($E89,'Løp 19'!$E$10:$E$91,'Løp 19'!$M$10:$M$91,0)</f>
        <v>0</v>
      </c>
      <c r="BV89" s="629">
        <f>_xlfn.XLOOKUP($E89,'Løp 19'!$E$10:$E$91,'Løp 19'!$O$10:$O$91,0)</f>
        <v>0</v>
      </c>
      <c r="BW89" s="629">
        <f>_xlfn.XLOOKUP($E89,'Løp 19'!$E$10:$E$91,'Løp 19'!$L$10:$L$91,0)</f>
        <v>0</v>
      </c>
      <c r="BX89" s="628">
        <f>_xlfn.XLOOKUP($E89,'Løp 20'!$E$10:$E$92,'Løp 20'!$M$10:$M$92,0)</f>
        <v>83</v>
      </c>
      <c r="BY89" s="629">
        <f>_xlfn.XLOOKUP($E89,'Løp 20'!$E$10:$E$92,'Løp 20'!$O$10:$O$92,0)</f>
        <v>52</v>
      </c>
      <c r="BZ89" s="629">
        <f>_xlfn.XLOOKUP($E89,'Løp 20'!$E$10:$E$92,'Løp 20'!$L$10:$L$92,0)</f>
        <v>9.3198853615520279E-3</v>
      </c>
      <c r="CA89" s="628">
        <f>_xlfn.XLOOKUP($E89,'Løp 21'!$E$10:$E$93,'Løp 21'!$M$10:$M$93,0)</f>
        <v>0</v>
      </c>
      <c r="CB89" s="629">
        <f>_xlfn.XLOOKUP($E89,'Løp 21'!$E$10:$E$93,'Løp 21'!$O$10:$O$93,0)</f>
        <v>0</v>
      </c>
      <c r="CC89" s="629">
        <f>_xlfn.XLOOKUP($E89,'Løp 21'!$E$10:$E$93,'Løp 21'!$L$10:$L$93,0)</f>
        <v>0</v>
      </c>
      <c r="CD89" s="628">
        <f>_xlfn.XLOOKUP($E89,'Løp 22'!$E$10:$E$93,'Løp 22'!$M$10:$M$93,0)</f>
        <v>0</v>
      </c>
      <c r="CE89" s="629">
        <f>_xlfn.XLOOKUP($E89,'Løp 22'!$E$10:$E$93,'Løp 22'!$O$10:$O$93,0)</f>
        <v>0</v>
      </c>
      <c r="CF89" s="629">
        <f>_xlfn.XLOOKUP($E89,'Løp 22'!$E$10:$E$93,'Løp 22'!$L$10:$L$93,0)</f>
        <v>0</v>
      </c>
      <c r="CG89" s="628">
        <f>_xlfn.XLOOKUP($E89,'Løp 23'!$E$10:$E$93,'Løp 23'!$M$10:$M$93,0)</f>
        <v>0</v>
      </c>
      <c r="CH89" s="629">
        <f>_xlfn.XLOOKUP($E89,'Løp 23'!$E$10:$E$93,'Løp 23'!$O$10:$O$93,0)</f>
        <v>0</v>
      </c>
      <c r="CI89" s="629">
        <f>_xlfn.XLOOKUP($E89,'Løp 23'!$E$10:$E$93,'Løp 23'!$L$10:$L$93,0)</f>
        <v>0</v>
      </c>
      <c r="CJ89" s="628">
        <f>_xlfn.XLOOKUP($E89,'Løp 24'!$E$10:$E$93,'Løp 24'!$M$10:$M$93,0)</f>
        <v>0</v>
      </c>
      <c r="CK89" s="629">
        <f>_xlfn.XLOOKUP($E89,'Løp 24'!$E$10:$E$93,'Løp 24'!$O$10:$O$93,0)</f>
        <v>0</v>
      </c>
      <c r="CL89" s="629">
        <f>_xlfn.XLOOKUP($E89,'Løp 24'!$E$10:$E$93,'Løp 24'!$L$10:$L$93,0)</f>
        <v>0</v>
      </c>
      <c r="CM89" s="628">
        <f>_xlfn.XLOOKUP($E89,'Løp 25'!$E$10:$E$94,'Løp 25'!$M$10:$M$94,0)</f>
        <v>0</v>
      </c>
      <c r="CN89" s="629">
        <f>_xlfn.XLOOKUP($E89,'Løp 25'!$E$10:$E$94,'Løp 25'!$O$10:$O$94,0)</f>
        <v>0</v>
      </c>
      <c r="CO89" s="629">
        <f>_xlfn.XLOOKUP($E89,'Løp 25'!$E$10:$E$94,'Løp 25'!$L$10:$L$94,0)</f>
        <v>0</v>
      </c>
      <c r="CP89" s="628">
        <f>_xlfn.XLOOKUP($E89,'Løp 26'!$E$10:$E$94,'Løp 26'!$M$10:$M$94,0)</f>
        <v>0</v>
      </c>
      <c r="CQ89" s="629">
        <f>_xlfn.XLOOKUP($E89,'Løp 26'!$E$10:$E$94,'Løp 26'!$O$10:$O$94,0)</f>
        <v>0</v>
      </c>
      <c r="CR89" s="629">
        <f>_xlfn.XLOOKUP($E89,'Løp 26'!$E$10:$E$94,'Løp 26'!$L$10:$L$94,0)</f>
        <v>0</v>
      </c>
      <c r="CS89" s="628">
        <f>_xlfn.XLOOKUP($E89,'Løp 27'!$E$10:$E$94,'Løp 27'!$M$10:$M$94,0)</f>
        <v>0</v>
      </c>
      <c r="CT89" s="629">
        <f>_xlfn.XLOOKUP($E89,'Løp 27'!$E$10:$E$94,'Løp 27'!$O$10:$O$94,0)</f>
        <v>0</v>
      </c>
      <c r="CU89" s="629">
        <f>_xlfn.XLOOKUP($E89,'Løp 27'!$E$10:$E$94,'Løp 27'!$L$10:$L$94,0)</f>
        <v>0</v>
      </c>
      <c r="CV89" s="628">
        <f>_xlfn.XLOOKUP($E89,'Løp 28'!$E$10:$E$95,'Løp 28'!$M$10:$M$95,0)</f>
        <v>0</v>
      </c>
      <c r="CW89" s="629">
        <f>_xlfn.XLOOKUP($E89,'Løp 28'!$E$10:$E$95,'Løp 28'!$O$10:$O$95,0)</f>
        <v>0</v>
      </c>
      <c r="CX89" s="629">
        <f>_xlfn.XLOOKUP($E89,'Løp 28'!$E$10:$E$95,'Løp 28'!$L$10:$L$95,0)</f>
        <v>0</v>
      </c>
      <c r="CY89" s="628">
        <f>_xlfn.XLOOKUP($E89,'Løp 29'!$E$10:$E$95,'Løp 29'!$M$10:$M$95,0)</f>
        <v>0</v>
      </c>
      <c r="CZ89" s="629">
        <f>_xlfn.XLOOKUP($E89,'Løp 29'!$E$10:$E$95,'Løp 29'!$O$10:$O$95,0)</f>
        <v>0</v>
      </c>
      <c r="DA89" s="629">
        <f>_xlfn.XLOOKUP($E89,'Løp 29'!$E$10:$E$95,'Løp 29'!$L$10:$L$95,0)</f>
        <v>0</v>
      </c>
    </row>
    <row r="90" spans="2:105" ht="26" customHeight="1" thickBot="1" x14ac:dyDescent="0.3">
      <c r="B90" s="627">
        <f t="shared" si="0"/>
        <v>81</v>
      </c>
      <c r="C90" s="123" t="s">
        <v>342</v>
      </c>
      <c r="D90" s="621" t="s">
        <v>343</v>
      </c>
      <c r="E90" s="616" t="str">
        <f>_xlfn.CONCAT(C90:D90)</f>
        <v>ArildHeggeset</v>
      </c>
      <c r="F90" s="610"/>
      <c r="G90" s="653">
        <f>COUNTIF(S90:DA90,"&gt;2")/2</f>
        <v>2</v>
      </c>
      <c r="H90" s="852">
        <f>COUNTIF(S90:DA90,"=Løype")+COUNTIF(S90:DA90,"Arr")</f>
        <v>0</v>
      </c>
      <c r="I90" s="610"/>
      <c r="J90" s="632">
        <f>S90+V90+Y90+AB90+AE90+AH90+AK90+AN90+AQ90+AT90+AW90+AZ90+BC90+BF90+BI90+BL90+BO90+BR90+BU90+BX90+CA90+CD90+CG90+CJ90+CM90+CP90+CS90+CV90+CY90</f>
        <v>131</v>
      </c>
      <c r="K90" s="633">
        <f>T90+W90+Z90+AC90+AF90+AI90+AL90+AO90+AR90+AU90+AX90+BA90+BD90+BG90+BJ90+BM90+BP90+BS90+BV90+BY90+CB90+CE90+CH90+CK90+CN90+CQ90+CT90+CW90+CZ90</f>
        <v>101</v>
      </c>
      <c r="L90" s="613"/>
      <c r="M90" s="658">
        <f>IF($G90&gt;0,J90/G90,0)</f>
        <v>65.5</v>
      </c>
      <c r="N90" s="659">
        <f>IF($G90&gt;0,K90/$G90,0)</f>
        <v>50.5</v>
      </c>
      <c r="O90" s="862"/>
      <c r="P90" s="874">
        <f>IF(AND($G90&gt;$Q$3-1,$G90-$H90&gt;0),M90,0)</f>
        <v>0</v>
      </c>
      <c r="Q90" s="875">
        <f>IF(AND($G90&gt;$Q$3-1,$G90-$H90&gt;0),N90,0)</f>
        <v>0</v>
      </c>
      <c r="R90" s="613"/>
      <c r="S90" s="628">
        <f>_xlfn.XLOOKUP($E90,'Løp 1'!$E$10:$E$90,'Løp 1'!$M$10:$M$90,0)</f>
        <v>0</v>
      </c>
      <c r="T90" s="629">
        <f>_xlfn.XLOOKUP($E90,'Løp 1'!$E$10:$E$90,'Løp 1'!$O$10:$O$90,0)</f>
        <v>0</v>
      </c>
      <c r="U90" s="629">
        <f>_xlfn.XLOOKUP($E90,'Løp 1'!$E$10:$E$90,'Løp 1'!$L$10:$L$90,0)</f>
        <v>0</v>
      </c>
      <c r="V90" s="628">
        <f>_xlfn.XLOOKUP($E90,'Løp 2'!$E$10:$E$90,'Løp 2'!$M$10:$M$90,0)</f>
        <v>0</v>
      </c>
      <c r="W90" s="629">
        <f>_xlfn.XLOOKUP($E90,'Løp 2'!$E$10:$E$90,'Løp 2'!$O$10:$O$90,0)</f>
        <v>0</v>
      </c>
      <c r="X90" s="629">
        <f>_xlfn.XLOOKUP($E90,'Løp 2'!$E$10:$E$90,'Løp 2'!$L$10:$L$90,0)</f>
        <v>0</v>
      </c>
      <c r="Y90" s="628">
        <f>_xlfn.XLOOKUP($E90,'Løp 3'!$E$10:$E$90,'Løp 3'!$M$10:$M$90,0)</f>
        <v>0</v>
      </c>
      <c r="Z90" s="629">
        <f>_xlfn.XLOOKUP($E90,'Løp 3'!$E$10:$E$90,'Løp 3'!$O$10:$O$90,0)</f>
        <v>0</v>
      </c>
      <c r="AA90" s="629">
        <f>_xlfn.XLOOKUP($E90,'Løp 3'!$E$10:$E$90,'Løp 3'!$L$10:$L$90,0)</f>
        <v>0</v>
      </c>
      <c r="AB90" s="628">
        <f>_xlfn.XLOOKUP($E90,'Løp 4'!$E$10:$E$90,'Løp 4'!$M$10:$M$90,0)</f>
        <v>0</v>
      </c>
      <c r="AC90" s="629">
        <f>_xlfn.XLOOKUP($E90,'Løp 4'!$E$10:$E$90,'Løp 4'!$O$10:$O$90,0)</f>
        <v>0</v>
      </c>
      <c r="AD90" s="629">
        <f>_xlfn.XLOOKUP($E90,'Løp 4'!$E$10:$E$90,'Løp 4'!$L$10:$L$90,0)</f>
        <v>0</v>
      </c>
      <c r="AE90" s="628">
        <f>_xlfn.XLOOKUP($E90,'Løp 5'!$E$10:$E$90,'Løp 5'!$M$10:$M$90,0)</f>
        <v>0</v>
      </c>
      <c r="AF90" s="629">
        <f>_xlfn.XLOOKUP($E90,'Løp 5'!$E$10:$E$90,'Løp 5'!$O$10:$O$90,0)</f>
        <v>0</v>
      </c>
      <c r="AG90" s="629">
        <f>_xlfn.XLOOKUP($E90,'Løp 5'!$E$10:$E$90,'Løp 5'!$L$10:$L$90,0)</f>
        <v>0</v>
      </c>
      <c r="AH90" s="628">
        <f>_xlfn.XLOOKUP($E90,'Løp 6'!$E$10:$E$90,'Løp 6'!$M$10:$M$90,0)</f>
        <v>0</v>
      </c>
      <c r="AI90" s="629">
        <f>_xlfn.XLOOKUP($E90,'Løp 6'!$E$10:$E$90,'Løp 6'!$O$10:$O$90,0)</f>
        <v>0</v>
      </c>
      <c r="AJ90" s="629">
        <f>_xlfn.XLOOKUP($E90,'Løp 6'!$E$10:$E$90,'Løp 6'!$L$10:$L$90,0)</f>
        <v>0</v>
      </c>
      <c r="AK90" s="628">
        <f>_xlfn.XLOOKUP($E90,'Løp 7'!$E$10:$E$90,'Løp 7'!$M$10:$M$90,0)</f>
        <v>0</v>
      </c>
      <c r="AL90" s="629">
        <f>_xlfn.XLOOKUP($E90,'Løp 7'!$E$10:$E$90,'Løp 7'!$O$10:$O$90,0)</f>
        <v>0</v>
      </c>
      <c r="AM90" s="629">
        <f>_xlfn.XLOOKUP($E90,'Løp 7'!$E$10:$E$90,'Løp 7'!$L$10:$L$90,0)</f>
        <v>0</v>
      </c>
      <c r="AN90" s="628">
        <f>_xlfn.XLOOKUP($E90,'Løp 8'!$E$10:$E$91,'Løp 8'!$M$10:$M$91,0)</f>
        <v>0</v>
      </c>
      <c r="AO90" s="629">
        <f>_xlfn.XLOOKUP($E90,'Løp 8'!$E$10:$E$91,'Løp 8'!$O$10:$O$91,0)</f>
        <v>0</v>
      </c>
      <c r="AP90" s="629">
        <f>_xlfn.XLOOKUP($E90,'Løp 8'!$E$10:$E$91,'Løp 8'!$L$10:$L$91,0)</f>
        <v>0</v>
      </c>
      <c r="AQ90" s="628">
        <f>_xlfn.XLOOKUP($E90,'Løp 9'!$E$10:$E$91,'Løp 9'!$M$10:$M$91,0)</f>
        <v>0</v>
      </c>
      <c r="AR90" s="629">
        <f>_xlfn.XLOOKUP($E90,'Løp 9'!$E$10:$E$91,'Løp 9'!$O$10:$O$91,0)</f>
        <v>0</v>
      </c>
      <c r="AS90" s="629">
        <f>_xlfn.XLOOKUP($E90,'Løp 9'!$E$10:$E$91,'Løp 9'!$L$10:$L$91,0)</f>
        <v>0</v>
      </c>
      <c r="AT90" s="628">
        <f>_xlfn.XLOOKUP($E90,'Løp 10'!$E$10:$E$91,'Løp 10'!$M$10:$M$91,0)</f>
        <v>0</v>
      </c>
      <c r="AU90" s="629">
        <f>_xlfn.XLOOKUP($E90,'Løp 10'!$E$10:$E$91,'Løp 10'!$O$10:$O$91,0)</f>
        <v>0</v>
      </c>
      <c r="AV90" s="629">
        <f>_xlfn.XLOOKUP($E90,'Løp 10'!$E$10:$E$91,'Løp 10'!$L$10:$L$91,0)</f>
        <v>0</v>
      </c>
      <c r="AW90" s="628">
        <f>_xlfn.XLOOKUP($E90,'Løp 11'!$E$10:$E$91,'Løp 11'!$M$10:$M$91,0)</f>
        <v>0</v>
      </c>
      <c r="AX90" s="629">
        <f>_xlfn.XLOOKUP($E90,'Løp 11'!$E$10:$E$91,'Løp 11'!$O$10:$O$91,0)</f>
        <v>0</v>
      </c>
      <c r="AY90" s="629">
        <f>_xlfn.XLOOKUP($E90,'Løp 11'!$E$10:$E$91,'Løp 11'!$L$10:$L$91,0)</f>
        <v>0</v>
      </c>
      <c r="AZ90" s="628">
        <f>_xlfn.XLOOKUP($E90,'Løp 12'!$E$10:$E$91,'Løp 12'!$M$10:$M$91,0)</f>
        <v>0</v>
      </c>
      <c r="BA90" s="629">
        <f>_xlfn.XLOOKUP($E90,'Løp 12'!$E$10:$E$91,'Løp 12'!$O$10:$O$91,0)</f>
        <v>0</v>
      </c>
      <c r="BB90" s="629">
        <f>_xlfn.XLOOKUP($E90,'Løp 12'!$E$10:$E$91,'Løp 12'!$L$10:$L$91,0)</f>
        <v>0</v>
      </c>
      <c r="BC90" s="628">
        <f>_xlfn.XLOOKUP($E90,'Løp 13'!$E$10:$E$91,'Løp 13'!$M$10:$M$91,0)</f>
        <v>0</v>
      </c>
      <c r="BD90" s="629">
        <f>_xlfn.XLOOKUP($E90,'Løp 13'!$E$10:$E$91,'Løp 13'!$O$10:$O$91,0)</f>
        <v>0</v>
      </c>
      <c r="BE90" s="629">
        <f>_xlfn.XLOOKUP($E90,'Løp 13'!$E$10:$E$91,'Løp 13'!$L$10:$L$91,0)</f>
        <v>0</v>
      </c>
      <c r="BF90" s="628">
        <f>_xlfn.XLOOKUP($E90,'Løp 14'!$E$10:$E$91,'Løp 14'!$M$10:$M$91,0)</f>
        <v>0</v>
      </c>
      <c r="BG90" s="629">
        <f>_xlfn.XLOOKUP($E90,'Løp 14'!$E$10:$E$91,'Løp 14'!$O$10:$O$91,0)</f>
        <v>0</v>
      </c>
      <c r="BH90" s="629">
        <f>_xlfn.XLOOKUP($E90,'Løp 14'!$E$10:$E$91,'Løp 14'!$L$10:$L$91,0)</f>
        <v>0</v>
      </c>
      <c r="BI90" s="628">
        <f>_xlfn.XLOOKUP($E90,'Løp 15'!$E$10:$E$91,'Løp 15'!$M$10:$M$91,0)</f>
        <v>0</v>
      </c>
      <c r="BJ90" s="629">
        <f>_xlfn.XLOOKUP($E90,'Løp 15'!$E$10:$E$91,'Løp 15'!$O$10:$O$91,0)</f>
        <v>0</v>
      </c>
      <c r="BK90" s="629">
        <f>_xlfn.XLOOKUP($E90,'Løp 15'!$E$10:$E$91,'Løp 15'!$L$10:$L$91,0)</f>
        <v>0</v>
      </c>
      <c r="BL90" s="628">
        <f>_xlfn.XLOOKUP($E90,'Løp 16'!$E$10:$E$91,'Løp 16'!$M$10:$M$91,0)</f>
        <v>0</v>
      </c>
      <c r="BM90" s="629">
        <f>_xlfn.XLOOKUP($E90,'Løp 16'!$E$10:$E$91,'Løp 16'!$O$10:$O$91,0)</f>
        <v>0</v>
      </c>
      <c r="BN90" s="629">
        <f>_xlfn.XLOOKUP($E90,'Løp 16'!$E$10:$E$91,'Løp 16'!$L$10:$L$91,0)</f>
        <v>0</v>
      </c>
      <c r="BO90" s="628">
        <f>_xlfn.XLOOKUP($E90,'Løp 17'!$E$10:$E$91,'Løp 17'!$M$10:$M$91,0)</f>
        <v>0</v>
      </c>
      <c r="BP90" s="629">
        <f>_xlfn.XLOOKUP($E90,'Løp 17'!$E$10:$E$91,'Løp 17'!$O$10:$O$91,0)</f>
        <v>0</v>
      </c>
      <c r="BQ90" s="629">
        <f>_xlfn.XLOOKUP($E90,'Løp 17'!$E$10:$E$91,'Løp 17'!$L$10:$L$91,0)</f>
        <v>0</v>
      </c>
      <c r="BR90" s="628">
        <f>_xlfn.XLOOKUP($E90,'Løp 18'!$E$10:$E$91,'Løp 18'!$M$10:$M$91,0)</f>
        <v>0</v>
      </c>
      <c r="BS90" s="629">
        <f>_xlfn.XLOOKUP($E90,'Løp 18'!$E$10:$E$91,'Løp 18'!$O$10:$O$91,0)</f>
        <v>0</v>
      </c>
      <c r="BT90" s="629">
        <f>_xlfn.XLOOKUP($E90,'Løp 18'!$E$10:$E$91,'Løp 18'!$L$10:$L$91,0)</f>
        <v>0</v>
      </c>
      <c r="BU90" s="628">
        <f>_xlfn.XLOOKUP($E90,'Løp 19'!$E$10:$E$91,'Løp 19'!$M$10:$M$91,0)</f>
        <v>0</v>
      </c>
      <c r="BV90" s="629">
        <f>_xlfn.XLOOKUP($E90,'Løp 19'!$E$10:$E$91,'Løp 19'!$O$10:$O$91,0)</f>
        <v>0</v>
      </c>
      <c r="BW90" s="629">
        <f>_xlfn.XLOOKUP($E90,'Løp 19'!$E$10:$E$91,'Løp 19'!$L$10:$L$91,0)</f>
        <v>0</v>
      </c>
      <c r="BX90" s="628">
        <f>_xlfn.XLOOKUP($E90,'Løp 20'!$E$10:$E$92,'Løp 20'!$M$10:$M$92,0)</f>
        <v>65</v>
      </c>
      <c r="BY90" s="629">
        <f>_xlfn.XLOOKUP($E90,'Løp 20'!$E$10:$E$92,'Løp 20'!$O$10:$O$92,0)</f>
        <v>50</v>
      </c>
      <c r="BZ90" s="629">
        <f>_xlfn.XLOOKUP($E90,'Løp 20'!$E$10:$E$92,'Løp 20'!$L$10:$L$92,0)</f>
        <v>1.1904761904761904E-2</v>
      </c>
      <c r="CA90" s="628">
        <f>_xlfn.XLOOKUP($E90,'Løp 21'!$E$10:$E$93,'Løp 21'!$M$10:$M$93,0)</f>
        <v>0</v>
      </c>
      <c r="CB90" s="629">
        <f>_xlfn.XLOOKUP($E90,'Løp 21'!$E$10:$E$93,'Løp 21'!$O$10:$O$93,0)</f>
        <v>0</v>
      </c>
      <c r="CC90" s="629">
        <f>_xlfn.XLOOKUP($E90,'Løp 21'!$E$10:$E$93,'Løp 21'!$L$10:$L$93,0)</f>
        <v>0</v>
      </c>
      <c r="CD90" s="628">
        <f>_xlfn.XLOOKUP($E90,'Løp 22'!$E$10:$E$93,'Løp 22'!$M$10:$M$93,0)</f>
        <v>0</v>
      </c>
      <c r="CE90" s="629">
        <f>_xlfn.XLOOKUP($E90,'Løp 22'!$E$10:$E$93,'Løp 22'!$O$10:$O$93,0)</f>
        <v>0</v>
      </c>
      <c r="CF90" s="629">
        <f>_xlfn.XLOOKUP($E90,'Løp 22'!$E$10:$E$93,'Løp 22'!$L$10:$L$93,0)</f>
        <v>0</v>
      </c>
      <c r="CG90" s="628">
        <f>_xlfn.XLOOKUP($E90,'Løp 23'!$E$10:$E$93,'Løp 23'!$M$10:$M$93,0)</f>
        <v>0</v>
      </c>
      <c r="CH90" s="629">
        <f>_xlfn.XLOOKUP($E90,'Løp 23'!$E$10:$E$93,'Løp 23'!$O$10:$O$93,0)</f>
        <v>0</v>
      </c>
      <c r="CI90" s="629">
        <f>_xlfn.XLOOKUP($E90,'Løp 23'!$E$10:$E$93,'Løp 23'!$L$10:$L$93,0)</f>
        <v>0</v>
      </c>
      <c r="CJ90" s="628">
        <f>_xlfn.XLOOKUP($E90,'Løp 24'!$E$10:$E$93,'Løp 24'!$M$10:$M$93,0)</f>
        <v>0</v>
      </c>
      <c r="CK90" s="629">
        <f>_xlfn.XLOOKUP($E90,'Løp 24'!$E$10:$E$93,'Løp 24'!$O$10:$O$93,0)</f>
        <v>0</v>
      </c>
      <c r="CL90" s="629">
        <f>_xlfn.XLOOKUP($E90,'Løp 24'!$E$10:$E$93,'Løp 24'!$L$10:$L$93,0)</f>
        <v>0</v>
      </c>
      <c r="CM90" s="628">
        <f>_xlfn.XLOOKUP($E90,'Løp 25'!$E$10:$E$94,'Løp 25'!$M$10:$M$94,0)</f>
        <v>0</v>
      </c>
      <c r="CN90" s="629">
        <f>_xlfn.XLOOKUP($E90,'Løp 25'!$E$10:$E$94,'Løp 25'!$O$10:$O$94,0)</f>
        <v>0</v>
      </c>
      <c r="CO90" s="629">
        <f>_xlfn.XLOOKUP($E90,'Løp 25'!$E$10:$E$94,'Løp 25'!$L$10:$L$94,0)</f>
        <v>0</v>
      </c>
      <c r="CP90" s="628">
        <f>_xlfn.XLOOKUP($E90,'Løp 26'!$E$10:$E$94,'Løp 26'!$M$10:$M$94,0)</f>
        <v>0</v>
      </c>
      <c r="CQ90" s="629">
        <f>_xlfn.XLOOKUP($E90,'Løp 26'!$E$10:$E$94,'Løp 26'!$O$10:$O$94,0)</f>
        <v>0</v>
      </c>
      <c r="CR90" s="629">
        <f>_xlfn.XLOOKUP($E90,'Løp 26'!$E$10:$E$94,'Løp 26'!$L$10:$L$94,0)</f>
        <v>0</v>
      </c>
      <c r="CS90" s="628">
        <f>_xlfn.XLOOKUP($E90,'Løp 27'!$E$10:$E$94,'Løp 27'!$M$10:$M$94,0)</f>
        <v>66</v>
      </c>
      <c r="CT90" s="629">
        <f>_xlfn.XLOOKUP($E90,'Løp 27'!$E$10:$E$94,'Løp 27'!$O$10:$O$94,0)</f>
        <v>51</v>
      </c>
      <c r="CU90" s="629">
        <f>_xlfn.XLOOKUP($E90,'Løp 27'!$E$10:$E$94,'Løp 27'!$L$10:$L$94,0)</f>
        <v>1.0320216049382715E-2</v>
      </c>
      <c r="CV90" s="628">
        <f>_xlfn.XLOOKUP($E90,'Løp 28'!$E$10:$E$95,'Løp 28'!$M$10:$M$95,0)</f>
        <v>0</v>
      </c>
      <c r="CW90" s="629">
        <f>_xlfn.XLOOKUP($E90,'Løp 28'!$E$10:$E$95,'Løp 28'!$O$10:$O$95,0)</f>
        <v>0</v>
      </c>
      <c r="CX90" s="629">
        <f>_xlfn.XLOOKUP($E90,'Løp 28'!$E$10:$E$95,'Løp 28'!$L$10:$L$95,0)</f>
        <v>0</v>
      </c>
      <c r="CY90" s="628">
        <f>_xlfn.XLOOKUP($E90,'Løp 29'!$E$10:$E$95,'Løp 29'!$M$10:$M$95,0)</f>
        <v>0</v>
      </c>
      <c r="CZ90" s="629">
        <f>_xlfn.XLOOKUP($E90,'Løp 29'!$E$10:$E$95,'Løp 29'!$O$10:$O$95,0)</f>
        <v>0</v>
      </c>
      <c r="DA90" s="629">
        <f>_xlfn.XLOOKUP($E90,'Løp 29'!$E$10:$E$95,'Løp 29'!$L$10:$L$95,0)</f>
        <v>0</v>
      </c>
    </row>
    <row r="91" spans="2:105" ht="26" thickBot="1" x14ac:dyDescent="0.3">
      <c r="B91" s="627">
        <f t="shared" si="0"/>
        <v>82</v>
      </c>
      <c r="C91" s="123" t="s">
        <v>421</v>
      </c>
      <c r="D91" s="621" t="s">
        <v>422</v>
      </c>
      <c r="E91" s="616" t="str">
        <f>_xlfn.CONCAT(C91:D91)</f>
        <v>Kjell ArneHenninen</v>
      </c>
      <c r="F91" s="610"/>
      <c r="G91" s="653">
        <f>COUNTIF(S91:DA91,"&gt;2")/2</f>
        <v>1</v>
      </c>
      <c r="H91" s="852">
        <f>COUNTIF(S91:DA91,"=Løype")+COUNTIF(S91:DA91,"Arr")</f>
        <v>0</v>
      </c>
      <c r="I91" s="610"/>
      <c r="J91" s="632">
        <f>S91+V91+Y91+AB91+AE91+AH91+AK91+AN91+AQ91+AT91+AW91+AZ91+BC91+BF91+BI91+BL91+BO91+BR91+BU91+BX91+CA91+CD91+CG91+CJ91+CM91+CP91+CS91+CV91+CY91</f>
        <v>50</v>
      </c>
      <c r="K91" s="633">
        <f>T91+W91+Z91+AC91+AF91+AI91+AL91+AO91+AR91+AU91+AX91+BA91+BD91+BG91+BJ91+BM91+BP91+BS91+BV91+BY91+CB91+CE91+CH91+CK91+CN91+CQ91+CT91+CW91+CZ91</f>
        <v>50</v>
      </c>
      <c r="L91" s="613"/>
      <c r="M91" s="658">
        <f>IF($G91&gt;0,J91/G91,0)</f>
        <v>50</v>
      </c>
      <c r="N91" s="659">
        <f>IF($G91&gt;0,K91/$G91,0)</f>
        <v>50</v>
      </c>
      <c r="O91" s="862"/>
      <c r="P91" s="874">
        <f>IF(AND($G91&gt;$Q$3-1,$G91-$H91&gt;0),M91,0)</f>
        <v>0</v>
      </c>
      <c r="Q91" s="875">
        <f>IF(AND($G91&gt;$Q$3-1,$G91-$H91&gt;0),N91,0)</f>
        <v>0</v>
      </c>
      <c r="R91" s="613"/>
      <c r="S91" s="628">
        <f>_xlfn.XLOOKUP($E91,'Løp 1'!$E$10:$E$90,'Løp 1'!$M$10:$M$90,0)</f>
        <v>0</v>
      </c>
      <c r="T91" s="629">
        <f>_xlfn.XLOOKUP($E91,'Løp 1'!$E$10:$E$90,'Løp 1'!$O$10:$O$90,0)</f>
        <v>0</v>
      </c>
      <c r="U91" s="629">
        <f>_xlfn.XLOOKUP($E91,'Løp 1'!$E$10:$E$90,'Løp 1'!$L$10:$L$90,0)</f>
        <v>0</v>
      </c>
      <c r="V91" s="628">
        <f>_xlfn.XLOOKUP($E91,'Løp 2'!$E$10:$E$90,'Løp 2'!$M$10:$M$90,0)</f>
        <v>0</v>
      </c>
      <c r="W91" s="629">
        <f>_xlfn.XLOOKUP($E91,'Løp 2'!$E$10:$E$90,'Løp 2'!$O$10:$O$90,0)</f>
        <v>0</v>
      </c>
      <c r="X91" s="629">
        <f>_xlfn.XLOOKUP($E91,'Løp 2'!$E$10:$E$90,'Løp 2'!$L$10:$L$90,0)</f>
        <v>0</v>
      </c>
      <c r="Y91" s="628">
        <f>_xlfn.XLOOKUP($E91,'Løp 3'!$E$10:$E$90,'Løp 3'!$M$10:$M$90,0)</f>
        <v>0</v>
      </c>
      <c r="Z91" s="629">
        <f>_xlfn.XLOOKUP($E91,'Løp 3'!$E$10:$E$90,'Løp 3'!$O$10:$O$90,0)</f>
        <v>0</v>
      </c>
      <c r="AA91" s="629">
        <f>_xlfn.XLOOKUP($E91,'Løp 3'!$E$10:$E$90,'Løp 3'!$L$10:$L$90,0)</f>
        <v>0</v>
      </c>
      <c r="AB91" s="628">
        <f>_xlfn.XLOOKUP($E91,'Løp 4'!$E$10:$E$90,'Løp 4'!$M$10:$M$90,0)</f>
        <v>0</v>
      </c>
      <c r="AC91" s="629">
        <f>_xlfn.XLOOKUP($E91,'Løp 4'!$E$10:$E$90,'Løp 4'!$O$10:$O$90,0)</f>
        <v>0</v>
      </c>
      <c r="AD91" s="629">
        <f>_xlfn.XLOOKUP($E91,'Løp 4'!$E$10:$E$90,'Løp 4'!$L$10:$L$90,0)</f>
        <v>0</v>
      </c>
      <c r="AE91" s="628">
        <f>_xlfn.XLOOKUP($E91,'Løp 5'!$E$10:$E$90,'Løp 5'!$M$10:$M$90,0)</f>
        <v>0</v>
      </c>
      <c r="AF91" s="629">
        <f>_xlfn.XLOOKUP($E91,'Løp 5'!$E$10:$E$90,'Løp 5'!$O$10:$O$90,0)</f>
        <v>0</v>
      </c>
      <c r="AG91" s="629">
        <f>_xlfn.XLOOKUP($E91,'Løp 5'!$E$10:$E$90,'Løp 5'!$L$10:$L$90,0)</f>
        <v>0</v>
      </c>
      <c r="AH91" s="628">
        <f>_xlfn.XLOOKUP($E91,'Løp 6'!$E$10:$E$90,'Løp 6'!$M$10:$M$90,0)</f>
        <v>0</v>
      </c>
      <c r="AI91" s="629">
        <f>_xlfn.XLOOKUP($E91,'Løp 6'!$E$10:$E$90,'Løp 6'!$O$10:$O$90,0)</f>
        <v>0</v>
      </c>
      <c r="AJ91" s="629">
        <f>_xlfn.XLOOKUP($E91,'Løp 6'!$E$10:$E$90,'Løp 6'!$L$10:$L$90,0)</f>
        <v>0</v>
      </c>
      <c r="AK91" s="628">
        <f>_xlfn.XLOOKUP($E91,'Løp 7'!$E$10:$E$90,'Løp 7'!$M$10:$M$90,0)</f>
        <v>0</v>
      </c>
      <c r="AL91" s="629">
        <f>_xlfn.XLOOKUP($E91,'Løp 7'!$E$10:$E$90,'Løp 7'!$O$10:$O$90,0)</f>
        <v>0</v>
      </c>
      <c r="AM91" s="629">
        <f>_xlfn.XLOOKUP($E91,'Løp 7'!$E$10:$E$90,'Løp 7'!$L$10:$L$90,0)</f>
        <v>0</v>
      </c>
      <c r="AN91" s="628">
        <f>_xlfn.XLOOKUP($E91,'Løp 8'!$E$10:$E$91,'Løp 8'!$M$10:$M$91,0)</f>
        <v>0</v>
      </c>
      <c r="AO91" s="629">
        <f>_xlfn.XLOOKUP($E91,'Løp 8'!$E$10:$E$91,'Løp 8'!$O$10:$O$91,0)</f>
        <v>0</v>
      </c>
      <c r="AP91" s="629">
        <f>_xlfn.XLOOKUP($E91,'Løp 8'!$E$10:$E$91,'Løp 8'!$L$10:$L$91,0)</f>
        <v>0</v>
      </c>
      <c r="AQ91" s="628">
        <f>_xlfn.XLOOKUP($E91,'Løp 9'!$E$10:$E$91,'Løp 9'!$M$10:$M$91,0)</f>
        <v>0</v>
      </c>
      <c r="AR91" s="629">
        <f>_xlfn.XLOOKUP($E91,'Løp 9'!$E$10:$E$91,'Løp 9'!$O$10:$O$91,0)</f>
        <v>0</v>
      </c>
      <c r="AS91" s="629">
        <f>_xlfn.XLOOKUP($E91,'Løp 9'!$E$10:$E$91,'Løp 9'!$L$10:$L$91,0)</f>
        <v>0</v>
      </c>
      <c r="AT91" s="628">
        <f>_xlfn.XLOOKUP($E91,'Løp 10'!$E$10:$E$91,'Løp 10'!$M$10:$M$91,0)</f>
        <v>0</v>
      </c>
      <c r="AU91" s="629">
        <f>_xlfn.XLOOKUP($E91,'Løp 10'!$E$10:$E$91,'Løp 10'!$O$10:$O$91,0)</f>
        <v>0</v>
      </c>
      <c r="AV91" s="629">
        <f>_xlfn.XLOOKUP($E91,'Løp 10'!$E$10:$E$91,'Løp 10'!$L$10:$L$91,0)</f>
        <v>0</v>
      </c>
      <c r="AW91" s="628">
        <f>_xlfn.XLOOKUP($E91,'Løp 11'!$E$10:$E$91,'Løp 11'!$M$10:$M$91,0)</f>
        <v>0</v>
      </c>
      <c r="AX91" s="629">
        <f>_xlfn.XLOOKUP($E91,'Løp 11'!$E$10:$E$91,'Løp 11'!$O$10:$O$91,0)</f>
        <v>0</v>
      </c>
      <c r="AY91" s="629">
        <f>_xlfn.XLOOKUP($E91,'Løp 11'!$E$10:$E$91,'Løp 11'!$L$10:$L$91,0)</f>
        <v>0</v>
      </c>
      <c r="AZ91" s="628">
        <f>_xlfn.XLOOKUP($E91,'Løp 12'!$E$10:$E$91,'Løp 12'!$M$10:$M$91,0)</f>
        <v>0</v>
      </c>
      <c r="BA91" s="629">
        <f>_xlfn.XLOOKUP($E91,'Løp 12'!$E$10:$E$91,'Løp 12'!$O$10:$O$91,0)</f>
        <v>0</v>
      </c>
      <c r="BB91" s="629">
        <f>_xlfn.XLOOKUP($E91,'Løp 12'!$E$10:$E$91,'Løp 12'!$L$10:$L$91,0)</f>
        <v>0</v>
      </c>
      <c r="BC91" s="628">
        <f>_xlfn.XLOOKUP($E91,'Løp 13'!$E$10:$E$91,'Løp 13'!$M$10:$M$91,0)</f>
        <v>0</v>
      </c>
      <c r="BD91" s="629">
        <f>_xlfn.XLOOKUP($E91,'Løp 13'!$E$10:$E$91,'Løp 13'!$O$10:$O$91,0)</f>
        <v>0</v>
      </c>
      <c r="BE91" s="629">
        <f>_xlfn.XLOOKUP($E91,'Løp 13'!$E$10:$E$91,'Løp 13'!$L$10:$L$91,0)</f>
        <v>0</v>
      </c>
      <c r="BF91" s="628">
        <f>_xlfn.XLOOKUP($E91,'Løp 14'!$E$10:$E$91,'Løp 14'!$M$10:$M$91,0)</f>
        <v>0</v>
      </c>
      <c r="BG91" s="629">
        <f>_xlfn.XLOOKUP($E91,'Løp 14'!$E$10:$E$91,'Løp 14'!$O$10:$O$91,0)</f>
        <v>0</v>
      </c>
      <c r="BH91" s="629">
        <f>_xlfn.XLOOKUP($E91,'Løp 14'!$E$10:$E$91,'Løp 14'!$L$10:$L$91,0)</f>
        <v>0</v>
      </c>
      <c r="BI91" s="628">
        <f>_xlfn.XLOOKUP($E91,'Løp 15'!$E$10:$E$91,'Løp 15'!$M$10:$M$91,0)</f>
        <v>0</v>
      </c>
      <c r="BJ91" s="629">
        <f>_xlfn.XLOOKUP($E91,'Løp 15'!$E$10:$E$91,'Løp 15'!$O$10:$O$91,0)</f>
        <v>0</v>
      </c>
      <c r="BK91" s="629">
        <f>_xlfn.XLOOKUP($E91,'Løp 15'!$E$10:$E$91,'Løp 15'!$L$10:$L$91,0)</f>
        <v>0</v>
      </c>
      <c r="BL91" s="628">
        <f>_xlfn.XLOOKUP($E91,'Løp 16'!$E$10:$E$91,'Løp 16'!$M$10:$M$91,0)</f>
        <v>0</v>
      </c>
      <c r="BM91" s="629">
        <f>_xlfn.XLOOKUP($E91,'Løp 16'!$E$10:$E$91,'Løp 16'!$O$10:$O$91,0)</f>
        <v>0</v>
      </c>
      <c r="BN91" s="629">
        <f>_xlfn.XLOOKUP($E91,'Løp 16'!$E$10:$E$91,'Løp 16'!$L$10:$L$91,0)</f>
        <v>0</v>
      </c>
      <c r="BO91" s="628">
        <f>_xlfn.XLOOKUP($E91,'Løp 17'!$E$10:$E$91,'Løp 17'!$M$10:$M$91,0)</f>
        <v>0</v>
      </c>
      <c r="BP91" s="629">
        <f>_xlfn.XLOOKUP($E91,'Løp 17'!$E$10:$E$91,'Løp 17'!$O$10:$O$91,0)</f>
        <v>0</v>
      </c>
      <c r="BQ91" s="629">
        <f>_xlfn.XLOOKUP($E91,'Løp 17'!$E$10:$E$91,'Løp 17'!$L$10:$L$91,0)</f>
        <v>0</v>
      </c>
      <c r="BR91" s="628">
        <f>_xlfn.XLOOKUP($E91,'Løp 18'!$E$10:$E$91,'Løp 18'!$M$10:$M$91,0)</f>
        <v>0</v>
      </c>
      <c r="BS91" s="629">
        <f>_xlfn.XLOOKUP($E91,'Løp 18'!$E$10:$E$91,'Løp 18'!$O$10:$O$91,0)</f>
        <v>0</v>
      </c>
      <c r="BT91" s="629">
        <f>_xlfn.XLOOKUP($E91,'Løp 18'!$E$10:$E$91,'Løp 18'!$L$10:$L$91,0)</f>
        <v>0</v>
      </c>
      <c r="BU91" s="628">
        <f>_xlfn.XLOOKUP($E91,'Løp 19'!$E$10:$E$91,'Løp 19'!$M$10:$M$91,0)</f>
        <v>0</v>
      </c>
      <c r="BV91" s="629">
        <f>_xlfn.XLOOKUP($E91,'Løp 19'!$E$10:$E$91,'Løp 19'!$O$10:$O$91,0)</f>
        <v>0</v>
      </c>
      <c r="BW91" s="629">
        <f>_xlfn.XLOOKUP($E91,'Løp 19'!$E$10:$E$91,'Løp 19'!$L$10:$L$91,0)</f>
        <v>0</v>
      </c>
      <c r="BX91" s="628">
        <f>_xlfn.XLOOKUP($E91,'Løp 20'!$E$10:$E$92,'Løp 20'!$M$10:$M$92,0)</f>
        <v>0</v>
      </c>
      <c r="BY91" s="629">
        <f>_xlfn.XLOOKUP($E91,'Løp 20'!$E$10:$E$92,'Løp 20'!$O$10:$O$92,0)</f>
        <v>0</v>
      </c>
      <c r="BZ91" s="629">
        <f>_xlfn.XLOOKUP($E91,'Løp 20'!$E$10:$E$92,'Løp 20'!$L$10:$L$92,0)</f>
        <v>0</v>
      </c>
      <c r="CA91" s="628">
        <f>_xlfn.XLOOKUP($E91,'Løp 21'!$E$10:$E$93,'Løp 21'!$M$10:$M$93,0)</f>
        <v>0</v>
      </c>
      <c r="CB91" s="629">
        <f>_xlfn.XLOOKUP($E91,'Løp 21'!$E$10:$E$93,'Løp 21'!$O$10:$O$93,0)</f>
        <v>0</v>
      </c>
      <c r="CC91" s="629">
        <f>_xlfn.XLOOKUP($E91,'Løp 21'!$E$10:$E$93,'Løp 21'!$L$10:$L$93,0)</f>
        <v>0</v>
      </c>
      <c r="CD91" s="628">
        <f>_xlfn.XLOOKUP($E91,'Løp 22'!$E$10:$E$93,'Løp 22'!$M$10:$M$93,0)</f>
        <v>0</v>
      </c>
      <c r="CE91" s="629">
        <f>_xlfn.XLOOKUP($E91,'Løp 22'!$E$10:$E$93,'Løp 22'!$O$10:$O$93,0)</f>
        <v>0</v>
      </c>
      <c r="CF91" s="629">
        <f>_xlfn.XLOOKUP($E91,'Løp 22'!$E$10:$E$93,'Løp 22'!$L$10:$L$93,0)</f>
        <v>0</v>
      </c>
      <c r="CG91" s="628">
        <f>_xlfn.XLOOKUP($E91,'Løp 23'!$E$10:$E$93,'Løp 23'!$M$10:$M$93,0)</f>
        <v>0</v>
      </c>
      <c r="CH91" s="629">
        <f>_xlfn.XLOOKUP($E91,'Løp 23'!$E$10:$E$93,'Løp 23'!$O$10:$O$93,0)</f>
        <v>0</v>
      </c>
      <c r="CI91" s="629">
        <f>_xlfn.XLOOKUP($E91,'Løp 23'!$E$10:$E$93,'Løp 23'!$L$10:$L$93,0)</f>
        <v>0</v>
      </c>
      <c r="CJ91" s="628">
        <f>_xlfn.XLOOKUP($E91,'Løp 24'!$E$10:$E$93,'Løp 24'!$M$10:$M$93,0)</f>
        <v>0</v>
      </c>
      <c r="CK91" s="629">
        <f>_xlfn.XLOOKUP($E91,'Løp 24'!$E$10:$E$93,'Løp 24'!$O$10:$O$93,0)</f>
        <v>0</v>
      </c>
      <c r="CL91" s="629">
        <f>_xlfn.XLOOKUP($E91,'Løp 24'!$E$10:$E$93,'Løp 24'!$L$10:$L$93,0)</f>
        <v>0</v>
      </c>
      <c r="CM91" s="628">
        <f>_xlfn.XLOOKUP($E91,'Løp 25'!$E$10:$E$94,'Løp 25'!$M$10:$M$94,0)</f>
        <v>0</v>
      </c>
      <c r="CN91" s="629">
        <f>_xlfn.XLOOKUP($E91,'Løp 25'!$E$10:$E$94,'Løp 25'!$O$10:$O$94,0)</f>
        <v>0</v>
      </c>
      <c r="CO91" s="629">
        <f>_xlfn.XLOOKUP($E91,'Løp 25'!$E$10:$E$94,'Løp 25'!$L$10:$L$94,0)</f>
        <v>0</v>
      </c>
      <c r="CP91" s="628">
        <f>_xlfn.XLOOKUP($E91,'Løp 26'!$E$10:$E$94,'Løp 26'!$M$10:$M$94,0)</f>
        <v>0</v>
      </c>
      <c r="CQ91" s="629">
        <f>_xlfn.XLOOKUP($E91,'Løp 26'!$E$10:$E$94,'Løp 26'!$O$10:$O$94,0)</f>
        <v>0</v>
      </c>
      <c r="CR91" s="629">
        <f>_xlfn.XLOOKUP($E91,'Løp 26'!$E$10:$E$94,'Løp 26'!$L$10:$L$94,0)</f>
        <v>0</v>
      </c>
      <c r="CS91" s="628">
        <f>_xlfn.XLOOKUP($E91,'Løp 27'!$E$10:$E$94,'Løp 27'!$M$10:$M$94,0)</f>
        <v>0</v>
      </c>
      <c r="CT91" s="629">
        <f>_xlfn.XLOOKUP($E91,'Løp 27'!$E$10:$E$94,'Løp 27'!$O$10:$O$94,0)</f>
        <v>0</v>
      </c>
      <c r="CU91" s="629">
        <f>_xlfn.XLOOKUP($E91,'Løp 27'!$E$10:$E$94,'Løp 27'!$L$10:$L$94,0)</f>
        <v>0</v>
      </c>
      <c r="CV91" s="628">
        <f>_xlfn.XLOOKUP($E91,'Løp 28'!$E$10:$E$95,'Løp 28'!$M$10:$M$95,0)</f>
        <v>0</v>
      </c>
      <c r="CW91" s="629">
        <f>_xlfn.XLOOKUP($E91,'Løp 28'!$E$10:$E$95,'Løp 28'!$O$10:$O$95,0)</f>
        <v>0</v>
      </c>
      <c r="CX91" s="629">
        <f>_xlfn.XLOOKUP($E91,'Løp 28'!$E$10:$E$95,'Løp 28'!$L$10:$L$95,0)</f>
        <v>0</v>
      </c>
      <c r="CY91" s="628">
        <f>_xlfn.XLOOKUP($E91,'Løp 29'!$E$10:$E$95,'Løp 29'!$M$10:$M$95,0)</f>
        <v>50</v>
      </c>
      <c r="CZ91" s="629">
        <f>_xlfn.XLOOKUP($E91,'Løp 29'!$E$10:$E$95,'Løp 29'!$O$10:$O$95,0)</f>
        <v>50</v>
      </c>
      <c r="DA91" s="629">
        <f>_xlfn.XLOOKUP($E91,'Løp 29'!$E$10:$E$95,'Løp 29'!$L$10:$L$95,0)</f>
        <v>1.7035590277777776E-2</v>
      </c>
    </row>
    <row r="92" spans="2:105" ht="26" thickBot="1" x14ac:dyDescent="0.3">
      <c r="B92" s="627">
        <f t="shared" si="0"/>
        <v>83</v>
      </c>
      <c r="C92" s="123" t="s">
        <v>60</v>
      </c>
      <c r="D92" s="621" t="s">
        <v>61</v>
      </c>
      <c r="E92" s="616" t="str">
        <f>_xlfn.CONCAT(C92:D92)</f>
        <v>JosteinAlvestad</v>
      </c>
      <c r="F92" s="610"/>
      <c r="G92" s="653">
        <f>COUNTIF(S92:DA92,"&gt;2")/2</f>
        <v>0</v>
      </c>
      <c r="H92" s="852">
        <f>COUNTIF(S92:DA92,"=Løype")+COUNTIF(S92:DA92,"Arr")</f>
        <v>0</v>
      </c>
      <c r="I92" s="610"/>
      <c r="J92" s="632">
        <f>S92+V92+Y92+AB92+AE92+AH92+AK92+AN92+AQ92+AT92+AW92+AZ92+BC92+BF92+BI92+BL92+BO92+BR92+BU92+BX92+CA92+CD92+CG92+CJ92+CM92+CP92+CS92+CV92+CY92</f>
        <v>0</v>
      </c>
      <c r="K92" s="633">
        <f>T92+W92+Z92+AC92+AF92+AI92+AL92+AO92+AR92+AU92+AX92+BA92+BD92+BG92+BJ92+BM92+BP92+BS92+BV92+BY92+CB92+CE92+CH92+CK92+CN92+CQ92+CT92+CW92+CZ92</f>
        <v>0</v>
      </c>
      <c r="L92" s="613"/>
      <c r="M92" s="658">
        <f>IF($G92&gt;0,J92/G92,0)</f>
        <v>0</v>
      </c>
      <c r="N92" s="659">
        <f>IF($G92&gt;0,K92/$G92,0)</f>
        <v>0</v>
      </c>
      <c r="O92" s="862"/>
      <c r="P92" s="874">
        <f>IF(AND($G92&gt;$Q$3-1,$G92-$H92&gt;0),M92,0)</f>
        <v>0</v>
      </c>
      <c r="Q92" s="875">
        <f>IF(AND($G92&gt;$Q$3-1,$G92-$H92&gt;0),N92,0)</f>
        <v>0</v>
      </c>
      <c r="R92" s="613"/>
      <c r="S92" s="628">
        <f>_xlfn.XLOOKUP($E92,'Løp 1'!$E$10:$E$90,'Løp 1'!$M$10:$M$90,0)</f>
        <v>0</v>
      </c>
      <c r="T92" s="629">
        <f>_xlfn.XLOOKUP($E92,'Løp 1'!$E$10:$E$90,'Løp 1'!$O$10:$O$90,0)</f>
        <v>0</v>
      </c>
      <c r="U92" s="629">
        <f>_xlfn.XLOOKUP($E92,'Løp 1'!$E$10:$E$90,'Løp 1'!$L$10:$L$90,0)</f>
        <v>0</v>
      </c>
      <c r="V92" s="628">
        <f>_xlfn.XLOOKUP($E92,'Løp 2'!$E$10:$E$90,'Løp 2'!$M$10:$M$90,0)</f>
        <v>0</v>
      </c>
      <c r="W92" s="629">
        <f>_xlfn.XLOOKUP($E92,'Løp 2'!$E$10:$E$90,'Løp 2'!$O$10:$O$90,0)</f>
        <v>0</v>
      </c>
      <c r="X92" s="629">
        <f>_xlfn.XLOOKUP($E92,'Løp 2'!$E$10:$E$90,'Løp 2'!$L$10:$L$90,0)</f>
        <v>0</v>
      </c>
      <c r="Y92" s="628">
        <f>_xlfn.XLOOKUP($E92,'Løp 3'!$E$10:$E$90,'Løp 3'!$M$10:$M$90,0)</f>
        <v>0</v>
      </c>
      <c r="Z92" s="629">
        <f>_xlfn.XLOOKUP($E92,'Løp 3'!$E$10:$E$90,'Løp 3'!$O$10:$O$90,0)</f>
        <v>0</v>
      </c>
      <c r="AA92" s="629">
        <f>_xlfn.XLOOKUP($E92,'Løp 3'!$E$10:$E$90,'Løp 3'!$L$10:$L$90,0)</f>
        <v>0</v>
      </c>
      <c r="AB92" s="628">
        <f>_xlfn.XLOOKUP($E92,'Løp 4'!$E$10:$E$90,'Løp 4'!$M$10:$M$90,0)</f>
        <v>0</v>
      </c>
      <c r="AC92" s="629">
        <f>_xlfn.XLOOKUP($E92,'Løp 4'!$E$10:$E$90,'Løp 4'!$O$10:$O$90,0)</f>
        <v>0</v>
      </c>
      <c r="AD92" s="629">
        <f>_xlfn.XLOOKUP($E92,'Løp 4'!$E$10:$E$90,'Løp 4'!$L$10:$L$90,0)</f>
        <v>0</v>
      </c>
      <c r="AE92" s="628">
        <f>_xlfn.XLOOKUP($E92,'Løp 5'!$E$10:$E$90,'Løp 5'!$M$10:$M$90,0)</f>
        <v>0</v>
      </c>
      <c r="AF92" s="629">
        <f>_xlfn.XLOOKUP($E92,'Løp 5'!$E$10:$E$90,'Løp 5'!$O$10:$O$90,0)</f>
        <v>0</v>
      </c>
      <c r="AG92" s="629">
        <f>_xlfn.XLOOKUP($E92,'Løp 5'!$E$10:$E$90,'Løp 5'!$L$10:$L$90,0)</f>
        <v>0</v>
      </c>
      <c r="AH92" s="628">
        <f>_xlfn.XLOOKUP($E92,'Løp 6'!$E$10:$E$90,'Løp 6'!$M$10:$M$90,0)</f>
        <v>0</v>
      </c>
      <c r="AI92" s="629">
        <f>_xlfn.XLOOKUP($E92,'Løp 6'!$E$10:$E$90,'Løp 6'!$O$10:$O$90,0)</f>
        <v>0</v>
      </c>
      <c r="AJ92" s="629">
        <f>_xlfn.XLOOKUP($E92,'Løp 6'!$E$10:$E$90,'Løp 6'!$L$10:$L$90,0)</f>
        <v>0</v>
      </c>
      <c r="AK92" s="628">
        <f>_xlfn.XLOOKUP($E92,'Løp 7'!$E$10:$E$90,'Løp 7'!$M$10:$M$90,0)</f>
        <v>0</v>
      </c>
      <c r="AL92" s="629">
        <f>_xlfn.XLOOKUP($E92,'Løp 7'!$E$10:$E$90,'Løp 7'!$O$10:$O$90,0)</f>
        <v>0</v>
      </c>
      <c r="AM92" s="629">
        <f>_xlfn.XLOOKUP($E92,'Løp 7'!$E$10:$E$90,'Løp 7'!$L$10:$L$90,0)</f>
        <v>0</v>
      </c>
      <c r="AN92" s="628">
        <f>_xlfn.XLOOKUP($E92,'Løp 8'!$E$10:$E$91,'Løp 8'!$M$10:$M$91,0)</f>
        <v>0</v>
      </c>
      <c r="AO92" s="629">
        <f>_xlfn.XLOOKUP($E92,'Løp 8'!$E$10:$E$91,'Løp 8'!$O$10:$O$91,0)</f>
        <v>0</v>
      </c>
      <c r="AP92" s="629">
        <f>_xlfn.XLOOKUP($E92,'Løp 8'!$E$10:$E$91,'Løp 8'!$L$10:$L$91,0)</f>
        <v>0</v>
      </c>
      <c r="AQ92" s="628">
        <f>_xlfn.XLOOKUP($E92,'Løp 9'!$E$10:$E$91,'Løp 9'!$M$10:$M$91,0)</f>
        <v>0</v>
      </c>
      <c r="AR92" s="629">
        <f>_xlfn.XLOOKUP($E92,'Løp 9'!$E$10:$E$91,'Løp 9'!$O$10:$O$91,0)</f>
        <v>0</v>
      </c>
      <c r="AS92" s="629">
        <f>_xlfn.XLOOKUP($E92,'Løp 9'!$E$10:$E$91,'Løp 9'!$L$10:$L$91,0)</f>
        <v>0</v>
      </c>
      <c r="AT92" s="628">
        <f>_xlfn.XLOOKUP($E92,'Løp 10'!$E$10:$E$91,'Løp 10'!$M$10:$M$91,0)</f>
        <v>0</v>
      </c>
      <c r="AU92" s="629">
        <f>_xlfn.XLOOKUP($E92,'Løp 10'!$E$10:$E$91,'Løp 10'!$O$10:$O$91,0)</f>
        <v>0</v>
      </c>
      <c r="AV92" s="629">
        <f>_xlfn.XLOOKUP($E92,'Løp 10'!$E$10:$E$91,'Løp 10'!$L$10:$L$91,0)</f>
        <v>0</v>
      </c>
      <c r="AW92" s="628">
        <f>_xlfn.XLOOKUP($E92,'Løp 11'!$E$10:$E$91,'Løp 11'!$M$10:$M$91,0)</f>
        <v>0</v>
      </c>
      <c r="AX92" s="629">
        <f>_xlfn.XLOOKUP($E92,'Løp 11'!$E$10:$E$91,'Løp 11'!$O$10:$O$91,0)</f>
        <v>0</v>
      </c>
      <c r="AY92" s="629">
        <f>_xlfn.XLOOKUP($E92,'Løp 11'!$E$10:$E$91,'Løp 11'!$L$10:$L$91,0)</f>
        <v>0</v>
      </c>
      <c r="AZ92" s="628">
        <f>_xlfn.XLOOKUP($E92,'Løp 12'!$E$10:$E$91,'Løp 12'!$M$10:$M$91,0)</f>
        <v>0</v>
      </c>
      <c r="BA92" s="629">
        <f>_xlfn.XLOOKUP($E92,'Løp 12'!$E$10:$E$91,'Løp 12'!$O$10:$O$91,0)</f>
        <v>0</v>
      </c>
      <c r="BB92" s="629">
        <f>_xlfn.XLOOKUP($E92,'Løp 12'!$E$10:$E$91,'Løp 12'!$L$10:$L$91,0)</f>
        <v>0</v>
      </c>
      <c r="BC92" s="628">
        <f>_xlfn.XLOOKUP($E92,'Løp 13'!$E$10:$E$91,'Løp 13'!$M$10:$M$91,0)</f>
        <v>0</v>
      </c>
      <c r="BD92" s="629">
        <f>_xlfn.XLOOKUP($E92,'Løp 13'!$E$10:$E$91,'Løp 13'!$O$10:$O$91,0)</f>
        <v>0</v>
      </c>
      <c r="BE92" s="629">
        <f>_xlfn.XLOOKUP($E92,'Løp 13'!$E$10:$E$91,'Løp 13'!$L$10:$L$91,0)</f>
        <v>0</v>
      </c>
      <c r="BF92" s="628">
        <f>_xlfn.XLOOKUP($E92,'Løp 14'!$E$10:$E$91,'Løp 14'!$M$10:$M$91,0)</f>
        <v>0</v>
      </c>
      <c r="BG92" s="629">
        <f>_xlfn.XLOOKUP($E92,'Løp 14'!$E$10:$E$91,'Løp 14'!$O$10:$O$91,0)</f>
        <v>0</v>
      </c>
      <c r="BH92" s="629">
        <f>_xlfn.XLOOKUP($E92,'Løp 14'!$E$10:$E$91,'Løp 14'!$L$10:$L$91,0)</f>
        <v>0</v>
      </c>
      <c r="BI92" s="628">
        <f>_xlfn.XLOOKUP($E92,'Løp 15'!$E$10:$E$91,'Løp 15'!$M$10:$M$91,0)</f>
        <v>0</v>
      </c>
      <c r="BJ92" s="629">
        <f>_xlfn.XLOOKUP($E92,'Løp 15'!$E$10:$E$91,'Løp 15'!$O$10:$O$91,0)</f>
        <v>0</v>
      </c>
      <c r="BK92" s="629">
        <f>_xlfn.XLOOKUP($E92,'Løp 15'!$E$10:$E$91,'Løp 15'!$L$10:$L$91,0)</f>
        <v>0</v>
      </c>
      <c r="BL92" s="628">
        <f>_xlfn.XLOOKUP($E92,'Løp 16'!$E$10:$E$91,'Løp 16'!$M$10:$M$91,0)</f>
        <v>0</v>
      </c>
      <c r="BM92" s="629">
        <f>_xlfn.XLOOKUP($E92,'Løp 16'!$E$10:$E$91,'Løp 16'!$O$10:$O$91,0)</f>
        <v>0</v>
      </c>
      <c r="BN92" s="629">
        <f>_xlfn.XLOOKUP($E92,'Løp 16'!$E$10:$E$91,'Løp 16'!$L$10:$L$91,0)</f>
        <v>0</v>
      </c>
      <c r="BO92" s="628">
        <f>_xlfn.XLOOKUP($E92,'Løp 17'!$E$10:$E$91,'Løp 17'!$M$10:$M$91,0)</f>
        <v>0</v>
      </c>
      <c r="BP92" s="629">
        <f>_xlfn.XLOOKUP($E92,'Løp 17'!$E$10:$E$91,'Løp 17'!$O$10:$O$91,0)</f>
        <v>0</v>
      </c>
      <c r="BQ92" s="629">
        <f>_xlfn.XLOOKUP($E92,'Løp 17'!$E$10:$E$91,'Løp 17'!$L$10:$L$91,0)</f>
        <v>0</v>
      </c>
      <c r="BR92" s="628">
        <f>_xlfn.XLOOKUP($E92,'Løp 18'!$E$10:$E$91,'Løp 18'!$M$10:$M$91,0)</f>
        <v>0</v>
      </c>
      <c r="BS92" s="629">
        <f>_xlfn.XLOOKUP($E92,'Løp 18'!$E$10:$E$91,'Løp 18'!$O$10:$O$91,0)</f>
        <v>0</v>
      </c>
      <c r="BT92" s="629">
        <f>_xlfn.XLOOKUP($E92,'Løp 18'!$E$10:$E$91,'Løp 18'!$L$10:$L$91,0)</f>
        <v>0</v>
      </c>
      <c r="BU92" s="628">
        <f>_xlfn.XLOOKUP($E92,'Løp 19'!$E$10:$E$91,'Løp 19'!$M$10:$M$91,0)</f>
        <v>0</v>
      </c>
      <c r="BV92" s="629">
        <f>_xlfn.XLOOKUP($E92,'Løp 19'!$E$10:$E$91,'Løp 19'!$O$10:$O$91,0)</f>
        <v>0</v>
      </c>
      <c r="BW92" s="629">
        <f>_xlfn.XLOOKUP($E92,'Løp 19'!$E$10:$E$91,'Løp 19'!$L$10:$L$91,0)</f>
        <v>0</v>
      </c>
      <c r="BX92" s="628">
        <f>_xlfn.XLOOKUP($E92,'Løp 20'!$E$10:$E$92,'Løp 20'!$M$10:$M$92,0)</f>
        <v>0</v>
      </c>
      <c r="BY92" s="629">
        <f>_xlfn.XLOOKUP($E92,'Løp 20'!$E$10:$E$92,'Løp 20'!$O$10:$O$92,0)</f>
        <v>0</v>
      </c>
      <c r="BZ92" s="629">
        <f>_xlfn.XLOOKUP($E92,'Løp 20'!$E$10:$E$92,'Løp 20'!$L$10:$L$92,0)</f>
        <v>0</v>
      </c>
      <c r="CA92" s="628">
        <f>_xlfn.XLOOKUP($E92,'Løp 21'!$E$10:$E$93,'Løp 21'!$M$10:$M$93,0)</f>
        <v>0</v>
      </c>
      <c r="CB92" s="629">
        <f>_xlfn.XLOOKUP($E92,'Løp 21'!$E$10:$E$93,'Løp 21'!$O$10:$O$93,0)</f>
        <v>0</v>
      </c>
      <c r="CC92" s="629">
        <f>_xlfn.XLOOKUP($E92,'Løp 21'!$E$10:$E$93,'Løp 21'!$L$10:$L$93,0)</f>
        <v>0</v>
      </c>
      <c r="CD92" s="628">
        <f>_xlfn.XLOOKUP($E92,'Løp 22'!$E$10:$E$93,'Løp 22'!$M$10:$M$93,0)</f>
        <v>0</v>
      </c>
      <c r="CE92" s="629">
        <f>_xlfn.XLOOKUP($E92,'Løp 22'!$E$10:$E$93,'Løp 22'!$O$10:$O$93,0)</f>
        <v>0</v>
      </c>
      <c r="CF92" s="629">
        <f>_xlfn.XLOOKUP($E92,'Løp 22'!$E$10:$E$93,'Løp 22'!$L$10:$L$93,0)</f>
        <v>0</v>
      </c>
      <c r="CG92" s="628">
        <f>_xlfn.XLOOKUP($E92,'Løp 23'!$E$10:$E$93,'Løp 23'!$M$10:$M$93,0)</f>
        <v>0</v>
      </c>
      <c r="CH92" s="629">
        <f>_xlfn.XLOOKUP($E92,'Løp 23'!$E$10:$E$93,'Løp 23'!$O$10:$O$93,0)</f>
        <v>0</v>
      </c>
      <c r="CI92" s="629">
        <f>_xlfn.XLOOKUP($E92,'Løp 23'!$E$10:$E$93,'Løp 23'!$L$10:$L$93,0)</f>
        <v>0</v>
      </c>
      <c r="CJ92" s="628">
        <f>_xlfn.XLOOKUP($E92,'Løp 24'!$E$10:$E$93,'Løp 24'!$M$10:$M$93,0)</f>
        <v>0</v>
      </c>
      <c r="CK92" s="629">
        <f>_xlfn.XLOOKUP($E92,'Løp 24'!$E$10:$E$93,'Løp 24'!$O$10:$O$93,0)</f>
        <v>0</v>
      </c>
      <c r="CL92" s="629">
        <f>_xlfn.XLOOKUP($E92,'Løp 24'!$E$10:$E$93,'Løp 24'!$L$10:$L$93,0)</f>
        <v>0</v>
      </c>
      <c r="CM92" s="628">
        <f>_xlfn.XLOOKUP($E92,'Løp 25'!$E$10:$E$94,'Løp 25'!$M$10:$M$94,0)</f>
        <v>0</v>
      </c>
      <c r="CN92" s="629">
        <f>_xlfn.XLOOKUP($E92,'Løp 25'!$E$10:$E$94,'Løp 25'!$O$10:$O$94,0)</f>
        <v>0</v>
      </c>
      <c r="CO92" s="629">
        <f>_xlfn.XLOOKUP($E92,'Løp 25'!$E$10:$E$94,'Løp 25'!$L$10:$L$94,0)</f>
        <v>0</v>
      </c>
      <c r="CP92" s="628">
        <f>_xlfn.XLOOKUP($E92,'Løp 26'!$E$10:$E$94,'Løp 26'!$M$10:$M$94,0)</f>
        <v>0</v>
      </c>
      <c r="CQ92" s="629">
        <f>_xlfn.XLOOKUP($E92,'Løp 26'!$E$10:$E$94,'Løp 26'!$O$10:$O$94,0)</f>
        <v>0</v>
      </c>
      <c r="CR92" s="629">
        <f>_xlfn.XLOOKUP($E92,'Løp 26'!$E$10:$E$94,'Løp 26'!$L$10:$L$94,0)</f>
        <v>0</v>
      </c>
      <c r="CS92" s="628">
        <f>_xlfn.XLOOKUP($E92,'Løp 27'!$E$10:$E$94,'Løp 27'!$M$10:$M$94,0)</f>
        <v>0</v>
      </c>
      <c r="CT92" s="629">
        <f>_xlfn.XLOOKUP($E92,'Løp 27'!$E$10:$E$94,'Løp 27'!$O$10:$O$94,0)</f>
        <v>0</v>
      </c>
      <c r="CU92" s="629">
        <f>_xlfn.XLOOKUP($E92,'Løp 27'!$E$10:$E$94,'Løp 27'!$L$10:$L$94,0)</f>
        <v>0</v>
      </c>
      <c r="CV92" s="628">
        <f>_xlfn.XLOOKUP($E92,'Løp 28'!$E$10:$E$95,'Løp 28'!$M$10:$M$95,0)</f>
        <v>0</v>
      </c>
      <c r="CW92" s="629">
        <f>_xlfn.XLOOKUP($E92,'Løp 28'!$E$10:$E$95,'Løp 28'!$O$10:$O$95,0)</f>
        <v>0</v>
      </c>
      <c r="CX92" s="629">
        <f>_xlfn.XLOOKUP($E92,'Løp 28'!$E$10:$E$95,'Løp 28'!$L$10:$L$95,0)</f>
        <v>0</v>
      </c>
      <c r="CY92" s="628">
        <f>_xlfn.XLOOKUP($E92,'Løp 29'!$E$10:$E$95,'Løp 29'!$M$10:$M$95,0)</f>
        <v>0</v>
      </c>
      <c r="CZ92" s="629">
        <f>_xlfn.XLOOKUP($E92,'Løp 29'!$E$10:$E$95,'Løp 29'!$O$10:$O$95,0)</f>
        <v>0</v>
      </c>
      <c r="DA92" s="629">
        <f>_xlfn.XLOOKUP($E92,'Løp 29'!$E$10:$E$95,'Løp 29'!$L$10:$L$95,0)</f>
        <v>0</v>
      </c>
    </row>
    <row r="93" spans="2:105" ht="26" thickBot="1" x14ac:dyDescent="0.3">
      <c r="B93" s="627">
        <f t="shared" si="0"/>
        <v>84</v>
      </c>
      <c r="C93" s="123" t="s">
        <v>271</v>
      </c>
      <c r="D93" s="621" t="s">
        <v>272</v>
      </c>
      <c r="E93" s="616" t="str">
        <f>_xlfn.CONCAT(C93:D93)</f>
        <v>Arne KjellFoldvik</v>
      </c>
      <c r="F93" s="610"/>
      <c r="G93" s="653">
        <f>COUNTIF(S93:DA93,"&gt;2")/2</f>
        <v>0</v>
      </c>
      <c r="H93" s="852">
        <f>COUNTIF(S93:DA93,"=Løype")+COUNTIF(S93:DA93,"Arr")</f>
        <v>0</v>
      </c>
      <c r="I93" s="610"/>
      <c r="J93" s="632">
        <f>S93+V93+Y93+AB93+AE93+AH93+AK93+AN93+AQ93+AT93+AW93+AZ93+BC93+BF93+BI93+BL93+BO93+BR93+BU93+BX93+CA93+CD93+CG93+CJ93+CM93+CP93+CS93+CV93+CY93</f>
        <v>0</v>
      </c>
      <c r="K93" s="633">
        <f>T93+W93+Z93+AC93+AF93+AI93+AL93+AO93+AR93+AU93+AX93+BA93+BD93+BG93+BJ93+BM93+BP93+BS93+BV93+BY93+CB93+CE93+CH93+CK93+CN93+CQ93+CT93+CW93+CZ93</f>
        <v>0</v>
      </c>
      <c r="L93" s="613"/>
      <c r="M93" s="658">
        <f>IF($G93&gt;0,J93/G93,0)</f>
        <v>0</v>
      </c>
      <c r="N93" s="659">
        <f>IF($G93&gt;0,K93/$G93,0)</f>
        <v>0</v>
      </c>
      <c r="O93" s="862"/>
      <c r="P93" s="874">
        <f>IF(AND($G93&gt;$Q$3-1,$G93-$H93&gt;0),M93,0)</f>
        <v>0</v>
      </c>
      <c r="Q93" s="875">
        <f>IF(AND($G93&gt;$Q$3-1,$G93-$H93&gt;0),N93,0)</f>
        <v>0</v>
      </c>
      <c r="R93" s="613"/>
      <c r="S93" s="628">
        <f>_xlfn.XLOOKUP($E93,'Løp 1'!$E$10:$E$90,'Løp 1'!$M$10:$M$90,0)</f>
        <v>0</v>
      </c>
      <c r="T93" s="629">
        <f>_xlfn.XLOOKUP($E93,'Løp 1'!$E$10:$E$90,'Løp 1'!$O$10:$O$90,0)</f>
        <v>0</v>
      </c>
      <c r="U93" s="629">
        <f>_xlfn.XLOOKUP($E93,'Løp 1'!$E$10:$E$90,'Løp 1'!$L$10:$L$90,0)</f>
        <v>0</v>
      </c>
      <c r="V93" s="628">
        <f>_xlfn.XLOOKUP($E93,'Løp 2'!$E$10:$E$90,'Løp 2'!$M$10:$M$90,0)</f>
        <v>0</v>
      </c>
      <c r="W93" s="629">
        <f>_xlfn.XLOOKUP($E93,'Løp 2'!$E$10:$E$90,'Løp 2'!$O$10:$O$90,0)</f>
        <v>0</v>
      </c>
      <c r="X93" s="629">
        <f>_xlfn.XLOOKUP($E93,'Løp 2'!$E$10:$E$90,'Løp 2'!$L$10:$L$90,0)</f>
        <v>0</v>
      </c>
      <c r="Y93" s="628">
        <f>_xlfn.XLOOKUP($E93,'Løp 3'!$E$10:$E$90,'Løp 3'!$M$10:$M$90,0)</f>
        <v>0</v>
      </c>
      <c r="Z93" s="629">
        <f>_xlfn.XLOOKUP($E93,'Løp 3'!$E$10:$E$90,'Løp 3'!$O$10:$O$90,0)</f>
        <v>0</v>
      </c>
      <c r="AA93" s="629">
        <f>_xlfn.XLOOKUP($E93,'Løp 3'!$E$10:$E$90,'Løp 3'!$L$10:$L$90,0)</f>
        <v>0</v>
      </c>
      <c r="AB93" s="628">
        <f>_xlfn.XLOOKUP($E93,'Løp 4'!$E$10:$E$90,'Løp 4'!$M$10:$M$90,0)</f>
        <v>0</v>
      </c>
      <c r="AC93" s="629">
        <f>_xlfn.XLOOKUP($E93,'Løp 4'!$E$10:$E$90,'Løp 4'!$O$10:$O$90,0)</f>
        <v>0</v>
      </c>
      <c r="AD93" s="629">
        <f>_xlfn.XLOOKUP($E93,'Løp 4'!$E$10:$E$90,'Løp 4'!$L$10:$L$90,0)</f>
        <v>0</v>
      </c>
      <c r="AE93" s="628">
        <f>_xlfn.XLOOKUP($E93,'Løp 5'!$E$10:$E$90,'Løp 5'!$M$10:$M$90,0)</f>
        <v>0</v>
      </c>
      <c r="AF93" s="629">
        <f>_xlfn.XLOOKUP($E93,'Løp 5'!$E$10:$E$90,'Løp 5'!$O$10:$O$90,0)</f>
        <v>0</v>
      </c>
      <c r="AG93" s="629">
        <f>_xlfn.XLOOKUP($E93,'Løp 5'!$E$10:$E$90,'Løp 5'!$L$10:$L$90,0)</f>
        <v>0</v>
      </c>
      <c r="AH93" s="628">
        <f>_xlfn.XLOOKUP($E93,'Løp 6'!$E$10:$E$90,'Løp 6'!$M$10:$M$90,0)</f>
        <v>0</v>
      </c>
      <c r="AI93" s="629">
        <f>_xlfn.XLOOKUP($E93,'Løp 6'!$E$10:$E$90,'Løp 6'!$O$10:$O$90,0)</f>
        <v>0</v>
      </c>
      <c r="AJ93" s="629">
        <f>_xlfn.XLOOKUP($E93,'Løp 6'!$E$10:$E$90,'Løp 6'!$L$10:$L$90,0)</f>
        <v>0</v>
      </c>
      <c r="AK93" s="628">
        <f>_xlfn.XLOOKUP($E93,'Løp 7'!$E$10:$E$90,'Løp 7'!$M$10:$M$90,0)</f>
        <v>0</v>
      </c>
      <c r="AL93" s="629">
        <f>_xlfn.XLOOKUP($E93,'Løp 7'!$E$10:$E$90,'Løp 7'!$O$10:$O$90,0)</f>
        <v>0</v>
      </c>
      <c r="AM93" s="629">
        <f>_xlfn.XLOOKUP($E93,'Løp 7'!$E$10:$E$90,'Løp 7'!$L$10:$L$90,0)</f>
        <v>0</v>
      </c>
      <c r="AN93" s="628">
        <f>_xlfn.XLOOKUP($E93,'Løp 8'!$E$10:$E$91,'Løp 8'!$M$10:$M$91,0)</f>
        <v>0</v>
      </c>
      <c r="AO93" s="629">
        <f>_xlfn.XLOOKUP($E93,'Løp 8'!$E$10:$E$91,'Løp 8'!$O$10:$O$91,0)</f>
        <v>0</v>
      </c>
      <c r="AP93" s="629">
        <f>_xlfn.XLOOKUP($E93,'Løp 8'!$E$10:$E$91,'Løp 8'!$L$10:$L$91,0)</f>
        <v>0</v>
      </c>
      <c r="AQ93" s="628">
        <f>_xlfn.XLOOKUP($E93,'Løp 9'!$E$10:$E$91,'Løp 9'!$M$10:$M$91,0)</f>
        <v>0</v>
      </c>
      <c r="AR93" s="629">
        <f>_xlfn.XLOOKUP($E93,'Løp 9'!$E$10:$E$91,'Løp 9'!$O$10:$O$91,0)</f>
        <v>0</v>
      </c>
      <c r="AS93" s="629">
        <f>_xlfn.XLOOKUP($E93,'Løp 9'!$E$10:$E$91,'Løp 9'!$L$10:$L$91,0)</f>
        <v>0</v>
      </c>
      <c r="AT93" s="628">
        <f>_xlfn.XLOOKUP($E93,'Løp 10'!$E$10:$E$91,'Løp 10'!$M$10:$M$91,0)</f>
        <v>0</v>
      </c>
      <c r="AU93" s="629">
        <f>_xlfn.XLOOKUP($E93,'Løp 10'!$E$10:$E$91,'Løp 10'!$O$10:$O$91,0)</f>
        <v>0</v>
      </c>
      <c r="AV93" s="629">
        <f>_xlfn.XLOOKUP($E93,'Løp 10'!$E$10:$E$91,'Løp 10'!$L$10:$L$91,0)</f>
        <v>0</v>
      </c>
      <c r="AW93" s="628">
        <f>_xlfn.XLOOKUP($E93,'Løp 11'!$E$10:$E$91,'Løp 11'!$M$10:$M$91,0)</f>
        <v>0</v>
      </c>
      <c r="AX93" s="629">
        <f>_xlfn.XLOOKUP($E93,'Løp 11'!$E$10:$E$91,'Løp 11'!$O$10:$O$91,0)</f>
        <v>0</v>
      </c>
      <c r="AY93" s="629">
        <f>_xlfn.XLOOKUP($E93,'Løp 11'!$E$10:$E$91,'Løp 11'!$L$10:$L$91,0)</f>
        <v>0</v>
      </c>
      <c r="AZ93" s="628">
        <f>_xlfn.XLOOKUP($E93,'Løp 12'!$E$10:$E$91,'Løp 12'!$M$10:$M$91,0)</f>
        <v>0</v>
      </c>
      <c r="BA93" s="629">
        <f>_xlfn.XLOOKUP($E93,'Løp 12'!$E$10:$E$91,'Løp 12'!$O$10:$O$91,0)</f>
        <v>0</v>
      </c>
      <c r="BB93" s="629">
        <f>_xlfn.XLOOKUP($E93,'Løp 12'!$E$10:$E$91,'Løp 12'!$L$10:$L$91,0)</f>
        <v>0</v>
      </c>
      <c r="BC93" s="628">
        <f>_xlfn.XLOOKUP($E93,'Løp 13'!$E$10:$E$91,'Løp 13'!$M$10:$M$91,0)</f>
        <v>0</v>
      </c>
      <c r="BD93" s="629">
        <f>_xlfn.XLOOKUP($E93,'Løp 13'!$E$10:$E$91,'Løp 13'!$O$10:$O$91,0)</f>
        <v>0</v>
      </c>
      <c r="BE93" s="629">
        <f>_xlfn.XLOOKUP($E93,'Løp 13'!$E$10:$E$91,'Løp 13'!$L$10:$L$91,0)</f>
        <v>0</v>
      </c>
      <c r="BF93" s="628">
        <f>_xlfn.XLOOKUP($E93,'Løp 14'!$E$10:$E$91,'Løp 14'!$M$10:$M$91,0)</f>
        <v>0</v>
      </c>
      <c r="BG93" s="629">
        <f>_xlfn.XLOOKUP($E93,'Løp 14'!$E$10:$E$91,'Løp 14'!$O$10:$O$91,0)</f>
        <v>0</v>
      </c>
      <c r="BH93" s="629">
        <f>_xlfn.XLOOKUP($E93,'Løp 14'!$E$10:$E$91,'Løp 14'!$L$10:$L$91,0)</f>
        <v>0</v>
      </c>
      <c r="BI93" s="628">
        <f>_xlfn.XLOOKUP($E93,'Løp 15'!$E$10:$E$91,'Løp 15'!$M$10:$M$91,0)</f>
        <v>0</v>
      </c>
      <c r="BJ93" s="629">
        <f>_xlfn.XLOOKUP($E93,'Løp 15'!$E$10:$E$91,'Løp 15'!$O$10:$O$91,0)</f>
        <v>0</v>
      </c>
      <c r="BK93" s="629">
        <f>_xlfn.XLOOKUP($E93,'Løp 15'!$E$10:$E$91,'Løp 15'!$L$10:$L$91,0)</f>
        <v>0</v>
      </c>
      <c r="BL93" s="628">
        <f>_xlfn.XLOOKUP($E93,'Løp 16'!$E$10:$E$91,'Løp 16'!$M$10:$M$91,0)</f>
        <v>0</v>
      </c>
      <c r="BM93" s="629">
        <f>_xlfn.XLOOKUP($E93,'Løp 16'!$E$10:$E$91,'Løp 16'!$O$10:$O$91,0)</f>
        <v>0</v>
      </c>
      <c r="BN93" s="629">
        <f>_xlfn.XLOOKUP($E93,'Løp 16'!$E$10:$E$91,'Løp 16'!$L$10:$L$91,0)</f>
        <v>0</v>
      </c>
      <c r="BO93" s="628">
        <f>_xlfn.XLOOKUP($E93,'Løp 17'!$E$10:$E$91,'Løp 17'!$M$10:$M$91,0)</f>
        <v>0</v>
      </c>
      <c r="BP93" s="629">
        <f>_xlfn.XLOOKUP($E93,'Løp 17'!$E$10:$E$91,'Løp 17'!$O$10:$O$91,0)</f>
        <v>0</v>
      </c>
      <c r="BQ93" s="629">
        <f>_xlfn.XLOOKUP($E93,'Løp 17'!$E$10:$E$91,'Løp 17'!$L$10:$L$91,0)</f>
        <v>0</v>
      </c>
      <c r="BR93" s="628">
        <f>_xlfn.XLOOKUP($E93,'Løp 18'!$E$10:$E$91,'Løp 18'!$M$10:$M$91,0)</f>
        <v>0</v>
      </c>
      <c r="BS93" s="629">
        <f>_xlfn.XLOOKUP($E93,'Løp 18'!$E$10:$E$91,'Løp 18'!$O$10:$O$91,0)</f>
        <v>0</v>
      </c>
      <c r="BT93" s="629">
        <f>_xlfn.XLOOKUP($E93,'Løp 18'!$E$10:$E$91,'Løp 18'!$L$10:$L$91,0)</f>
        <v>0</v>
      </c>
      <c r="BU93" s="628">
        <f>_xlfn.XLOOKUP($E93,'Løp 19'!$E$10:$E$91,'Løp 19'!$M$10:$M$91,0)</f>
        <v>0</v>
      </c>
      <c r="BV93" s="629">
        <f>_xlfn.XLOOKUP($E93,'Løp 19'!$E$10:$E$91,'Løp 19'!$O$10:$O$91,0)</f>
        <v>0</v>
      </c>
      <c r="BW93" s="629">
        <f>_xlfn.XLOOKUP($E93,'Løp 19'!$E$10:$E$91,'Løp 19'!$L$10:$L$91,0)</f>
        <v>0</v>
      </c>
      <c r="BX93" s="628">
        <f>_xlfn.XLOOKUP($E93,'Løp 20'!$E$10:$E$92,'Løp 20'!$M$10:$M$92,0)</f>
        <v>0</v>
      </c>
      <c r="BY93" s="629">
        <f>_xlfn.XLOOKUP($E93,'Løp 20'!$E$10:$E$92,'Løp 20'!$O$10:$O$92,0)</f>
        <v>0</v>
      </c>
      <c r="BZ93" s="629">
        <f>_xlfn.XLOOKUP($E93,'Løp 20'!$E$10:$E$92,'Løp 20'!$L$10:$L$92,0)</f>
        <v>0</v>
      </c>
      <c r="CA93" s="628">
        <f>_xlfn.XLOOKUP($E93,'Løp 21'!$E$10:$E$93,'Løp 21'!$M$10:$M$93,0)</f>
        <v>0</v>
      </c>
      <c r="CB93" s="629">
        <f>_xlfn.XLOOKUP($E93,'Løp 21'!$E$10:$E$93,'Løp 21'!$O$10:$O$93,0)</f>
        <v>0</v>
      </c>
      <c r="CC93" s="629">
        <f>_xlfn.XLOOKUP($E93,'Løp 21'!$E$10:$E$93,'Løp 21'!$L$10:$L$93,0)</f>
        <v>0</v>
      </c>
      <c r="CD93" s="628">
        <f>_xlfn.XLOOKUP($E93,'Løp 22'!$E$10:$E$93,'Løp 22'!$M$10:$M$93,0)</f>
        <v>0</v>
      </c>
      <c r="CE93" s="629">
        <f>_xlfn.XLOOKUP($E93,'Løp 22'!$E$10:$E$93,'Løp 22'!$O$10:$O$93,0)</f>
        <v>0</v>
      </c>
      <c r="CF93" s="629">
        <f>_xlfn.XLOOKUP($E93,'Løp 22'!$E$10:$E$93,'Løp 22'!$L$10:$L$93,0)</f>
        <v>0</v>
      </c>
      <c r="CG93" s="628">
        <f>_xlfn.XLOOKUP($E93,'Løp 23'!$E$10:$E$93,'Løp 23'!$M$10:$M$93,0)</f>
        <v>0</v>
      </c>
      <c r="CH93" s="629">
        <f>_xlfn.XLOOKUP($E93,'Løp 23'!$E$10:$E$93,'Løp 23'!$O$10:$O$93,0)</f>
        <v>0</v>
      </c>
      <c r="CI93" s="629">
        <f>_xlfn.XLOOKUP($E93,'Løp 23'!$E$10:$E$93,'Løp 23'!$L$10:$L$93,0)</f>
        <v>0</v>
      </c>
      <c r="CJ93" s="628">
        <f>_xlfn.XLOOKUP($E93,'Løp 24'!$E$10:$E$93,'Løp 24'!$M$10:$M$93,0)</f>
        <v>0</v>
      </c>
      <c r="CK93" s="629">
        <f>_xlfn.XLOOKUP($E93,'Løp 24'!$E$10:$E$93,'Løp 24'!$O$10:$O$93,0)</f>
        <v>0</v>
      </c>
      <c r="CL93" s="629">
        <f>_xlfn.XLOOKUP($E93,'Løp 24'!$E$10:$E$93,'Løp 24'!$L$10:$L$93,0)</f>
        <v>0</v>
      </c>
      <c r="CM93" s="628">
        <f>_xlfn.XLOOKUP($E93,'Løp 25'!$E$10:$E$94,'Løp 25'!$M$10:$M$94,0)</f>
        <v>0</v>
      </c>
      <c r="CN93" s="629">
        <f>_xlfn.XLOOKUP($E93,'Løp 25'!$E$10:$E$94,'Løp 25'!$O$10:$O$94,0)</f>
        <v>0</v>
      </c>
      <c r="CO93" s="629">
        <f>_xlfn.XLOOKUP($E93,'Løp 25'!$E$10:$E$94,'Løp 25'!$L$10:$L$94,0)</f>
        <v>0</v>
      </c>
      <c r="CP93" s="628">
        <f>_xlfn.XLOOKUP($E93,'Løp 26'!$E$10:$E$94,'Løp 26'!$M$10:$M$94,0)</f>
        <v>0</v>
      </c>
      <c r="CQ93" s="629">
        <f>_xlfn.XLOOKUP($E93,'Løp 26'!$E$10:$E$94,'Løp 26'!$O$10:$O$94,0)</f>
        <v>0</v>
      </c>
      <c r="CR93" s="629">
        <f>_xlfn.XLOOKUP($E93,'Løp 26'!$E$10:$E$94,'Løp 26'!$L$10:$L$94,0)</f>
        <v>0</v>
      </c>
      <c r="CS93" s="628">
        <f>_xlfn.XLOOKUP($E93,'Løp 27'!$E$10:$E$94,'Løp 27'!$M$10:$M$94,0)</f>
        <v>0</v>
      </c>
      <c r="CT93" s="629">
        <f>_xlfn.XLOOKUP($E93,'Løp 27'!$E$10:$E$94,'Løp 27'!$O$10:$O$94,0)</f>
        <v>0</v>
      </c>
      <c r="CU93" s="629">
        <f>_xlfn.XLOOKUP($E93,'Løp 27'!$E$10:$E$94,'Løp 27'!$L$10:$L$94,0)</f>
        <v>0</v>
      </c>
      <c r="CV93" s="628">
        <f>_xlfn.XLOOKUP($E93,'Løp 28'!$E$10:$E$95,'Løp 28'!$M$10:$M$95,0)</f>
        <v>0</v>
      </c>
      <c r="CW93" s="629">
        <f>_xlfn.XLOOKUP($E93,'Løp 28'!$E$10:$E$95,'Løp 28'!$O$10:$O$95,0)</f>
        <v>0</v>
      </c>
      <c r="CX93" s="629">
        <f>_xlfn.XLOOKUP($E93,'Løp 28'!$E$10:$E$95,'Løp 28'!$L$10:$L$95,0)</f>
        <v>0</v>
      </c>
      <c r="CY93" s="628">
        <f>_xlfn.XLOOKUP($E93,'Løp 29'!$E$10:$E$95,'Løp 29'!$M$10:$M$95,0)</f>
        <v>0</v>
      </c>
      <c r="CZ93" s="629">
        <f>_xlfn.XLOOKUP($E93,'Løp 29'!$E$10:$E$95,'Løp 29'!$O$10:$O$95,0)</f>
        <v>0</v>
      </c>
      <c r="DA93" s="629">
        <f>_xlfn.XLOOKUP($E93,'Løp 29'!$E$10:$E$95,'Løp 29'!$L$10:$L$95,0)</f>
        <v>0</v>
      </c>
    </row>
    <row r="94" spans="2:105" ht="26" thickBot="1" x14ac:dyDescent="0.3">
      <c r="B94" s="627">
        <f t="shared" ref="B94:B100" si="2">B93+1</f>
        <v>85</v>
      </c>
      <c r="C94" s="123" t="s">
        <v>92</v>
      </c>
      <c r="D94" s="621" t="s">
        <v>93</v>
      </c>
      <c r="E94" s="616" t="str">
        <f>_xlfn.CONCAT(C94:D94)</f>
        <v>Jens ØysteinGjersvold</v>
      </c>
      <c r="F94" s="610"/>
      <c r="G94" s="653">
        <f>COUNTIF(S94:DA94,"&gt;2")/2</f>
        <v>0</v>
      </c>
      <c r="H94" s="852">
        <f>COUNTIF(S94:DA94,"=Løype")+COUNTIF(S94:DA94,"Arr")</f>
        <v>0</v>
      </c>
      <c r="I94" s="610"/>
      <c r="J94" s="632">
        <f>S94+V94+Y94+AB94+AE94+AH94+AK94+AN94+AQ94+AT94+AW94+AZ94+BC94+BF94+BI94+BL94+BO94+BR94+BU94+BX94+CA94+CD94+CG94+CJ94+CM94+CP94+CS94+CV94+CY94</f>
        <v>0</v>
      </c>
      <c r="K94" s="633">
        <f>T94+W94+Z94+AC94+AF94+AI94+AL94+AO94+AR94+AU94+AX94+BA94+BD94+BG94+BJ94+BM94+BP94+BS94+BV94+BY94+CB94+CE94+CH94+CK94+CN94+CQ94+CT94+CW94+CZ94</f>
        <v>0</v>
      </c>
      <c r="L94" s="613"/>
      <c r="M94" s="658">
        <f>IF($G94&gt;0,J94/G94,0)</f>
        <v>0</v>
      </c>
      <c r="N94" s="659">
        <f>IF($G94&gt;0,K94/$G94,0)</f>
        <v>0</v>
      </c>
      <c r="O94" s="862"/>
      <c r="P94" s="874">
        <f>IF(AND($G94&gt;$Q$3-1,$G94-$H94&gt;0),M94,0)</f>
        <v>0</v>
      </c>
      <c r="Q94" s="875">
        <f>IF(AND($G94&gt;$Q$3-1,$G94-$H94&gt;0),N94,0)</f>
        <v>0</v>
      </c>
      <c r="R94" s="613"/>
      <c r="S94" s="628">
        <f>_xlfn.XLOOKUP($E94,'Løp 1'!$E$10:$E$90,'Løp 1'!$M$10:$M$90,0)</f>
        <v>0</v>
      </c>
      <c r="T94" s="629">
        <f>_xlfn.XLOOKUP($E94,'Løp 1'!$E$10:$E$90,'Løp 1'!$O$10:$O$90,0)</f>
        <v>0</v>
      </c>
      <c r="U94" s="629">
        <f>_xlfn.XLOOKUP($E94,'Løp 1'!$E$10:$E$90,'Løp 1'!$L$10:$L$90,0)</f>
        <v>0</v>
      </c>
      <c r="V94" s="628">
        <f>_xlfn.XLOOKUP($E94,'Løp 2'!$E$10:$E$90,'Løp 2'!$M$10:$M$90,0)</f>
        <v>0</v>
      </c>
      <c r="W94" s="629">
        <f>_xlfn.XLOOKUP($E94,'Løp 2'!$E$10:$E$90,'Løp 2'!$O$10:$O$90,0)</f>
        <v>0</v>
      </c>
      <c r="X94" s="629">
        <f>_xlfn.XLOOKUP($E94,'Løp 2'!$E$10:$E$90,'Løp 2'!$L$10:$L$90,0)</f>
        <v>0</v>
      </c>
      <c r="Y94" s="628">
        <f>_xlfn.XLOOKUP($E94,'Løp 3'!$E$10:$E$90,'Løp 3'!$M$10:$M$90,0)</f>
        <v>0</v>
      </c>
      <c r="Z94" s="629">
        <f>_xlfn.XLOOKUP($E94,'Løp 3'!$E$10:$E$90,'Løp 3'!$O$10:$O$90,0)</f>
        <v>0</v>
      </c>
      <c r="AA94" s="629">
        <f>_xlfn.XLOOKUP($E94,'Løp 3'!$E$10:$E$90,'Løp 3'!$L$10:$L$90,0)</f>
        <v>0</v>
      </c>
      <c r="AB94" s="628">
        <f>_xlfn.XLOOKUP($E94,'Løp 4'!$E$10:$E$90,'Løp 4'!$M$10:$M$90,0)</f>
        <v>0</v>
      </c>
      <c r="AC94" s="629">
        <f>_xlfn.XLOOKUP($E94,'Løp 4'!$E$10:$E$90,'Løp 4'!$O$10:$O$90,0)</f>
        <v>0</v>
      </c>
      <c r="AD94" s="629">
        <f>_xlfn.XLOOKUP($E94,'Løp 4'!$E$10:$E$90,'Løp 4'!$L$10:$L$90,0)</f>
        <v>0</v>
      </c>
      <c r="AE94" s="628">
        <f>_xlfn.XLOOKUP($E94,'Løp 5'!$E$10:$E$90,'Løp 5'!$M$10:$M$90,0)</f>
        <v>0</v>
      </c>
      <c r="AF94" s="629">
        <f>_xlfn.XLOOKUP($E94,'Løp 5'!$E$10:$E$90,'Løp 5'!$O$10:$O$90,0)</f>
        <v>0</v>
      </c>
      <c r="AG94" s="629">
        <f>_xlfn.XLOOKUP($E94,'Løp 5'!$E$10:$E$90,'Løp 5'!$L$10:$L$90,0)</f>
        <v>0</v>
      </c>
      <c r="AH94" s="628">
        <f>_xlfn.XLOOKUP($E94,'Løp 6'!$E$10:$E$90,'Løp 6'!$M$10:$M$90,0)</f>
        <v>0</v>
      </c>
      <c r="AI94" s="629">
        <f>_xlfn.XLOOKUP($E94,'Løp 6'!$E$10:$E$90,'Løp 6'!$O$10:$O$90,0)</f>
        <v>0</v>
      </c>
      <c r="AJ94" s="629">
        <f>_xlfn.XLOOKUP($E94,'Løp 6'!$E$10:$E$90,'Løp 6'!$L$10:$L$90,0)</f>
        <v>0</v>
      </c>
      <c r="AK94" s="628">
        <f>_xlfn.XLOOKUP($E94,'Løp 7'!$E$10:$E$90,'Løp 7'!$M$10:$M$90,0)</f>
        <v>0</v>
      </c>
      <c r="AL94" s="629">
        <f>_xlfn.XLOOKUP($E94,'Løp 7'!$E$10:$E$90,'Løp 7'!$O$10:$O$90,0)</f>
        <v>0</v>
      </c>
      <c r="AM94" s="629">
        <f>_xlfn.XLOOKUP($E94,'Løp 7'!$E$10:$E$90,'Løp 7'!$L$10:$L$90,0)</f>
        <v>0</v>
      </c>
      <c r="AN94" s="628">
        <f>_xlfn.XLOOKUP($E94,'Løp 8'!$E$10:$E$91,'Løp 8'!$M$10:$M$91,0)</f>
        <v>0</v>
      </c>
      <c r="AO94" s="629">
        <f>_xlfn.XLOOKUP($E94,'Løp 8'!$E$10:$E$91,'Løp 8'!$O$10:$O$91,0)</f>
        <v>0</v>
      </c>
      <c r="AP94" s="629">
        <f>_xlfn.XLOOKUP($E94,'Løp 8'!$E$10:$E$91,'Løp 8'!$L$10:$L$91,0)</f>
        <v>0</v>
      </c>
      <c r="AQ94" s="628">
        <f>_xlfn.XLOOKUP($E94,'Løp 9'!$E$10:$E$91,'Løp 9'!$M$10:$M$91,0)</f>
        <v>0</v>
      </c>
      <c r="AR94" s="629">
        <f>_xlfn.XLOOKUP($E94,'Løp 9'!$E$10:$E$91,'Løp 9'!$O$10:$O$91,0)</f>
        <v>0</v>
      </c>
      <c r="AS94" s="629">
        <f>_xlfn.XLOOKUP($E94,'Løp 9'!$E$10:$E$91,'Løp 9'!$L$10:$L$91,0)</f>
        <v>0</v>
      </c>
      <c r="AT94" s="628">
        <f>_xlfn.XLOOKUP($E94,'Løp 10'!$E$10:$E$91,'Løp 10'!$M$10:$M$91,0)</f>
        <v>0</v>
      </c>
      <c r="AU94" s="629">
        <f>_xlfn.XLOOKUP($E94,'Løp 10'!$E$10:$E$91,'Løp 10'!$O$10:$O$91,0)</f>
        <v>0</v>
      </c>
      <c r="AV94" s="629">
        <f>_xlfn.XLOOKUP($E94,'Løp 10'!$E$10:$E$91,'Løp 10'!$L$10:$L$91,0)</f>
        <v>0</v>
      </c>
      <c r="AW94" s="628">
        <f>_xlfn.XLOOKUP($E94,'Løp 11'!$E$10:$E$91,'Løp 11'!$M$10:$M$91,0)</f>
        <v>0</v>
      </c>
      <c r="AX94" s="629">
        <f>_xlfn.XLOOKUP($E94,'Løp 11'!$E$10:$E$91,'Løp 11'!$O$10:$O$91,0)</f>
        <v>0</v>
      </c>
      <c r="AY94" s="629">
        <f>_xlfn.XLOOKUP($E94,'Løp 11'!$E$10:$E$91,'Løp 11'!$L$10:$L$91,0)</f>
        <v>0</v>
      </c>
      <c r="AZ94" s="628">
        <f>_xlfn.XLOOKUP($E94,'Løp 12'!$E$10:$E$91,'Løp 12'!$M$10:$M$91,0)</f>
        <v>0</v>
      </c>
      <c r="BA94" s="629">
        <f>_xlfn.XLOOKUP($E94,'Løp 12'!$E$10:$E$91,'Løp 12'!$O$10:$O$91,0)</f>
        <v>0</v>
      </c>
      <c r="BB94" s="629">
        <f>_xlfn.XLOOKUP($E94,'Løp 12'!$E$10:$E$91,'Løp 12'!$L$10:$L$91,0)</f>
        <v>0</v>
      </c>
      <c r="BC94" s="628">
        <f>_xlfn.XLOOKUP($E94,'Løp 13'!$E$10:$E$91,'Løp 13'!$M$10:$M$91,0)</f>
        <v>0</v>
      </c>
      <c r="BD94" s="629">
        <f>_xlfn.XLOOKUP($E94,'Løp 13'!$E$10:$E$91,'Løp 13'!$O$10:$O$91,0)</f>
        <v>0</v>
      </c>
      <c r="BE94" s="629">
        <f>_xlfn.XLOOKUP($E94,'Løp 13'!$E$10:$E$91,'Løp 13'!$L$10:$L$91,0)</f>
        <v>0</v>
      </c>
      <c r="BF94" s="628">
        <f>_xlfn.XLOOKUP($E94,'Løp 14'!$E$10:$E$91,'Løp 14'!$M$10:$M$91,0)</f>
        <v>0</v>
      </c>
      <c r="BG94" s="629">
        <f>_xlfn.XLOOKUP($E94,'Løp 14'!$E$10:$E$91,'Løp 14'!$O$10:$O$91,0)</f>
        <v>0</v>
      </c>
      <c r="BH94" s="629">
        <f>_xlfn.XLOOKUP($E94,'Løp 14'!$E$10:$E$91,'Løp 14'!$L$10:$L$91,0)</f>
        <v>0</v>
      </c>
      <c r="BI94" s="628">
        <f>_xlfn.XLOOKUP($E94,'Løp 15'!$E$10:$E$91,'Løp 15'!$M$10:$M$91,0)</f>
        <v>0</v>
      </c>
      <c r="BJ94" s="629">
        <f>_xlfn.XLOOKUP($E94,'Løp 15'!$E$10:$E$91,'Løp 15'!$O$10:$O$91,0)</f>
        <v>0</v>
      </c>
      <c r="BK94" s="629">
        <f>_xlfn.XLOOKUP($E94,'Løp 15'!$E$10:$E$91,'Løp 15'!$L$10:$L$91,0)</f>
        <v>0</v>
      </c>
      <c r="BL94" s="628">
        <f>_xlfn.XLOOKUP($E94,'Løp 16'!$E$10:$E$91,'Løp 16'!$M$10:$M$91,0)</f>
        <v>0</v>
      </c>
      <c r="BM94" s="629">
        <f>_xlfn.XLOOKUP($E94,'Løp 16'!$E$10:$E$91,'Løp 16'!$O$10:$O$91,0)</f>
        <v>0</v>
      </c>
      <c r="BN94" s="629">
        <f>_xlfn.XLOOKUP($E94,'Løp 16'!$E$10:$E$91,'Løp 16'!$L$10:$L$91,0)</f>
        <v>0</v>
      </c>
      <c r="BO94" s="628">
        <f>_xlfn.XLOOKUP($E94,'Løp 17'!$E$10:$E$91,'Løp 17'!$M$10:$M$91,0)</f>
        <v>0</v>
      </c>
      <c r="BP94" s="629">
        <f>_xlfn.XLOOKUP($E94,'Løp 17'!$E$10:$E$91,'Løp 17'!$O$10:$O$91,0)</f>
        <v>0</v>
      </c>
      <c r="BQ94" s="629">
        <f>_xlfn.XLOOKUP($E94,'Løp 17'!$E$10:$E$91,'Løp 17'!$L$10:$L$91,0)</f>
        <v>0</v>
      </c>
      <c r="BR94" s="628">
        <f>_xlfn.XLOOKUP($E94,'Løp 18'!$E$10:$E$91,'Løp 18'!$M$10:$M$91,0)</f>
        <v>0</v>
      </c>
      <c r="BS94" s="629">
        <f>_xlfn.XLOOKUP($E94,'Løp 18'!$E$10:$E$91,'Løp 18'!$O$10:$O$91,0)</f>
        <v>0</v>
      </c>
      <c r="BT94" s="629">
        <f>_xlfn.XLOOKUP($E94,'Løp 18'!$E$10:$E$91,'Løp 18'!$L$10:$L$91,0)</f>
        <v>0</v>
      </c>
      <c r="BU94" s="628">
        <f>_xlfn.XLOOKUP($E94,'Løp 19'!$E$10:$E$91,'Løp 19'!$M$10:$M$91,0)</f>
        <v>0</v>
      </c>
      <c r="BV94" s="629">
        <f>_xlfn.XLOOKUP($E94,'Løp 19'!$E$10:$E$91,'Løp 19'!$O$10:$O$91,0)</f>
        <v>0</v>
      </c>
      <c r="BW94" s="629">
        <f>_xlfn.XLOOKUP($E94,'Løp 19'!$E$10:$E$91,'Løp 19'!$L$10:$L$91,0)</f>
        <v>0</v>
      </c>
      <c r="BX94" s="628">
        <f>_xlfn.XLOOKUP($E94,'Løp 20'!$E$10:$E$92,'Løp 20'!$M$10:$M$92,0)</f>
        <v>0</v>
      </c>
      <c r="BY94" s="629">
        <f>_xlfn.XLOOKUP($E94,'Løp 20'!$E$10:$E$92,'Løp 20'!$O$10:$O$92,0)</f>
        <v>0</v>
      </c>
      <c r="BZ94" s="629">
        <f>_xlfn.XLOOKUP($E94,'Løp 20'!$E$10:$E$92,'Løp 20'!$L$10:$L$92,0)</f>
        <v>0</v>
      </c>
      <c r="CA94" s="628">
        <f>_xlfn.XLOOKUP($E94,'Løp 21'!$E$10:$E$93,'Løp 21'!$M$10:$M$93,0)</f>
        <v>0</v>
      </c>
      <c r="CB94" s="629">
        <f>_xlfn.XLOOKUP($E94,'Løp 21'!$E$10:$E$93,'Løp 21'!$O$10:$O$93,0)</f>
        <v>0</v>
      </c>
      <c r="CC94" s="629">
        <f>_xlfn.XLOOKUP($E94,'Løp 21'!$E$10:$E$93,'Løp 21'!$L$10:$L$93,0)</f>
        <v>0</v>
      </c>
      <c r="CD94" s="628">
        <f>_xlfn.XLOOKUP($E94,'Løp 22'!$E$10:$E$93,'Løp 22'!$M$10:$M$93,0)</f>
        <v>0</v>
      </c>
      <c r="CE94" s="629">
        <f>_xlfn.XLOOKUP($E94,'Løp 22'!$E$10:$E$93,'Løp 22'!$O$10:$O$93,0)</f>
        <v>0</v>
      </c>
      <c r="CF94" s="629">
        <f>_xlfn.XLOOKUP($E94,'Løp 22'!$E$10:$E$93,'Løp 22'!$L$10:$L$93,0)</f>
        <v>0</v>
      </c>
      <c r="CG94" s="628">
        <f>_xlfn.XLOOKUP($E94,'Løp 23'!$E$10:$E$93,'Løp 23'!$M$10:$M$93,0)</f>
        <v>0</v>
      </c>
      <c r="CH94" s="629">
        <f>_xlfn.XLOOKUP($E94,'Løp 23'!$E$10:$E$93,'Løp 23'!$O$10:$O$93,0)</f>
        <v>0</v>
      </c>
      <c r="CI94" s="629">
        <f>_xlfn.XLOOKUP($E94,'Løp 23'!$E$10:$E$93,'Løp 23'!$L$10:$L$93,0)</f>
        <v>0</v>
      </c>
      <c r="CJ94" s="628">
        <f>_xlfn.XLOOKUP($E94,'Løp 24'!$E$10:$E$93,'Løp 24'!$M$10:$M$93,0)</f>
        <v>0</v>
      </c>
      <c r="CK94" s="629">
        <f>_xlfn.XLOOKUP($E94,'Løp 24'!$E$10:$E$93,'Løp 24'!$O$10:$O$93,0)</f>
        <v>0</v>
      </c>
      <c r="CL94" s="629">
        <f>_xlfn.XLOOKUP($E94,'Løp 24'!$E$10:$E$93,'Løp 24'!$L$10:$L$93,0)</f>
        <v>0</v>
      </c>
      <c r="CM94" s="628">
        <f>_xlfn.XLOOKUP($E94,'Løp 25'!$E$10:$E$94,'Løp 25'!$M$10:$M$94,0)</f>
        <v>0</v>
      </c>
      <c r="CN94" s="629">
        <f>_xlfn.XLOOKUP($E94,'Løp 25'!$E$10:$E$94,'Løp 25'!$O$10:$O$94,0)</f>
        <v>0</v>
      </c>
      <c r="CO94" s="629">
        <f>_xlfn.XLOOKUP($E94,'Løp 25'!$E$10:$E$94,'Løp 25'!$L$10:$L$94,0)</f>
        <v>0</v>
      </c>
      <c r="CP94" s="628">
        <f>_xlfn.XLOOKUP($E94,'Løp 26'!$E$10:$E$94,'Løp 26'!$M$10:$M$94,0)</f>
        <v>0</v>
      </c>
      <c r="CQ94" s="629">
        <f>_xlfn.XLOOKUP($E94,'Løp 26'!$E$10:$E$94,'Løp 26'!$O$10:$O$94,0)</f>
        <v>0</v>
      </c>
      <c r="CR94" s="629">
        <f>_xlfn.XLOOKUP($E94,'Løp 26'!$E$10:$E$94,'Løp 26'!$L$10:$L$94,0)</f>
        <v>0</v>
      </c>
      <c r="CS94" s="628">
        <f>_xlfn.XLOOKUP($E94,'Løp 27'!$E$10:$E$94,'Løp 27'!$M$10:$M$94,0)</f>
        <v>0</v>
      </c>
      <c r="CT94" s="629">
        <f>_xlfn.XLOOKUP($E94,'Løp 27'!$E$10:$E$94,'Løp 27'!$O$10:$O$94,0)</f>
        <v>0</v>
      </c>
      <c r="CU94" s="629">
        <f>_xlfn.XLOOKUP($E94,'Løp 27'!$E$10:$E$94,'Løp 27'!$L$10:$L$94,0)</f>
        <v>0</v>
      </c>
      <c r="CV94" s="628">
        <f>_xlfn.XLOOKUP($E94,'Løp 28'!$E$10:$E$95,'Løp 28'!$M$10:$M$95,0)</f>
        <v>0</v>
      </c>
      <c r="CW94" s="629">
        <f>_xlfn.XLOOKUP($E94,'Løp 28'!$E$10:$E$95,'Løp 28'!$O$10:$O$95,0)</f>
        <v>0</v>
      </c>
      <c r="CX94" s="629">
        <f>_xlfn.XLOOKUP($E94,'Løp 28'!$E$10:$E$95,'Løp 28'!$L$10:$L$95,0)</f>
        <v>0</v>
      </c>
      <c r="CY94" s="628">
        <f>_xlfn.XLOOKUP($E94,'Løp 29'!$E$10:$E$95,'Løp 29'!$M$10:$M$95,0)</f>
        <v>0</v>
      </c>
      <c r="CZ94" s="629">
        <f>_xlfn.XLOOKUP($E94,'Løp 29'!$E$10:$E$95,'Løp 29'!$O$10:$O$95,0)</f>
        <v>0</v>
      </c>
      <c r="DA94" s="629">
        <f>_xlfn.XLOOKUP($E94,'Løp 29'!$E$10:$E$95,'Løp 29'!$L$10:$L$95,0)</f>
        <v>0</v>
      </c>
    </row>
    <row r="95" spans="2:105" ht="26" customHeight="1" thickBot="1" x14ac:dyDescent="0.3">
      <c r="B95" s="627">
        <f t="shared" si="2"/>
        <v>86</v>
      </c>
      <c r="C95" s="123" t="s">
        <v>128</v>
      </c>
      <c r="D95" s="621" t="s">
        <v>129</v>
      </c>
      <c r="E95" s="616" t="str">
        <f>_xlfn.CONCAT(C95:D95)</f>
        <v>OddMusum</v>
      </c>
      <c r="F95" s="610"/>
      <c r="G95" s="653">
        <f>COUNTIF(S95:DA95,"&gt;2")/2</f>
        <v>0</v>
      </c>
      <c r="H95" s="852">
        <f>COUNTIF(S95:DA95,"=Løype")+COUNTIF(S95:DA95,"Arr")</f>
        <v>0</v>
      </c>
      <c r="I95" s="610"/>
      <c r="J95" s="632">
        <f>S95+V95+Y95+AB95+AE95+AH95+AK95+AN95+AQ95+AT95+AW95+AZ95+BC95+BF95+BI95+BL95+BO95+BR95+BU95+BX95+CA95+CD95+CG95+CJ95+CM95+CP95+CS95+CV95+CY95</f>
        <v>0</v>
      </c>
      <c r="K95" s="633">
        <f>T95+W95+Z95+AC95+AF95+AI95+AL95+AO95+AR95+AU95+AX95+BA95+BD95+BG95+BJ95+BM95+BP95+BS95+BV95+BY95+CB95+CE95+CH95+CK95+CN95+CQ95+CT95+CW95+CZ95</f>
        <v>0</v>
      </c>
      <c r="L95" s="613"/>
      <c r="M95" s="658">
        <f>IF($G95&gt;0,J95/G95,0)</f>
        <v>0</v>
      </c>
      <c r="N95" s="659">
        <f>IF($G95&gt;0,K95/$G95,0)</f>
        <v>0</v>
      </c>
      <c r="O95" s="862"/>
      <c r="P95" s="874">
        <f>IF(AND($G95&gt;$Q$3-1,$G95-$H95&gt;0),M95,0)</f>
        <v>0</v>
      </c>
      <c r="Q95" s="875">
        <f>IF(AND($G95&gt;$Q$3-1,$G95-$H95&gt;0),N95,0)</f>
        <v>0</v>
      </c>
      <c r="R95" s="613"/>
      <c r="S95" s="628">
        <f>_xlfn.XLOOKUP($E95,'Løp 1'!$E$10:$E$90,'Løp 1'!$M$10:$M$90,0)</f>
        <v>0</v>
      </c>
      <c r="T95" s="629">
        <f>_xlfn.XLOOKUP($E95,'Løp 1'!$E$10:$E$90,'Løp 1'!$O$10:$O$90,0)</f>
        <v>0</v>
      </c>
      <c r="U95" s="629">
        <f>_xlfn.XLOOKUP($E95,'Løp 1'!$E$10:$E$90,'Løp 1'!$L$10:$L$90,0)</f>
        <v>0</v>
      </c>
      <c r="V95" s="628">
        <f>_xlfn.XLOOKUP($E95,'Løp 2'!$E$10:$E$90,'Løp 2'!$M$10:$M$90,0)</f>
        <v>0</v>
      </c>
      <c r="W95" s="629">
        <f>_xlfn.XLOOKUP($E95,'Løp 2'!$E$10:$E$90,'Løp 2'!$O$10:$O$90,0)</f>
        <v>0</v>
      </c>
      <c r="X95" s="629">
        <f>_xlfn.XLOOKUP($E95,'Løp 2'!$E$10:$E$90,'Løp 2'!$L$10:$L$90,0)</f>
        <v>0</v>
      </c>
      <c r="Y95" s="628">
        <f>_xlfn.XLOOKUP($E95,'Løp 3'!$E$10:$E$90,'Løp 3'!$M$10:$M$90,0)</f>
        <v>0</v>
      </c>
      <c r="Z95" s="629">
        <f>_xlfn.XLOOKUP($E95,'Løp 3'!$E$10:$E$90,'Løp 3'!$O$10:$O$90,0)</f>
        <v>0</v>
      </c>
      <c r="AA95" s="629">
        <f>_xlfn.XLOOKUP($E95,'Løp 3'!$E$10:$E$90,'Løp 3'!$L$10:$L$90,0)</f>
        <v>0</v>
      </c>
      <c r="AB95" s="628">
        <f>_xlfn.XLOOKUP($E95,'Løp 4'!$E$10:$E$90,'Løp 4'!$M$10:$M$90,0)</f>
        <v>0</v>
      </c>
      <c r="AC95" s="629">
        <f>_xlfn.XLOOKUP($E95,'Løp 4'!$E$10:$E$90,'Løp 4'!$O$10:$O$90,0)</f>
        <v>0</v>
      </c>
      <c r="AD95" s="629">
        <f>_xlfn.XLOOKUP($E95,'Løp 4'!$E$10:$E$90,'Løp 4'!$L$10:$L$90,0)</f>
        <v>0</v>
      </c>
      <c r="AE95" s="628">
        <f>_xlfn.XLOOKUP($E95,'Løp 5'!$E$10:$E$90,'Løp 5'!$M$10:$M$90,0)</f>
        <v>0</v>
      </c>
      <c r="AF95" s="629">
        <f>_xlfn.XLOOKUP($E95,'Løp 5'!$E$10:$E$90,'Løp 5'!$O$10:$O$90,0)</f>
        <v>0</v>
      </c>
      <c r="AG95" s="629">
        <f>_xlfn.XLOOKUP($E95,'Løp 5'!$E$10:$E$90,'Løp 5'!$L$10:$L$90,0)</f>
        <v>0</v>
      </c>
      <c r="AH95" s="628">
        <f>_xlfn.XLOOKUP($E95,'Løp 6'!$E$10:$E$90,'Løp 6'!$M$10:$M$90,0)</f>
        <v>0</v>
      </c>
      <c r="AI95" s="629">
        <f>_xlfn.XLOOKUP($E95,'Løp 6'!$E$10:$E$90,'Løp 6'!$O$10:$O$90,0)</f>
        <v>0</v>
      </c>
      <c r="AJ95" s="629">
        <f>_xlfn.XLOOKUP($E95,'Løp 6'!$E$10:$E$90,'Løp 6'!$L$10:$L$90,0)</f>
        <v>0</v>
      </c>
      <c r="AK95" s="628">
        <f>_xlfn.XLOOKUP($E95,'Løp 7'!$E$10:$E$90,'Løp 7'!$M$10:$M$90,0)</f>
        <v>0</v>
      </c>
      <c r="AL95" s="629">
        <f>_xlfn.XLOOKUP($E95,'Løp 7'!$E$10:$E$90,'Løp 7'!$O$10:$O$90,0)</f>
        <v>0</v>
      </c>
      <c r="AM95" s="629">
        <f>_xlfn.XLOOKUP($E95,'Løp 7'!$E$10:$E$90,'Løp 7'!$L$10:$L$90,0)</f>
        <v>0</v>
      </c>
      <c r="AN95" s="628">
        <f>_xlfn.XLOOKUP($E95,'Løp 8'!$E$10:$E$91,'Løp 8'!$M$10:$M$91,0)</f>
        <v>0</v>
      </c>
      <c r="AO95" s="629">
        <f>_xlfn.XLOOKUP($E95,'Løp 8'!$E$10:$E$91,'Løp 8'!$O$10:$O$91,0)</f>
        <v>0</v>
      </c>
      <c r="AP95" s="629">
        <f>_xlfn.XLOOKUP($E95,'Løp 8'!$E$10:$E$91,'Løp 8'!$L$10:$L$91,0)</f>
        <v>0</v>
      </c>
      <c r="AQ95" s="628">
        <f>_xlfn.XLOOKUP($E95,'Løp 9'!$E$10:$E$91,'Løp 9'!$M$10:$M$91,0)</f>
        <v>0</v>
      </c>
      <c r="AR95" s="629">
        <f>_xlfn.XLOOKUP($E95,'Løp 9'!$E$10:$E$91,'Løp 9'!$O$10:$O$91,0)</f>
        <v>0</v>
      </c>
      <c r="AS95" s="629">
        <f>_xlfn.XLOOKUP($E95,'Løp 9'!$E$10:$E$91,'Løp 9'!$L$10:$L$91,0)</f>
        <v>0</v>
      </c>
      <c r="AT95" s="628">
        <f>_xlfn.XLOOKUP($E95,'Løp 10'!$E$10:$E$91,'Løp 10'!$M$10:$M$91,0)</f>
        <v>0</v>
      </c>
      <c r="AU95" s="629">
        <f>_xlfn.XLOOKUP($E95,'Løp 10'!$E$10:$E$91,'Løp 10'!$O$10:$O$91,0)</f>
        <v>0</v>
      </c>
      <c r="AV95" s="629">
        <f>_xlfn.XLOOKUP($E95,'Løp 10'!$E$10:$E$91,'Løp 10'!$L$10:$L$91,0)</f>
        <v>0</v>
      </c>
      <c r="AW95" s="628">
        <f>_xlfn.XLOOKUP($E95,'Løp 11'!$E$10:$E$91,'Løp 11'!$M$10:$M$91,0)</f>
        <v>0</v>
      </c>
      <c r="AX95" s="629">
        <f>_xlfn.XLOOKUP($E95,'Løp 11'!$E$10:$E$91,'Løp 11'!$O$10:$O$91,0)</f>
        <v>0</v>
      </c>
      <c r="AY95" s="629">
        <f>_xlfn.XLOOKUP($E95,'Løp 11'!$E$10:$E$91,'Løp 11'!$L$10:$L$91,0)</f>
        <v>0</v>
      </c>
      <c r="AZ95" s="628">
        <f>_xlfn.XLOOKUP($E95,'Løp 12'!$E$10:$E$91,'Løp 12'!$M$10:$M$91,0)</f>
        <v>0</v>
      </c>
      <c r="BA95" s="629">
        <f>_xlfn.XLOOKUP($E95,'Løp 12'!$E$10:$E$91,'Løp 12'!$O$10:$O$91,0)</f>
        <v>0</v>
      </c>
      <c r="BB95" s="629">
        <f>_xlfn.XLOOKUP($E95,'Løp 12'!$E$10:$E$91,'Løp 12'!$L$10:$L$91,0)</f>
        <v>0</v>
      </c>
      <c r="BC95" s="628">
        <f>_xlfn.XLOOKUP($E95,'Løp 13'!$E$10:$E$91,'Løp 13'!$M$10:$M$91,0)</f>
        <v>0</v>
      </c>
      <c r="BD95" s="629">
        <f>_xlfn.XLOOKUP($E95,'Løp 13'!$E$10:$E$91,'Løp 13'!$O$10:$O$91,0)</f>
        <v>0</v>
      </c>
      <c r="BE95" s="629">
        <f>_xlfn.XLOOKUP($E95,'Løp 13'!$E$10:$E$91,'Løp 13'!$L$10:$L$91,0)</f>
        <v>0</v>
      </c>
      <c r="BF95" s="628">
        <f>_xlfn.XLOOKUP($E95,'Løp 14'!$E$10:$E$91,'Løp 14'!$M$10:$M$91,0)</f>
        <v>0</v>
      </c>
      <c r="BG95" s="629">
        <f>_xlfn.XLOOKUP($E95,'Løp 14'!$E$10:$E$91,'Løp 14'!$O$10:$O$91,0)</f>
        <v>0</v>
      </c>
      <c r="BH95" s="629">
        <f>_xlfn.XLOOKUP($E95,'Løp 14'!$E$10:$E$91,'Løp 14'!$L$10:$L$91,0)</f>
        <v>0</v>
      </c>
      <c r="BI95" s="628">
        <f>_xlfn.XLOOKUP($E95,'Løp 15'!$E$10:$E$91,'Løp 15'!$M$10:$M$91,0)</f>
        <v>0</v>
      </c>
      <c r="BJ95" s="629">
        <f>_xlfn.XLOOKUP($E95,'Løp 15'!$E$10:$E$91,'Løp 15'!$O$10:$O$91,0)</f>
        <v>0</v>
      </c>
      <c r="BK95" s="629">
        <f>_xlfn.XLOOKUP($E95,'Løp 15'!$E$10:$E$91,'Løp 15'!$L$10:$L$91,0)</f>
        <v>0</v>
      </c>
      <c r="BL95" s="628">
        <f>_xlfn.XLOOKUP($E95,'Løp 16'!$E$10:$E$91,'Løp 16'!$M$10:$M$91,0)</f>
        <v>0</v>
      </c>
      <c r="BM95" s="629">
        <f>_xlfn.XLOOKUP($E95,'Løp 16'!$E$10:$E$91,'Løp 16'!$O$10:$O$91,0)</f>
        <v>0</v>
      </c>
      <c r="BN95" s="629">
        <f>_xlfn.XLOOKUP($E95,'Løp 16'!$E$10:$E$91,'Løp 16'!$L$10:$L$91,0)</f>
        <v>0</v>
      </c>
      <c r="BO95" s="628">
        <f>_xlfn.XLOOKUP($E95,'Løp 17'!$E$10:$E$91,'Løp 17'!$M$10:$M$91,0)</f>
        <v>0</v>
      </c>
      <c r="BP95" s="629">
        <f>_xlfn.XLOOKUP($E95,'Løp 17'!$E$10:$E$91,'Løp 17'!$O$10:$O$91,0)</f>
        <v>0</v>
      </c>
      <c r="BQ95" s="629">
        <f>_xlfn.XLOOKUP($E95,'Løp 17'!$E$10:$E$91,'Løp 17'!$L$10:$L$91,0)</f>
        <v>0</v>
      </c>
      <c r="BR95" s="628">
        <f>_xlfn.XLOOKUP($E95,'Løp 18'!$E$10:$E$91,'Løp 18'!$M$10:$M$91,0)</f>
        <v>0</v>
      </c>
      <c r="BS95" s="629">
        <f>_xlfn.XLOOKUP($E95,'Løp 18'!$E$10:$E$91,'Løp 18'!$O$10:$O$91,0)</f>
        <v>0</v>
      </c>
      <c r="BT95" s="629">
        <f>_xlfn.XLOOKUP($E95,'Løp 18'!$E$10:$E$91,'Løp 18'!$L$10:$L$91,0)</f>
        <v>0</v>
      </c>
      <c r="BU95" s="628">
        <f>_xlfn.XLOOKUP($E95,'Løp 19'!$E$10:$E$91,'Løp 19'!$M$10:$M$91,0)</f>
        <v>0</v>
      </c>
      <c r="BV95" s="629">
        <f>_xlfn.XLOOKUP($E95,'Løp 19'!$E$10:$E$91,'Løp 19'!$O$10:$O$91,0)</f>
        <v>0</v>
      </c>
      <c r="BW95" s="629">
        <f>_xlfn.XLOOKUP($E95,'Løp 19'!$E$10:$E$91,'Løp 19'!$L$10:$L$91,0)</f>
        <v>0</v>
      </c>
      <c r="BX95" s="628">
        <f>_xlfn.XLOOKUP($E95,'Løp 20'!$E$10:$E$92,'Løp 20'!$M$10:$M$92,0)</f>
        <v>0</v>
      </c>
      <c r="BY95" s="629">
        <f>_xlfn.XLOOKUP($E95,'Løp 20'!$E$10:$E$92,'Løp 20'!$O$10:$O$92,0)</f>
        <v>0</v>
      </c>
      <c r="BZ95" s="629">
        <f>_xlfn.XLOOKUP($E95,'Løp 20'!$E$10:$E$92,'Løp 20'!$L$10:$L$92,0)</f>
        <v>0</v>
      </c>
      <c r="CA95" s="628">
        <f>_xlfn.XLOOKUP($E95,'Løp 21'!$E$10:$E$93,'Løp 21'!$M$10:$M$93,0)</f>
        <v>0</v>
      </c>
      <c r="CB95" s="629">
        <f>_xlfn.XLOOKUP($E95,'Løp 21'!$E$10:$E$93,'Løp 21'!$O$10:$O$93,0)</f>
        <v>0</v>
      </c>
      <c r="CC95" s="629">
        <f>_xlfn.XLOOKUP($E95,'Løp 21'!$E$10:$E$93,'Løp 21'!$L$10:$L$93,0)</f>
        <v>0</v>
      </c>
      <c r="CD95" s="628">
        <f>_xlfn.XLOOKUP($E95,'Løp 22'!$E$10:$E$93,'Løp 22'!$M$10:$M$93,0)</f>
        <v>0</v>
      </c>
      <c r="CE95" s="629">
        <f>_xlfn.XLOOKUP($E95,'Løp 22'!$E$10:$E$93,'Løp 22'!$O$10:$O$93,0)</f>
        <v>0</v>
      </c>
      <c r="CF95" s="629">
        <f>_xlfn.XLOOKUP($E95,'Løp 22'!$E$10:$E$93,'Løp 22'!$L$10:$L$93,0)</f>
        <v>0</v>
      </c>
      <c r="CG95" s="628">
        <f>_xlfn.XLOOKUP($E95,'Løp 23'!$E$10:$E$93,'Løp 23'!$M$10:$M$93,0)</f>
        <v>0</v>
      </c>
      <c r="CH95" s="629">
        <f>_xlfn.XLOOKUP($E95,'Løp 23'!$E$10:$E$93,'Løp 23'!$O$10:$O$93,0)</f>
        <v>0</v>
      </c>
      <c r="CI95" s="629">
        <f>_xlfn.XLOOKUP($E95,'Løp 23'!$E$10:$E$93,'Løp 23'!$L$10:$L$93,0)</f>
        <v>0</v>
      </c>
      <c r="CJ95" s="628">
        <f>_xlfn.XLOOKUP($E95,'Løp 24'!$E$10:$E$93,'Løp 24'!$M$10:$M$93,0)</f>
        <v>0</v>
      </c>
      <c r="CK95" s="629">
        <f>_xlfn.XLOOKUP($E95,'Løp 24'!$E$10:$E$93,'Løp 24'!$O$10:$O$93,0)</f>
        <v>0</v>
      </c>
      <c r="CL95" s="629">
        <f>_xlfn.XLOOKUP($E95,'Løp 24'!$E$10:$E$93,'Løp 24'!$L$10:$L$93,0)</f>
        <v>0</v>
      </c>
      <c r="CM95" s="628">
        <f>_xlfn.XLOOKUP($E95,'Løp 25'!$E$10:$E$94,'Løp 25'!$M$10:$M$94,0)</f>
        <v>0</v>
      </c>
      <c r="CN95" s="629">
        <f>_xlfn.XLOOKUP($E95,'Løp 25'!$E$10:$E$94,'Løp 25'!$O$10:$O$94,0)</f>
        <v>0</v>
      </c>
      <c r="CO95" s="629">
        <f>_xlfn.XLOOKUP($E95,'Løp 25'!$E$10:$E$94,'Løp 25'!$L$10:$L$94,0)</f>
        <v>0</v>
      </c>
      <c r="CP95" s="628">
        <f>_xlfn.XLOOKUP($E95,'Løp 26'!$E$10:$E$94,'Løp 26'!$M$10:$M$94,0)</f>
        <v>0</v>
      </c>
      <c r="CQ95" s="629">
        <f>_xlfn.XLOOKUP($E95,'Løp 26'!$E$10:$E$94,'Løp 26'!$O$10:$O$94,0)</f>
        <v>0</v>
      </c>
      <c r="CR95" s="629">
        <f>_xlfn.XLOOKUP($E95,'Løp 26'!$E$10:$E$94,'Løp 26'!$L$10:$L$94,0)</f>
        <v>0</v>
      </c>
      <c r="CS95" s="628">
        <f>_xlfn.XLOOKUP($E95,'Løp 27'!$E$10:$E$94,'Løp 27'!$M$10:$M$94,0)</f>
        <v>0</v>
      </c>
      <c r="CT95" s="629">
        <f>_xlfn.XLOOKUP($E95,'Løp 27'!$E$10:$E$94,'Løp 27'!$O$10:$O$94,0)</f>
        <v>0</v>
      </c>
      <c r="CU95" s="629">
        <f>_xlfn.XLOOKUP($E95,'Løp 27'!$E$10:$E$94,'Løp 27'!$L$10:$L$94,0)</f>
        <v>0</v>
      </c>
      <c r="CV95" s="628">
        <f>_xlfn.XLOOKUP($E95,'Løp 28'!$E$10:$E$95,'Løp 28'!$M$10:$M$95,0)</f>
        <v>0</v>
      </c>
      <c r="CW95" s="629">
        <f>_xlfn.XLOOKUP($E95,'Løp 28'!$E$10:$E$95,'Løp 28'!$O$10:$O$95,0)</f>
        <v>0</v>
      </c>
      <c r="CX95" s="629">
        <f>_xlfn.XLOOKUP($E95,'Løp 28'!$E$10:$E$95,'Løp 28'!$L$10:$L$95,0)</f>
        <v>0</v>
      </c>
      <c r="CY95" s="628">
        <f>_xlfn.XLOOKUP($E95,'Løp 29'!$E$10:$E$95,'Løp 29'!$M$10:$M$95,0)</f>
        <v>0</v>
      </c>
      <c r="CZ95" s="629">
        <f>_xlfn.XLOOKUP($E95,'Løp 29'!$E$10:$E$95,'Løp 29'!$O$10:$O$95,0)</f>
        <v>0</v>
      </c>
      <c r="DA95" s="629">
        <f>_xlfn.XLOOKUP($E95,'Løp 29'!$E$10:$E$95,'Løp 29'!$L$10:$L$95,0)</f>
        <v>0</v>
      </c>
    </row>
    <row r="96" spans="2:105" ht="26" thickBot="1" x14ac:dyDescent="0.3">
      <c r="B96" s="627">
        <f t="shared" si="2"/>
        <v>87</v>
      </c>
      <c r="C96" s="123" t="s">
        <v>132</v>
      </c>
      <c r="D96" s="621" t="s">
        <v>133</v>
      </c>
      <c r="E96" s="617" t="str">
        <f>_xlfn.CONCAT(C96:D96)</f>
        <v>JarleNestvold</v>
      </c>
      <c r="F96" s="610"/>
      <c r="G96" s="653">
        <f>COUNTIF(S96:DA96,"&gt;2")/2</f>
        <v>0</v>
      </c>
      <c r="H96" s="852">
        <f>COUNTIF(S96:DA96,"=Løype")+COUNTIF(S96:DA96,"Arr")</f>
        <v>0</v>
      </c>
      <c r="I96" s="610"/>
      <c r="J96" s="632">
        <f>S96+V96+Y96+AB96+AE96+AH96+AK96+AN96+AQ96+AT96+AW96+AZ96+BC96+BF96+BI96+BL96+BO96+BR96+BU96+BX96+CA96+CD96+CG96+CJ96+CM96+CP96+CS96+CV96+CY96</f>
        <v>0</v>
      </c>
      <c r="K96" s="633">
        <f>T96+W96+Z96+AC96+AF96+AI96+AL96+AO96+AR96+AU96+AX96+BA96+BD96+BG96+BJ96+BM96+BP96+BS96+BV96+BY96+CB96+CE96+CH96+CK96+CN96+CQ96+CT96+CW96+CZ96</f>
        <v>0</v>
      </c>
      <c r="L96" s="613"/>
      <c r="M96" s="658">
        <f>IF($G96&gt;0,J96/G96,0)</f>
        <v>0</v>
      </c>
      <c r="N96" s="659">
        <f>IF($G96&gt;0,K96/$G96,0)</f>
        <v>0</v>
      </c>
      <c r="O96" s="862"/>
      <c r="P96" s="874">
        <f>IF(AND($G96&gt;$Q$3-1,$G96-$H96&gt;0),M96,0)</f>
        <v>0</v>
      </c>
      <c r="Q96" s="875">
        <f>IF(AND($G96&gt;$Q$3-1,$G96-$H96&gt;0),N96,0)</f>
        <v>0</v>
      </c>
      <c r="R96" s="613"/>
      <c r="S96" s="628">
        <f>_xlfn.XLOOKUP($E96,'Løp 1'!$E$10:$E$90,'Løp 1'!$M$10:$M$90,0)</f>
        <v>0</v>
      </c>
      <c r="T96" s="629">
        <f>_xlfn.XLOOKUP($E96,'Løp 1'!$E$10:$E$90,'Løp 1'!$O$10:$O$90,0)</f>
        <v>0</v>
      </c>
      <c r="U96" s="629">
        <f>_xlfn.XLOOKUP($E96,'Løp 1'!$E$10:$E$90,'Løp 1'!$L$10:$L$90,0)</f>
        <v>0</v>
      </c>
      <c r="V96" s="628">
        <f>_xlfn.XLOOKUP($E96,'Løp 2'!$E$10:$E$90,'Løp 2'!$M$10:$M$90,0)</f>
        <v>0</v>
      </c>
      <c r="W96" s="629">
        <f>_xlfn.XLOOKUP($E96,'Løp 2'!$E$10:$E$90,'Løp 2'!$O$10:$O$90,0)</f>
        <v>0</v>
      </c>
      <c r="X96" s="629">
        <f>_xlfn.XLOOKUP($E96,'Løp 2'!$E$10:$E$90,'Løp 2'!$L$10:$L$90,0)</f>
        <v>0</v>
      </c>
      <c r="Y96" s="628">
        <f>_xlfn.XLOOKUP($E96,'Løp 3'!$E$10:$E$90,'Løp 3'!$M$10:$M$90,0)</f>
        <v>0</v>
      </c>
      <c r="Z96" s="629">
        <f>_xlfn.XLOOKUP($E96,'Løp 3'!$E$10:$E$90,'Løp 3'!$O$10:$O$90,0)</f>
        <v>0</v>
      </c>
      <c r="AA96" s="629">
        <f>_xlfn.XLOOKUP($E96,'Løp 3'!$E$10:$E$90,'Løp 3'!$L$10:$L$90,0)</f>
        <v>0</v>
      </c>
      <c r="AB96" s="628">
        <f>_xlfn.XLOOKUP($E96,'Løp 4'!$E$10:$E$90,'Løp 4'!$M$10:$M$90,0)</f>
        <v>0</v>
      </c>
      <c r="AC96" s="629">
        <f>_xlfn.XLOOKUP($E96,'Løp 4'!$E$10:$E$90,'Løp 4'!$O$10:$O$90,0)</f>
        <v>0</v>
      </c>
      <c r="AD96" s="629">
        <f>_xlfn.XLOOKUP($E96,'Løp 4'!$E$10:$E$90,'Løp 4'!$L$10:$L$90,0)</f>
        <v>0</v>
      </c>
      <c r="AE96" s="628">
        <f>_xlfn.XLOOKUP($E96,'Løp 5'!$E$10:$E$90,'Løp 5'!$M$10:$M$90,0)</f>
        <v>0</v>
      </c>
      <c r="AF96" s="629">
        <f>_xlfn.XLOOKUP($E96,'Løp 5'!$E$10:$E$90,'Løp 5'!$O$10:$O$90,0)</f>
        <v>0</v>
      </c>
      <c r="AG96" s="629">
        <f>_xlfn.XLOOKUP($E96,'Løp 5'!$E$10:$E$90,'Løp 5'!$L$10:$L$90,0)</f>
        <v>0</v>
      </c>
      <c r="AH96" s="628">
        <f>_xlfn.XLOOKUP($E96,'Løp 6'!$E$10:$E$90,'Løp 6'!$M$10:$M$90,0)</f>
        <v>0</v>
      </c>
      <c r="AI96" s="629">
        <f>_xlfn.XLOOKUP($E96,'Løp 6'!$E$10:$E$90,'Løp 6'!$O$10:$O$90,0)</f>
        <v>0</v>
      </c>
      <c r="AJ96" s="629">
        <f>_xlfn.XLOOKUP($E96,'Løp 6'!$E$10:$E$90,'Løp 6'!$L$10:$L$90,0)</f>
        <v>0</v>
      </c>
      <c r="AK96" s="628">
        <f>_xlfn.XLOOKUP($E96,'Løp 7'!$E$10:$E$90,'Løp 7'!$M$10:$M$90,0)</f>
        <v>0</v>
      </c>
      <c r="AL96" s="629">
        <f>_xlfn.XLOOKUP($E96,'Løp 7'!$E$10:$E$90,'Løp 7'!$O$10:$O$90,0)</f>
        <v>0</v>
      </c>
      <c r="AM96" s="629">
        <f>_xlfn.XLOOKUP($E96,'Løp 7'!$E$10:$E$90,'Løp 7'!$L$10:$L$90,0)</f>
        <v>0</v>
      </c>
      <c r="AN96" s="628">
        <f>_xlfn.XLOOKUP($E96,'Løp 8'!$E$10:$E$91,'Løp 8'!$M$10:$M$91,0)</f>
        <v>0</v>
      </c>
      <c r="AO96" s="629">
        <f>_xlfn.XLOOKUP($E96,'Løp 8'!$E$10:$E$91,'Løp 8'!$O$10:$O$91,0)</f>
        <v>0</v>
      </c>
      <c r="AP96" s="629">
        <f>_xlfn.XLOOKUP($E96,'Løp 8'!$E$10:$E$91,'Løp 8'!$L$10:$L$91,0)</f>
        <v>0</v>
      </c>
      <c r="AQ96" s="628">
        <f>_xlfn.XLOOKUP($E96,'Løp 9'!$E$10:$E$91,'Løp 9'!$M$10:$M$91,0)</f>
        <v>0</v>
      </c>
      <c r="AR96" s="629">
        <f>_xlfn.XLOOKUP($E96,'Løp 9'!$E$10:$E$91,'Løp 9'!$O$10:$O$91,0)</f>
        <v>0</v>
      </c>
      <c r="AS96" s="629">
        <f>_xlfn.XLOOKUP($E96,'Løp 9'!$E$10:$E$91,'Løp 9'!$L$10:$L$91,0)</f>
        <v>0</v>
      </c>
      <c r="AT96" s="628">
        <f>_xlfn.XLOOKUP($E96,'Løp 10'!$E$10:$E$91,'Løp 10'!$M$10:$M$91,0)</f>
        <v>0</v>
      </c>
      <c r="AU96" s="629">
        <f>_xlfn.XLOOKUP($E96,'Løp 10'!$E$10:$E$91,'Løp 10'!$O$10:$O$91,0)</f>
        <v>0</v>
      </c>
      <c r="AV96" s="629">
        <f>_xlfn.XLOOKUP($E96,'Løp 10'!$E$10:$E$91,'Løp 10'!$L$10:$L$91,0)</f>
        <v>0</v>
      </c>
      <c r="AW96" s="628">
        <f>_xlfn.XLOOKUP($E96,'Løp 11'!$E$10:$E$91,'Løp 11'!$M$10:$M$91,0)</f>
        <v>0</v>
      </c>
      <c r="AX96" s="629">
        <f>_xlfn.XLOOKUP($E96,'Løp 11'!$E$10:$E$91,'Løp 11'!$O$10:$O$91,0)</f>
        <v>0</v>
      </c>
      <c r="AY96" s="629">
        <f>_xlfn.XLOOKUP($E96,'Løp 11'!$E$10:$E$91,'Løp 11'!$L$10:$L$91,0)</f>
        <v>0</v>
      </c>
      <c r="AZ96" s="628">
        <f>_xlfn.XLOOKUP($E96,'Løp 12'!$E$10:$E$91,'Løp 12'!$M$10:$M$91,0)</f>
        <v>0</v>
      </c>
      <c r="BA96" s="629">
        <f>_xlfn.XLOOKUP($E96,'Løp 12'!$E$10:$E$91,'Løp 12'!$O$10:$O$91,0)</f>
        <v>0</v>
      </c>
      <c r="BB96" s="629">
        <f>_xlfn.XLOOKUP($E96,'Løp 12'!$E$10:$E$91,'Løp 12'!$L$10:$L$91,0)</f>
        <v>0</v>
      </c>
      <c r="BC96" s="628">
        <f>_xlfn.XLOOKUP($E96,'Løp 13'!$E$10:$E$91,'Løp 13'!$M$10:$M$91,0)</f>
        <v>0</v>
      </c>
      <c r="BD96" s="629">
        <f>_xlfn.XLOOKUP($E96,'Løp 13'!$E$10:$E$91,'Løp 13'!$O$10:$O$91,0)</f>
        <v>0</v>
      </c>
      <c r="BE96" s="629">
        <f>_xlfn.XLOOKUP($E96,'Løp 13'!$E$10:$E$91,'Løp 13'!$L$10:$L$91,0)</f>
        <v>0</v>
      </c>
      <c r="BF96" s="628">
        <f>_xlfn.XLOOKUP($E96,'Løp 14'!$E$10:$E$91,'Løp 14'!$M$10:$M$91,0)</f>
        <v>0</v>
      </c>
      <c r="BG96" s="629">
        <f>_xlfn.XLOOKUP($E96,'Løp 14'!$E$10:$E$91,'Løp 14'!$O$10:$O$91,0)</f>
        <v>0</v>
      </c>
      <c r="BH96" s="629">
        <f>_xlfn.XLOOKUP($E96,'Løp 14'!$E$10:$E$91,'Løp 14'!$L$10:$L$91,0)</f>
        <v>0</v>
      </c>
      <c r="BI96" s="628">
        <f>_xlfn.XLOOKUP($E96,'Løp 15'!$E$10:$E$91,'Løp 15'!$M$10:$M$91,0)</f>
        <v>0</v>
      </c>
      <c r="BJ96" s="629">
        <f>_xlfn.XLOOKUP($E96,'Løp 15'!$E$10:$E$91,'Løp 15'!$O$10:$O$91,0)</f>
        <v>0</v>
      </c>
      <c r="BK96" s="629">
        <f>_xlfn.XLOOKUP($E96,'Løp 15'!$E$10:$E$91,'Løp 15'!$L$10:$L$91,0)</f>
        <v>0</v>
      </c>
      <c r="BL96" s="628">
        <f>_xlfn.XLOOKUP($E96,'Løp 16'!$E$10:$E$91,'Løp 16'!$M$10:$M$91,0)</f>
        <v>0</v>
      </c>
      <c r="BM96" s="629">
        <f>_xlfn.XLOOKUP($E96,'Løp 16'!$E$10:$E$91,'Løp 16'!$O$10:$O$91,0)</f>
        <v>0</v>
      </c>
      <c r="BN96" s="629">
        <f>_xlfn.XLOOKUP($E96,'Løp 16'!$E$10:$E$91,'Løp 16'!$L$10:$L$91,0)</f>
        <v>0</v>
      </c>
      <c r="BO96" s="628">
        <f>_xlfn.XLOOKUP($E96,'Løp 17'!$E$10:$E$91,'Løp 17'!$M$10:$M$91,0)</f>
        <v>0</v>
      </c>
      <c r="BP96" s="629">
        <f>_xlfn.XLOOKUP($E96,'Løp 17'!$E$10:$E$91,'Løp 17'!$O$10:$O$91,0)</f>
        <v>0</v>
      </c>
      <c r="BQ96" s="629">
        <f>_xlfn.XLOOKUP($E96,'Løp 17'!$E$10:$E$91,'Løp 17'!$L$10:$L$91,0)</f>
        <v>0</v>
      </c>
      <c r="BR96" s="628">
        <f>_xlfn.XLOOKUP($E96,'Løp 18'!$E$10:$E$91,'Løp 18'!$M$10:$M$91,0)</f>
        <v>0</v>
      </c>
      <c r="BS96" s="629">
        <f>_xlfn.XLOOKUP($E96,'Løp 18'!$E$10:$E$91,'Løp 18'!$O$10:$O$91,0)</f>
        <v>0</v>
      </c>
      <c r="BT96" s="629">
        <f>_xlfn.XLOOKUP($E96,'Løp 18'!$E$10:$E$91,'Løp 18'!$L$10:$L$91,0)</f>
        <v>0</v>
      </c>
      <c r="BU96" s="628">
        <f>_xlfn.XLOOKUP($E96,'Løp 19'!$E$10:$E$91,'Løp 19'!$M$10:$M$91,0)</f>
        <v>0</v>
      </c>
      <c r="BV96" s="629">
        <f>_xlfn.XLOOKUP($E96,'Løp 19'!$E$10:$E$91,'Løp 19'!$O$10:$O$91,0)</f>
        <v>0</v>
      </c>
      <c r="BW96" s="629">
        <f>_xlfn.XLOOKUP($E96,'Løp 19'!$E$10:$E$91,'Løp 19'!$L$10:$L$91,0)</f>
        <v>0</v>
      </c>
      <c r="BX96" s="628">
        <f>_xlfn.XLOOKUP($E96,'Løp 20'!$E$10:$E$92,'Løp 20'!$M$10:$M$92,0)</f>
        <v>0</v>
      </c>
      <c r="BY96" s="629">
        <f>_xlfn.XLOOKUP($E96,'Løp 20'!$E$10:$E$92,'Løp 20'!$O$10:$O$92,0)</f>
        <v>0</v>
      </c>
      <c r="BZ96" s="629">
        <f>_xlfn.XLOOKUP($E96,'Løp 20'!$E$10:$E$92,'Løp 20'!$L$10:$L$92,0)</f>
        <v>0</v>
      </c>
      <c r="CA96" s="628">
        <f>_xlfn.XLOOKUP($E96,'Løp 21'!$E$10:$E$93,'Løp 21'!$M$10:$M$93,0)</f>
        <v>0</v>
      </c>
      <c r="CB96" s="629">
        <f>_xlfn.XLOOKUP($E96,'Løp 21'!$E$10:$E$93,'Løp 21'!$O$10:$O$93,0)</f>
        <v>0</v>
      </c>
      <c r="CC96" s="629">
        <f>_xlfn.XLOOKUP($E96,'Løp 21'!$E$10:$E$93,'Løp 21'!$L$10:$L$93,0)</f>
        <v>0</v>
      </c>
      <c r="CD96" s="628">
        <f>_xlfn.XLOOKUP($E96,'Løp 22'!$E$10:$E$93,'Løp 22'!$M$10:$M$93,0)</f>
        <v>0</v>
      </c>
      <c r="CE96" s="629">
        <f>_xlfn.XLOOKUP($E96,'Løp 22'!$E$10:$E$93,'Løp 22'!$O$10:$O$93,0)</f>
        <v>0</v>
      </c>
      <c r="CF96" s="629">
        <f>_xlfn.XLOOKUP($E96,'Løp 22'!$E$10:$E$93,'Løp 22'!$L$10:$L$93,0)</f>
        <v>0</v>
      </c>
      <c r="CG96" s="628">
        <f>_xlfn.XLOOKUP($E96,'Løp 23'!$E$10:$E$93,'Løp 23'!$M$10:$M$93,0)</f>
        <v>0</v>
      </c>
      <c r="CH96" s="629">
        <f>_xlfn.XLOOKUP($E96,'Løp 23'!$E$10:$E$93,'Løp 23'!$O$10:$O$93,0)</f>
        <v>0</v>
      </c>
      <c r="CI96" s="629">
        <f>_xlfn.XLOOKUP($E96,'Løp 23'!$E$10:$E$93,'Løp 23'!$L$10:$L$93,0)</f>
        <v>0</v>
      </c>
      <c r="CJ96" s="628">
        <f>_xlfn.XLOOKUP($E96,'Løp 24'!$E$10:$E$93,'Løp 24'!$M$10:$M$93,0)</f>
        <v>0</v>
      </c>
      <c r="CK96" s="629">
        <f>_xlfn.XLOOKUP($E96,'Løp 24'!$E$10:$E$93,'Løp 24'!$O$10:$O$93,0)</f>
        <v>0</v>
      </c>
      <c r="CL96" s="629">
        <f>_xlfn.XLOOKUP($E96,'Løp 24'!$E$10:$E$93,'Løp 24'!$L$10:$L$93,0)</f>
        <v>0</v>
      </c>
      <c r="CM96" s="628">
        <f>_xlfn.XLOOKUP($E96,'Løp 25'!$E$10:$E$94,'Løp 25'!$M$10:$M$94,0)</f>
        <v>0</v>
      </c>
      <c r="CN96" s="629">
        <f>_xlfn.XLOOKUP($E96,'Løp 25'!$E$10:$E$94,'Løp 25'!$O$10:$O$94,0)</f>
        <v>0</v>
      </c>
      <c r="CO96" s="629">
        <f>_xlfn.XLOOKUP($E96,'Løp 25'!$E$10:$E$94,'Løp 25'!$L$10:$L$94,0)</f>
        <v>0</v>
      </c>
      <c r="CP96" s="628">
        <f>_xlfn.XLOOKUP($E96,'Løp 26'!$E$10:$E$94,'Løp 26'!$M$10:$M$94,0)</f>
        <v>0</v>
      </c>
      <c r="CQ96" s="629">
        <f>_xlfn.XLOOKUP($E96,'Løp 26'!$E$10:$E$94,'Løp 26'!$O$10:$O$94,0)</f>
        <v>0</v>
      </c>
      <c r="CR96" s="629">
        <f>_xlfn.XLOOKUP($E96,'Løp 26'!$E$10:$E$94,'Løp 26'!$L$10:$L$94,0)</f>
        <v>0</v>
      </c>
      <c r="CS96" s="628">
        <f>_xlfn.XLOOKUP($E96,'Løp 27'!$E$10:$E$94,'Løp 27'!$M$10:$M$94,0)</f>
        <v>0</v>
      </c>
      <c r="CT96" s="629">
        <f>_xlfn.XLOOKUP($E96,'Løp 27'!$E$10:$E$94,'Løp 27'!$O$10:$O$94,0)</f>
        <v>0</v>
      </c>
      <c r="CU96" s="629">
        <f>_xlfn.XLOOKUP($E96,'Løp 27'!$E$10:$E$94,'Løp 27'!$L$10:$L$94,0)</f>
        <v>0</v>
      </c>
      <c r="CV96" s="628">
        <f>_xlfn.XLOOKUP($E96,'Løp 28'!$E$10:$E$95,'Løp 28'!$M$10:$M$95,0)</f>
        <v>0</v>
      </c>
      <c r="CW96" s="629">
        <f>_xlfn.XLOOKUP($E96,'Løp 28'!$E$10:$E$95,'Løp 28'!$O$10:$O$95,0)</f>
        <v>0</v>
      </c>
      <c r="CX96" s="629">
        <f>_xlfn.XLOOKUP($E96,'Løp 28'!$E$10:$E$95,'Løp 28'!$L$10:$L$95,0)</f>
        <v>0</v>
      </c>
      <c r="CY96" s="628">
        <f>_xlfn.XLOOKUP($E96,'Løp 29'!$E$10:$E$95,'Løp 29'!$M$10:$M$95,0)</f>
        <v>0</v>
      </c>
      <c r="CZ96" s="629">
        <f>_xlfn.XLOOKUP($E96,'Løp 29'!$E$10:$E$95,'Løp 29'!$O$10:$O$95,0)</f>
        <v>0</v>
      </c>
      <c r="DA96" s="629">
        <f>_xlfn.XLOOKUP($E96,'Løp 29'!$E$10:$E$95,'Løp 29'!$L$10:$L$95,0)</f>
        <v>0</v>
      </c>
    </row>
    <row r="97" spans="2:105" ht="26" thickBot="1" x14ac:dyDescent="0.3">
      <c r="B97" s="627">
        <f t="shared" si="2"/>
        <v>88</v>
      </c>
      <c r="C97" s="123" t="s">
        <v>140</v>
      </c>
      <c r="D97" s="621" t="s">
        <v>141</v>
      </c>
      <c r="E97" s="616" t="str">
        <f>_xlfn.CONCAT(C97:D97)</f>
        <v>Grete BergeOwren</v>
      </c>
      <c r="F97" s="610"/>
      <c r="G97" s="653">
        <f>COUNTIF(S97:DA97,"&gt;2")/2</f>
        <v>0</v>
      </c>
      <c r="H97" s="852">
        <f>COUNTIF(S97:DA97,"=Løype")+COUNTIF(S97:DA97,"Arr")</f>
        <v>0</v>
      </c>
      <c r="I97" s="610"/>
      <c r="J97" s="632">
        <f>S97+V97+Y97+AB97+AE97+AH97+AK97+AN97+AQ97+AT97+AW97+AZ97+BC97+BF97+BI97+BL97+BO97+BR97+BU97+BX97+CA97+CD97+CG97+CJ97+CM97+CP97+CS97+CV97+CY97</f>
        <v>0</v>
      </c>
      <c r="K97" s="633">
        <f>T97+W97+Z97+AC97+AF97+AI97+AL97+AO97+AR97+AU97+AX97+BA97+BD97+BG97+BJ97+BM97+BP97+BS97+BV97+BY97+CB97+CE97+CH97+CK97+CN97+CQ97+CT97+CW97+CZ97</f>
        <v>0</v>
      </c>
      <c r="L97" s="613"/>
      <c r="M97" s="658">
        <f>IF($G97&gt;0,J97/G97,0)</f>
        <v>0</v>
      </c>
      <c r="N97" s="659">
        <f>IF($G97&gt;0,K97/$G97,0)</f>
        <v>0</v>
      </c>
      <c r="O97" s="862"/>
      <c r="P97" s="874">
        <f>IF(AND($G97&gt;$Q$3-1,$G97-$H97&gt;0),M97,0)</f>
        <v>0</v>
      </c>
      <c r="Q97" s="875">
        <f>IF(AND($G97&gt;$Q$3-1,$G97-$H97&gt;0),N97,0)</f>
        <v>0</v>
      </c>
      <c r="R97" s="613"/>
      <c r="S97" s="628">
        <f>_xlfn.XLOOKUP($E97,'Løp 1'!$E$10:$E$90,'Løp 1'!$M$10:$M$90,0)</f>
        <v>0</v>
      </c>
      <c r="T97" s="629">
        <f>_xlfn.XLOOKUP($E97,'Løp 1'!$E$10:$E$90,'Løp 1'!$O$10:$O$90,0)</f>
        <v>0</v>
      </c>
      <c r="U97" s="629">
        <f>_xlfn.XLOOKUP($E97,'Løp 1'!$E$10:$E$90,'Løp 1'!$L$10:$L$90,0)</f>
        <v>0</v>
      </c>
      <c r="V97" s="628">
        <f>_xlfn.XLOOKUP($E97,'Løp 2'!$E$10:$E$90,'Løp 2'!$M$10:$M$90,0)</f>
        <v>0</v>
      </c>
      <c r="W97" s="629">
        <f>_xlfn.XLOOKUP($E97,'Løp 2'!$E$10:$E$90,'Løp 2'!$O$10:$O$90,0)</f>
        <v>0</v>
      </c>
      <c r="X97" s="629">
        <f>_xlfn.XLOOKUP($E97,'Løp 2'!$E$10:$E$90,'Løp 2'!$L$10:$L$90,0)</f>
        <v>0</v>
      </c>
      <c r="Y97" s="628">
        <f>_xlfn.XLOOKUP($E97,'Løp 3'!$E$10:$E$90,'Løp 3'!$M$10:$M$90,0)</f>
        <v>0</v>
      </c>
      <c r="Z97" s="629">
        <f>_xlfn.XLOOKUP($E97,'Løp 3'!$E$10:$E$90,'Løp 3'!$O$10:$O$90,0)</f>
        <v>0</v>
      </c>
      <c r="AA97" s="629">
        <f>_xlfn.XLOOKUP($E97,'Løp 3'!$E$10:$E$90,'Løp 3'!$L$10:$L$90,0)</f>
        <v>0</v>
      </c>
      <c r="AB97" s="628">
        <f>_xlfn.XLOOKUP($E97,'Løp 4'!$E$10:$E$90,'Løp 4'!$M$10:$M$90,0)</f>
        <v>0</v>
      </c>
      <c r="AC97" s="629">
        <f>_xlfn.XLOOKUP($E97,'Løp 4'!$E$10:$E$90,'Løp 4'!$O$10:$O$90,0)</f>
        <v>0</v>
      </c>
      <c r="AD97" s="629">
        <f>_xlfn.XLOOKUP($E97,'Løp 4'!$E$10:$E$90,'Løp 4'!$L$10:$L$90,0)</f>
        <v>0</v>
      </c>
      <c r="AE97" s="628">
        <f>_xlfn.XLOOKUP($E97,'Løp 5'!$E$10:$E$90,'Løp 5'!$M$10:$M$90,0)</f>
        <v>0</v>
      </c>
      <c r="AF97" s="629">
        <f>_xlfn.XLOOKUP($E97,'Løp 5'!$E$10:$E$90,'Løp 5'!$O$10:$O$90,0)</f>
        <v>0</v>
      </c>
      <c r="AG97" s="629">
        <f>_xlfn.XLOOKUP($E97,'Løp 5'!$E$10:$E$90,'Løp 5'!$L$10:$L$90,0)</f>
        <v>0</v>
      </c>
      <c r="AH97" s="628">
        <f>_xlfn.XLOOKUP($E97,'Løp 6'!$E$10:$E$90,'Løp 6'!$M$10:$M$90,0)</f>
        <v>0</v>
      </c>
      <c r="AI97" s="629">
        <f>_xlfn.XLOOKUP($E97,'Løp 6'!$E$10:$E$90,'Løp 6'!$O$10:$O$90,0)</f>
        <v>0</v>
      </c>
      <c r="AJ97" s="629">
        <f>_xlfn.XLOOKUP($E97,'Løp 6'!$E$10:$E$90,'Løp 6'!$L$10:$L$90,0)</f>
        <v>0</v>
      </c>
      <c r="AK97" s="628">
        <f>_xlfn.XLOOKUP($E97,'Løp 7'!$E$10:$E$90,'Løp 7'!$M$10:$M$90,0)</f>
        <v>0</v>
      </c>
      <c r="AL97" s="629">
        <f>_xlfn.XLOOKUP($E97,'Løp 7'!$E$10:$E$90,'Løp 7'!$O$10:$O$90,0)</f>
        <v>0</v>
      </c>
      <c r="AM97" s="629">
        <f>_xlfn.XLOOKUP($E97,'Løp 7'!$E$10:$E$90,'Løp 7'!$L$10:$L$90,0)</f>
        <v>0</v>
      </c>
      <c r="AN97" s="628">
        <f>_xlfn.XLOOKUP($E97,'Løp 8'!$E$10:$E$91,'Løp 8'!$M$10:$M$91,0)</f>
        <v>0</v>
      </c>
      <c r="AO97" s="629">
        <f>_xlfn.XLOOKUP($E97,'Løp 8'!$E$10:$E$91,'Løp 8'!$O$10:$O$91,0)</f>
        <v>0</v>
      </c>
      <c r="AP97" s="629">
        <f>_xlfn.XLOOKUP($E97,'Løp 8'!$E$10:$E$91,'Løp 8'!$L$10:$L$91,0)</f>
        <v>0</v>
      </c>
      <c r="AQ97" s="628">
        <f>_xlfn.XLOOKUP($E97,'Løp 9'!$E$10:$E$91,'Løp 9'!$M$10:$M$91,0)</f>
        <v>0</v>
      </c>
      <c r="AR97" s="629">
        <f>_xlfn.XLOOKUP($E97,'Løp 9'!$E$10:$E$91,'Løp 9'!$O$10:$O$91,0)</f>
        <v>0</v>
      </c>
      <c r="AS97" s="629">
        <f>_xlfn.XLOOKUP($E97,'Løp 9'!$E$10:$E$91,'Løp 9'!$L$10:$L$91,0)</f>
        <v>0</v>
      </c>
      <c r="AT97" s="628">
        <f>_xlfn.XLOOKUP($E97,'Løp 10'!$E$10:$E$91,'Løp 10'!$M$10:$M$91,0)</f>
        <v>0</v>
      </c>
      <c r="AU97" s="629">
        <f>_xlfn.XLOOKUP($E97,'Løp 10'!$E$10:$E$91,'Løp 10'!$O$10:$O$91,0)</f>
        <v>0</v>
      </c>
      <c r="AV97" s="629">
        <f>_xlfn.XLOOKUP($E97,'Løp 10'!$E$10:$E$91,'Løp 10'!$L$10:$L$91,0)</f>
        <v>0</v>
      </c>
      <c r="AW97" s="628">
        <f>_xlfn.XLOOKUP($E97,'Løp 11'!$E$10:$E$91,'Løp 11'!$M$10:$M$91,0)</f>
        <v>0</v>
      </c>
      <c r="AX97" s="629">
        <f>_xlfn.XLOOKUP($E97,'Løp 11'!$E$10:$E$91,'Løp 11'!$O$10:$O$91,0)</f>
        <v>0</v>
      </c>
      <c r="AY97" s="629">
        <f>_xlfn.XLOOKUP($E97,'Løp 11'!$E$10:$E$91,'Løp 11'!$L$10:$L$91,0)</f>
        <v>0</v>
      </c>
      <c r="AZ97" s="628">
        <f>_xlfn.XLOOKUP($E97,'Løp 12'!$E$10:$E$91,'Løp 12'!$M$10:$M$91,0)</f>
        <v>0</v>
      </c>
      <c r="BA97" s="629">
        <f>_xlfn.XLOOKUP($E97,'Løp 12'!$E$10:$E$91,'Løp 12'!$O$10:$O$91,0)</f>
        <v>0</v>
      </c>
      <c r="BB97" s="629">
        <f>_xlfn.XLOOKUP($E97,'Løp 12'!$E$10:$E$91,'Løp 12'!$L$10:$L$91,0)</f>
        <v>0</v>
      </c>
      <c r="BC97" s="628">
        <f>_xlfn.XLOOKUP($E97,'Løp 13'!$E$10:$E$91,'Løp 13'!$M$10:$M$91,0)</f>
        <v>0</v>
      </c>
      <c r="BD97" s="629">
        <f>_xlfn.XLOOKUP($E97,'Løp 13'!$E$10:$E$91,'Løp 13'!$O$10:$O$91,0)</f>
        <v>0</v>
      </c>
      <c r="BE97" s="629">
        <f>_xlfn.XLOOKUP($E97,'Løp 13'!$E$10:$E$91,'Løp 13'!$L$10:$L$91,0)</f>
        <v>0</v>
      </c>
      <c r="BF97" s="628">
        <f>_xlfn.XLOOKUP($E97,'Løp 14'!$E$10:$E$91,'Løp 14'!$M$10:$M$91,0)</f>
        <v>0</v>
      </c>
      <c r="BG97" s="629">
        <f>_xlfn.XLOOKUP($E97,'Løp 14'!$E$10:$E$91,'Løp 14'!$O$10:$O$91,0)</f>
        <v>0</v>
      </c>
      <c r="BH97" s="629">
        <f>_xlfn.XLOOKUP($E97,'Løp 14'!$E$10:$E$91,'Løp 14'!$L$10:$L$91,0)</f>
        <v>0</v>
      </c>
      <c r="BI97" s="628">
        <f>_xlfn.XLOOKUP($E97,'Løp 15'!$E$10:$E$91,'Løp 15'!$M$10:$M$91,0)</f>
        <v>0</v>
      </c>
      <c r="BJ97" s="629">
        <f>_xlfn.XLOOKUP($E97,'Løp 15'!$E$10:$E$91,'Løp 15'!$O$10:$O$91,0)</f>
        <v>0</v>
      </c>
      <c r="BK97" s="629">
        <f>_xlfn.XLOOKUP($E97,'Løp 15'!$E$10:$E$91,'Løp 15'!$L$10:$L$91,0)</f>
        <v>0</v>
      </c>
      <c r="BL97" s="628">
        <f>_xlfn.XLOOKUP($E97,'Løp 16'!$E$10:$E$91,'Løp 16'!$M$10:$M$91,0)</f>
        <v>0</v>
      </c>
      <c r="BM97" s="629">
        <f>_xlfn.XLOOKUP($E97,'Løp 16'!$E$10:$E$91,'Løp 16'!$O$10:$O$91,0)</f>
        <v>0</v>
      </c>
      <c r="BN97" s="629">
        <f>_xlfn.XLOOKUP($E97,'Løp 16'!$E$10:$E$91,'Løp 16'!$L$10:$L$91,0)</f>
        <v>0</v>
      </c>
      <c r="BO97" s="628">
        <f>_xlfn.XLOOKUP($E97,'Løp 17'!$E$10:$E$91,'Løp 17'!$M$10:$M$91,0)</f>
        <v>0</v>
      </c>
      <c r="BP97" s="629">
        <f>_xlfn.XLOOKUP($E97,'Løp 17'!$E$10:$E$91,'Løp 17'!$O$10:$O$91,0)</f>
        <v>0</v>
      </c>
      <c r="BQ97" s="629">
        <f>_xlfn.XLOOKUP($E97,'Løp 17'!$E$10:$E$91,'Løp 17'!$L$10:$L$91,0)</f>
        <v>0</v>
      </c>
      <c r="BR97" s="628">
        <f>_xlfn.XLOOKUP($E97,'Løp 18'!$E$10:$E$91,'Løp 18'!$M$10:$M$91,0)</f>
        <v>0</v>
      </c>
      <c r="BS97" s="629">
        <f>_xlfn.XLOOKUP($E97,'Løp 18'!$E$10:$E$91,'Løp 18'!$O$10:$O$91,0)</f>
        <v>0</v>
      </c>
      <c r="BT97" s="629">
        <f>_xlfn.XLOOKUP($E97,'Løp 18'!$E$10:$E$91,'Løp 18'!$L$10:$L$91,0)</f>
        <v>0</v>
      </c>
      <c r="BU97" s="628">
        <f>_xlfn.XLOOKUP($E97,'Løp 19'!$E$10:$E$91,'Løp 19'!$M$10:$M$91,0)</f>
        <v>0</v>
      </c>
      <c r="BV97" s="629">
        <f>_xlfn.XLOOKUP($E97,'Løp 19'!$E$10:$E$91,'Løp 19'!$O$10:$O$91,0)</f>
        <v>0</v>
      </c>
      <c r="BW97" s="629">
        <f>_xlfn.XLOOKUP($E97,'Løp 19'!$E$10:$E$91,'Løp 19'!$L$10:$L$91,0)</f>
        <v>0</v>
      </c>
      <c r="BX97" s="628">
        <f>_xlfn.XLOOKUP($E97,'Løp 20'!$E$10:$E$92,'Løp 20'!$M$10:$M$92,0)</f>
        <v>0</v>
      </c>
      <c r="BY97" s="629">
        <f>_xlfn.XLOOKUP($E97,'Løp 20'!$E$10:$E$92,'Løp 20'!$O$10:$O$92,0)</f>
        <v>0</v>
      </c>
      <c r="BZ97" s="629">
        <f>_xlfn.XLOOKUP($E97,'Løp 20'!$E$10:$E$92,'Løp 20'!$L$10:$L$92,0)</f>
        <v>0</v>
      </c>
      <c r="CA97" s="628">
        <f>_xlfn.XLOOKUP($E97,'Løp 21'!$E$10:$E$93,'Løp 21'!$M$10:$M$93,0)</f>
        <v>0</v>
      </c>
      <c r="CB97" s="629">
        <f>_xlfn.XLOOKUP($E97,'Løp 21'!$E$10:$E$93,'Løp 21'!$O$10:$O$93,0)</f>
        <v>0</v>
      </c>
      <c r="CC97" s="629">
        <f>_xlfn.XLOOKUP($E97,'Løp 21'!$E$10:$E$93,'Løp 21'!$L$10:$L$93,0)</f>
        <v>0</v>
      </c>
      <c r="CD97" s="628">
        <f>_xlfn.XLOOKUP($E97,'Løp 22'!$E$10:$E$93,'Løp 22'!$M$10:$M$93,0)</f>
        <v>0</v>
      </c>
      <c r="CE97" s="629">
        <f>_xlfn.XLOOKUP($E97,'Løp 22'!$E$10:$E$93,'Løp 22'!$O$10:$O$93,0)</f>
        <v>0</v>
      </c>
      <c r="CF97" s="629">
        <f>_xlfn.XLOOKUP($E97,'Løp 22'!$E$10:$E$93,'Løp 22'!$L$10:$L$93,0)</f>
        <v>0</v>
      </c>
      <c r="CG97" s="628">
        <f>_xlfn.XLOOKUP($E97,'Løp 23'!$E$10:$E$93,'Løp 23'!$M$10:$M$93,0)</f>
        <v>0</v>
      </c>
      <c r="CH97" s="629">
        <f>_xlfn.XLOOKUP($E97,'Løp 23'!$E$10:$E$93,'Løp 23'!$O$10:$O$93,0)</f>
        <v>0</v>
      </c>
      <c r="CI97" s="629">
        <f>_xlfn.XLOOKUP($E97,'Løp 23'!$E$10:$E$93,'Løp 23'!$L$10:$L$93,0)</f>
        <v>0</v>
      </c>
      <c r="CJ97" s="628">
        <f>_xlfn.XLOOKUP($E97,'Løp 24'!$E$10:$E$93,'Løp 24'!$M$10:$M$93,0)</f>
        <v>0</v>
      </c>
      <c r="CK97" s="629">
        <f>_xlfn.XLOOKUP($E97,'Løp 24'!$E$10:$E$93,'Løp 24'!$O$10:$O$93,0)</f>
        <v>0</v>
      </c>
      <c r="CL97" s="629">
        <f>_xlfn.XLOOKUP($E97,'Løp 24'!$E$10:$E$93,'Løp 24'!$L$10:$L$93,0)</f>
        <v>0</v>
      </c>
      <c r="CM97" s="628">
        <f>_xlfn.XLOOKUP($E97,'Løp 25'!$E$10:$E$94,'Løp 25'!$M$10:$M$94,0)</f>
        <v>0</v>
      </c>
      <c r="CN97" s="629">
        <f>_xlfn.XLOOKUP($E97,'Løp 25'!$E$10:$E$94,'Løp 25'!$O$10:$O$94,0)</f>
        <v>0</v>
      </c>
      <c r="CO97" s="629">
        <f>_xlfn.XLOOKUP($E97,'Løp 25'!$E$10:$E$94,'Løp 25'!$L$10:$L$94,0)</f>
        <v>0</v>
      </c>
      <c r="CP97" s="628">
        <f>_xlfn.XLOOKUP($E97,'Løp 26'!$E$10:$E$94,'Løp 26'!$M$10:$M$94,0)</f>
        <v>0</v>
      </c>
      <c r="CQ97" s="629">
        <f>_xlfn.XLOOKUP($E97,'Løp 26'!$E$10:$E$94,'Løp 26'!$O$10:$O$94,0)</f>
        <v>0</v>
      </c>
      <c r="CR97" s="629">
        <f>_xlfn.XLOOKUP($E97,'Løp 26'!$E$10:$E$94,'Løp 26'!$L$10:$L$94,0)</f>
        <v>0</v>
      </c>
      <c r="CS97" s="628">
        <f>_xlfn.XLOOKUP($E97,'Løp 27'!$E$10:$E$94,'Løp 27'!$M$10:$M$94,0)</f>
        <v>0</v>
      </c>
      <c r="CT97" s="629">
        <f>_xlfn.XLOOKUP($E97,'Løp 27'!$E$10:$E$94,'Løp 27'!$O$10:$O$94,0)</f>
        <v>0</v>
      </c>
      <c r="CU97" s="629">
        <f>_xlfn.XLOOKUP($E97,'Løp 27'!$E$10:$E$94,'Løp 27'!$L$10:$L$94,0)</f>
        <v>0</v>
      </c>
      <c r="CV97" s="628">
        <f>_xlfn.XLOOKUP($E97,'Løp 28'!$E$10:$E$95,'Løp 28'!$M$10:$M$95,0)</f>
        <v>0</v>
      </c>
      <c r="CW97" s="629">
        <f>_xlfn.XLOOKUP($E97,'Løp 28'!$E$10:$E$95,'Løp 28'!$O$10:$O$95,0)</f>
        <v>0</v>
      </c>
      <c r="CX97" s="629">
        <f>_xlfn.XLOOKUP($E97,'Løp 28'!$E$10:$E$95,'Løp 28'!$L$10:$L$95,0)</f>
        <v>0</v>
      </c>
      <c r="CY97" s="628">
        <f>_xlfn.XLOOKUP($E97,'Løp 29'!$E$10:$E$95,'Løp 29'!$M$10:$M$95,0)</f>
        <v>0</v>
      </c>
      <c r="CZ97" s="629">
        <f>_xlfn.XLOOKUP($E97,'Løp 29'!$E$10:$E$95,'Løp 29'!$O$10:$O$95,0)</f>
        <v>0</v>
      </c>
      <c r="DA97" s="629">
        <f>_xlfn.XLOOKUP($E97,'Løp 29'!$E$10:$E$95,'Løp 29'!$L$10:$L$95,0)</f>
        <v>0</v>
      </c>
    </row>
    <row r="98" spans="2:105" ht="26" customHeight="1" thickBot="1" x14ac:dyDescent="0.3">
      <c r="B98" s="627">
        <f t="shared" si="2"/>
        <v>89</v>
      </c>
      <c r="C98" s="123" t="s">
        <v>228</v>
      </c>
      <c r="D98" s="621" t="s">
        <v>229</v>
      </c>
      <c r="E98" s="616" t="str">
        <f>_xlfn.CONCAT(C98:D98)</f>
        <v>May-LisRønning</v>
      </c>
      <c r="F98" s="610"/>
      <c r="G98" s="653">
        <f>COUNTIF(S98:DA98,"&gt;2")/2</f>
        <v>0</v>
      </c>
      <c r="H98" s="852">
        <f>COUNTIF(S98:DA98,"=Løype")+COUNTIF(S98:DA98,"Arr")</f>
        <v>0</v>
      </c>
      <c r="I98" s="610"/>
      <c r="J98" s="632">
        <f>S98+V98+Y98+AB98+AE98+AH98+AK98+AN98+AQ98+AT98+AW98+AZ98+BC98+BF98+BI98+BL98+BO98+BR98+BU98+BX98+CA98+CD98+CG98+CJ98+CM98+CP98+CS98+CV98+CY98</f>
        <v>0</v>
      </c>
      <c r="K98" s="633">
        <f>T98+W98+Z98+AC98+AF98+AI98+AL98+AO98+AR98+AU98+AX98+BA98+BD98+BG98+BJ98+BM98+BP98+BS98+BV98+BY98+CB98+CE98+CH98+CK98+CN98+CQ98+CT98+CW98+CZ98</f>
        <v>0</v>
      </c>
      <c r="L98" s="613"/>
      <c r="M98" s="658">
        <f>IF($G98&gt;0,J98/G98,0)</f>
        <v>0</v>
      </c>
      <c r="N98" s="659">
        <f>IF($G98&gt;0,K98/$G98,0)</f>
        <v>0</v>
      </c>
      <c r="O98" s="862"/>
      <c r="P98" s="874">
        <f>IF(AND($G98&gt;$Q$3-1,$G98-$H98&gt;0),M98,0)</f>
        <v>0</v>
      </c>
      <c r="Q98" s="875">
        <f>IF(AND($G98&gt;$Q$3-1,$G98-$H98&gt;0),N98,0)</f>
        <v>0</v>
      </c>
      <c r="R98" s="613"/>
      <c r="S98" s="628">
        <f>_xlfn.XLOOKUP($E98,'Løp 1'!$E$10:$E$90,'Løp 1'!$M$10:$M$90,0)</f>
        <v>0</v>
      </c>
      <c r="T98" s="629">
        <f>_xlfn.XLOOKUP($E98,'Løp 1'!$E$10:$E$90,'Løp 1'!$O$10:$O$90,0)</f>
        <v>0</v>
      </c>
      <c r="U98" s="629">
        <f>_xlfn.XLOOKUP($E98,'Løp 1'!$E$10:$E$90,'Løp 1'!$L$10:$L$90,0)</f>
        <v>0</v>
      </c>
      <c r="V98" s="628">
        <f>_xlfn.XLOOKUP($E98,'Løp 2'!$E$10:$E$90,'Løp 2'!$M$10:$M$90,0)</f>
        <v>0</v>
      </c>
      <c r="W98" s="629">
        <f>_xlfn.XLOOKUP($E98,'Løp 2'!$E$10:$E$90,'Løp 2'!$O$10:$O$90,0)</f>
        <v>0</v>
      </c>
      <c r="X98" s="629">
        <f>_xlfn.XLOOKUP($E98,'Løp 2'!$E$10:$E$90,'Løp 2'!$L$10:$L$90,0)</f>
        <v>0</v>
      </c>
      <c r="Y98" s="628">
        <f>_xlfn.XLOOKUP($E98,'Løp 3'!$E$10:$E$90,'Løp 3'!$M$10:$M$90,0)</f>
        <v>0</v>
      </c>
      <c r="Z98" s="629">
        <f>_xlfn.XLOOKUP($E98,'Løp 3'!$E$10:$E$90,'Løp 3'!$O$10:$O$90,0)</f>
        <v>0</v>
      </c>
      <c r="AA98" s="629">
        <f>_xlfn.XLOOKUP($E98,'Løp 3'!$E$10:$E$90,'Løp 3'!$L$10:$L$90,0)</f>
        <v>0</v>
      </c>
      <c r="AB98" s="628">
        <f>_xlfn.XLOOKUP($E98,'Løp 4'!$E$10:$E$90,'Løp 4'!$M$10:$M$90,0)</f>
        <v>0</v>
      </c>
      <c r="AC98" s="629">
        <f>_xlfn.XLOOKUP($E98,'Løp 4'!$E$10:$E$90,'Løp 4'!$O$10:$O$90,0)</f>
        <v>0</v>
      </c>
      <c r="AD98" s="629">
        <f>_xlfn.XLOOKUP($E98,'Løp 4'!$E$10:$E$90,'Løp 4'!$L$10:$L$90,0)</f>
        <v>0</v>
      </c>
      <c r="AE98" s="628">
        <f>_xlfn.XLOOKUP($E98,'Løp 5'!$E$10:$E$90,'Løp 5'!$M$10:$M$90,0)</f>
        <v>0</v>
      </c>
      <c r="AF98" s="629">
        <f>_xlfn.XLOOKUP($E98,'Løp 5'!$E$10:$E$90,'Løp 5'!$O$10:$O$90,0)</f>
        <v>0</v>
      </c>
      <c r="AG98" s="629">
        <f>_xlfn.XLOOKUP($E98,'Løp 5'!$E$10:$E$90,'Løp 5'!$L$10:$L$90,0)</f>
        <v>0</v>
      </c>
      <c r="AH98" s="628">
        <f>_xlfn.XLOOKUP($E98,'Løp 6'!$E$10:$E$90,'Løp 6'!$M$10:$M$90,0)</f>
        <v>0</v>
      </c>
      <c r="AI98" s="629">
        <f>_xlfn.XLOOKUP($E98,'Løp 6'!$E$10:$E$90,'Løp 6'!$O$10:$O$90,0)</f>
        <v>0</v>
      </c>
      <c r="AJ98" s="629">
        <f>_xlfn.XLOOKUP($E98,'Løp 6'!$E$10:$E$90,'Løp 6'!$L$10:$L$90,0)</f>
        <v>0</v>
      </c>
      <c r="AK98" s="628">
        <f>_xlfn.XLOOKUP($E98,'Løp 7'!$E$10:$E$90,'Løp 7'!$M$10:$M$90,0)</f>
        <v>0</v>
      </c>
      <c r="AL98" s="629">
        <f>_xlfn.XLOOKUP($E98,'Løp 7'!$E$10:$E$90,'Løp 7'!$O$10:$O$90,0)</f>
        <v>0</v>
      </c>
      <c r="AM98" s="629">
        <f>_xlfn.XLOOKUP($E98,'Løp 7'!$E$10:$E$90,'Løp 7'!$L$10:$L$90,0)</f>
        <v>0</v>
      </c>
      <c r="AN98" s="628">
        <f>_xlfn.XLOOKUP($E98,'Løp 8'!$E$10:$E$91,'Løp 8'!$M$10:$M$91,0)</f>
        <v>0</v>
      </c>
      <c r="AO98" s="629">
        <f>_xlfn.XLOOKUP($E98,'Løp 8'!$E$10:$E$91,'Løp 8'!$O$10:$O$91,0)</f>
        <v>0</v>
      </c>
      <c r="AP98" s="629">
        <f>_xlfn.XLOOKUP($E98,'Løp 8'!$E$10:$E$91,'Løp 8'!$L$10:$L$91,0)</f>
        <v>0</v>
      </c>
      <c r="AQ98" s="628">
        <f>_xlfn.XLOOKUP($E98,'Løp 9'!$E$10:$E$91,'Løp 9'!$M$10:$M$91,0)</f>
        <v>0</v>
      </c>
      <c r="AR98" s="629">
        <f>_xlfn.XLOOKUP($E98,'Løp 9'!$E$10:$E$91,'Løp 9'!$O$10:$O$91,0)</f>
        <v>0</v>
      </c>
      <c r="AS98" s="629">
        <f>_xlfn.XLOOKUP($E98,'Løp 9'!$E$10:$E$91,'Løp 9'!$L$10:$L$91,0)</f>
        <v>0</v>
      </c>
      <c r="AT98" s="628">
        <f>_xlfn.XLOOKUP($E98,'Løp 10'!$E$10:$E$91,'Løp 10'!$M$10:$M$91,0)</f>
        <v>0</v>
      </c>
      <c r="AU98" s="629">
        <f>_xlfn.XLOOKUP($E98,'Løp 10'!$E$10:$E$91,'Løp 10'!$O$10:$O$91,0)</f>
        <v>0</v>
      </c>
      <c r="AV98" s="629">
        <f>_xlfn.XLOOKUP($E98,'Løp 10'!$E$10:$E$91,'Løp 10'!$L$10:$L$91,0)</f>
        <v>0</v>
      </c>
      <c r="AW98" s="628">
        <f>_xlfn.XLOOKUP($E98,'Løp 11'!$E$10:$E$91,'Løp 11'!$M$10:$M$91,0)</f>
        <v>0</v>
      </c>
      <c r="AX98" s="629">
        <f>_xlfn.XLOOKUP($E98,'Løp 11'!$E$10:$E$91,'Løp 11'!$O$10:$O$91,0)</f>
        <v>0</v>
      </c>
      <c r="AY98" s="629">
        <f>_xlfn.XLOOKUP($E98,'Løp 11'!$E$10:$E$91,'Løp 11'!$L$10:$L$91,0)</f>
        <v>0</v>
      </c>
      <c r="AZ98" s="628">
        <f>_xlfn.XLOOKUP($E98,'Løp 12'!$E$10:$E$91,'Løp 12'!$M$10:$M$91,0)</f>
        <v>0</v>
      </c>
      <c r="BA98" s="629">
        <f>_xlfn.XLOOKUP($E98,'Løp 12'!$E$10:$E$91,'Løp 12'!$O$10:$O$91,0)</f>
        <v>0</v>
      </c>
      <c r="BB98" s="629">
        <f>_xlfn.XLOOKUP($E98,'Løp 12'!$E$10:$E$91,'Løp 12'!$L$10:$L$91,0)</f>
        <v>0</v>
      </c>
      <c r="BC98" s="628">
        <f>_xlfn.XLOOKUP($E98,'Løp 13'!$E$10:$E$91,'Løp 13'!$M$10:$M$91,0)</f>
        <v>0</v>
      </c>
      <c r="BD98" s="629">
        <f>_xlfn.XLOOKUP($E98,'Løp 13'!$E$10:$E$91,'Løp 13'!$O$10:$O$91,0)</f>
        <v>0</v>
      </c>
      <c r="BE98" s="629">
        <f>_xlfn.XLOOKUP($E98,'Løp 13'!$E$10:$E$91,'Løp 13'!$L$10:$L$91,0)</f>
        <v>0</v>
      </c>
      <c r="BF98" s="628">
        <f>_xlfn.XLOOKUP($E98,'Løp 14'!$E$10:$E$91,'Løp 14'!$M$10:$M$91,0)</f>
        <v>0</v>
      </c>
      <c r="BG98" s="629">
        <f>_xlfn.XLOOKUP($E98,'Løp 14'!$E$10:$E$91,'Løp 14'!$O$10:$O$91,0)</f>
        <v>0</v>
      </c>
      <c r="BH98" s="629">
        <f>_xlfn.XLOOKUP($E98,'Løp 14'!$E$10:$E$91,'Løp 14'!$L$10:$L$91,0)</f>
        <v>0</v>
      </c>
      <c r="BI98" s="628">
        <f>_xlfn.XLOOKUP($E98,'Løp 15'!$E$10:$E$91,'Løp 15'!$M$10:$M$91,0)</f>
        <v>0</v>
      </c>
      <c r="BJ98" s="629">
        <f>_xlfn.XLOOKUP($E98,'Løp 15'!$E$10:$E$91,'Løp 15'!$O$10:$O$91,0)</f>
        <v>0</v>
      </c>
      <c r="BK98" s="629">
        <f>_xlfn.XLOOKUP($E98,'Løp 15'!$E$10:$E$91,'Løp 15'!$L$10:$L$91,0)</f>
        <v>0</v>
      </c>
      <c r="BL98" s="628">
        <f>_xlfn.XLOOKUP($E98,'Løp 16'!$E$10:$E$91,'Løp 16'!$M$10:$M$91,0)</f>
        <v>0</v>
      </c>
      <c r="BM98" s="629">
        <f>_xlfn.XLOOKUP($E98,'Løp 16'!$E$10:$E$91,'Løp 16'!$O$10:$O$91,0)</f>
        <v>0</v>
      </c>
      <c r="BN98" s="629">
        <f>_xlfn.XLOOKUP($E98,'Løp 16'!$E$10:$E$91,'Løp 16'!$L$10:$L$91,0)</f>
        <v>0</v>
      </c>
      <c r="BO98" s="628">
        <f>_xlfn.XLOOKUP($E98,'Løp 17'!$E$10:$E$91,'Løp 17'!$M$10:$M$91,0)</f>
        <v>0</v>
      </c>
      <c r="BP98" s="629">
        <f>_xlfn.XLOOKUP($E98,'Løp 17'!$E$10:$E$91,'Løp 17'!$O$10:$O$91,0)</f>
        <v>0</v>
      </c>
      <c r="BQ98" s="629">
        <f>_xlfn.XLOOKUP($E98,'Løp 17'!$E$10:$E$91,'Løp 17'!$L$10:$L$91,0)</f>
        <v>0</v>
      </c>
      <c r="BR98" s="628">
        <f>_xlfn.XLOOKUP($E98,'Løp 18'!$E$10:$E$91,'Løp 18'!$M$10:$M$91,0)</f>
        <v>0</v>
      </c>
      <c r="BS98" s="629">
        <f>_xlfn.XLOOKUP($E98,'Løp 18'!$E$10:$E$91,'Løp 18'!$O$10:$O$91,0)</f>
        <v>0</v>
      </c>
      <c r="BT98" s="629">
        <f>_xlfn.XLOOKUP($E98,'Løp 18'!$E$10:$E$91,'Løp 18'!$L$10:$L$91,0)</f>
        <v>0</v>
      </c>
      <c r="BU98" s="628">
        <f>_xlfn.XLOOKUP($E98,'Løp 19'!$E$10:$E$91,'Løp 19'!$M$10:$M$91,0)</f>
        <v>0</v>
      </c>
      <c r="BV98" s="629">
        <f>_xlfn.XLOOKUP($E98,'Løp 19'!$E$10:$E$91,'Løp 19'!$O$10:$O$91,0)</f>
        <v>0</v>
      </c>
      <c r="BW98" s="629">
        <f>_xlfn.XLOOKUP($E98,'Løp 19'!$E$10:$E$91,'Løp 19'!$L$10:$L$91,0)</f>
        <v>0</v>
      </c>
      <c r="BX98" s="628">
        <f>_xlfn.XLOOKUP($E98,'Løp 20'!$E$10:$E$92,'Løp 20'!$M$10:$M$92,0)</f>
        <v>0</v>
      </c>
      <c r="BY98" s="629">
        <f>_xlfn.XLOOKUP($E98,'Løp 20'!$E$10:$E$92,'Løp 20'!$O$10:$O$92,0)</f>
        <v>0</v>
      </c>
      <c r="BZ98" s="629">
        <f>_xlfn.XLOOKUP($E98,'Løp 20'!$E$10:$E$92,'Løp 20'!$L$10:$L$92,0)</f>
        <v>0</v>
      </c>
      <c r="CA98" s="628">
        <f>_xlfn.XLOOKUP($E98,'Løp 21'!$E$10:$E$93,'Løp 21'!$M$10:$M$93,0)</f>
        <v>0</v>
      </c>
      <c r="CB98" s="629">
        <f>_xlfn.XLOOKUP($E98,'Løp 21'!$E$10:$E$93,'Løp 21'!$O$10:$O$93,0)</f>
        <v>0</v>
      </c>
      <c r="CC98" s="629">
        <f>_xlfn.XLOOKUP($E98,'Løp 21'!$E$10:$E$93,'Løp 21'!$L$10:$L$93,0)</f>
        <v>0</v>
      </c>
      <c r="CD98" s="628">
        <f>_xlfn.XLOOKUP($E98,'Løp 22'!$E$10:$E$93,'Løp 22'!$M$10:$M$93,0)</f>
        <v>0</v>
      </c>
      <c r="CE98" s="629">
        <f>_xlfn.XLOOKUP($E98,'Løp 22'!$E$10:$E$93,'Løp 22'!$O$10:$O$93,0)</f>
        <v>0</v>
      </c>
      <c r="CF98" s="629">
        <f>_xlfn.XLOOKUP($E98,'Løp 22'!$E$10:$E$93,'Løp 22'!$L$10:$L$93,0)</f>
        <v>0</v>
      </c>
      <c r="CG98" s="628">
        <f>_xlfn.XLOOKUP($E98,'Løp 23'!$E$10:$E$93,'Løp 23'!$M$10:$M$93,0)</f>
        <v>0</v>
      </c>
      <c r="CH98" s="629">
        <f>_xlfn.XLOOKUP($E98,'Løp 23'!$E$10:$E$93,'Løp 23'!$O$10:$O$93,0)</f>
        <v>0</v>
      </c>
      <c r="CI98" s="629">
        <f>_xlfn.XLOOKUP($E98,'Løp 23'!$E$10:$E$93,'Løp 23'!$L$10:$L$93,0)</f>
        <v>0</v>
      </c>
      <c r="CJ98" s="628">
        <f>_xlfn.XLOOKUP($E98,'Løp 24'!$E$10:$E$93,'Løp 24'!$M$10:$M$93,0)</f>
        <v>0</v>
      </c>
      <c r="CK98" s="629">
        <f>_xlfn.XLOOKUP($E98,'Løp 24'!$E$10:$E$93,'Løp 24'!$O$10:$O$93,0)</f>
        <v>0</v>
      </c>
      <c r="CL98" s="629">
        <f>_xlfn.XLOOKUP($E98,'Løp 24'!$E$10:$E$93,'Løp 24'!$L$10:$L$93,0)</f>
        <v>0</v>
      </c>
      <c r="CM98" s="628">
        <f>_xlfn.XLOOKUP($E98,'Løp 25'!$E$10:$E$94,'Løp 25'!$M$10:$M$94,0)</f>
        <v>0</v>
      </c>
      <c r="CN98" s="629">
        <f>_xlfn.XLOOKUP($E98,'Løp 25'!$E$10:$E$94,'Løp 25'!$O$10:$O$94,0)</f>
        <v>0</v>
      </c>
      <c r="CO98" s="629">
        <f>_xlfn.XLOOKUP($E98,'Løp 25'!$E$10:$E$94,'Løp 25'!$L$10:$L$94,0)</f>
        <v>0</v>
      </c>
      <c r="CP98" s="628">
        <f>_xlfn.XLOOKUP($E98,'Løp 26'!$E$10:$E$94,'Løp 26'!$M$10:$M$94,0)</f>
        <v>0</v>
      </c>
      <c r="CQ98" s="629">
        <f>_xlfn.XLOOKUP($E98,'Løp 26'!$E$10:$E$94,'Løp 26'!$O$10:$O$94,0)</f>
        <v>0</v>
      </c>
      <c r="CR98" s="629">
        <f>_xlfn.XLOOKUP($E98,'Løp 26'!$E$10:$E$94,'Løp 26'!$L$10:$L$94,0)</f>
        <v>0</v>
      </c>
      <c r="CS98" s="628">
        <f>_xlfn.XLOOKUP($E98,'Løp 27'!$E$10:$E$94,'Løp 27'!$M$10:$M$94,0)</f>
        <v>0</v>
      </c>
      <c r="CT98" s="629">
        <f>_xlfn.XLOOKUP($E98,'Løp 27'!$E$10:$E$94,'Løp 27'!$O$10:$O$94,0)</f>
        <v>0</v>
      </c>
      <c r="CU98" s="629">
        <f>_xlfn.XLOOKUP($E98,'Løp 27'!$E$10:$E$94,'Løp 27'!$L$10:$L$94,0)</f>
        <v>0</v>
      </c>
      <c r="CV98" s="628">
        <f>_xlfn.XLOOKUP($E98,'Løp 28'!$E$10:$E$95,'Løp 28'!$M$10:$M$95,0)</f>
        <v>0</v>
      </c>
      <c r="CW98" s="629">
        <f>_xlfn.XLOOKUP($E98,'Løp 28'!$E$10:$E$95,'Løp 28'!$O$10:$O$95,0)</f>
        <v>0</v>
      </c>
      <c r="CX98" s="629">
        <f>_xlfn.XLOOKUP($E98,'Løp 28'!$E$10:$E$95,'Løp 28'!$L$10:$L$95,0)</f>
        <v>0</v>
      </c>
      <c r="CY98" s="628">
        <f>_xlfn.XLOOKUP($E98,'Løp 29'!$E$10:$E$95,'Løp 29'!$M$10:$M$95,0)</f>
        <v>0</v>
      </c>
      <c r="CZ98" s="629">
        <f>_xlfn.XLOOKUP($E98,'Løp 29'!$E$10:$E$95,'Løp 29'!$O$10:$O$95,0)</f>
        <v>0</v>
      </c>
      <c r="DA98" s="629">
        <f>_xlfn.XLOOKUP($E98,'Løp 29'!$E$10:$E$95,'Løp 29'!$L$10:$L$95,0)</f>
        <v>0</v>
      </c>
    </row>
    <row r="99" spans="2:105" ht="26" customHeight="1" thickBot="1" x14ac:dyDescent="0.35">
      <c r="B99" s="627">
        <f t="shared" si="2"/>
        <v>90</v>
      </c>
      <c r="C99" s="123" t="s">
        <v>232</v>
      </c>
      <c r="D99" s="622" t="s">
        <v>231</v>
      </c>
      <c r="E99" s="616" t="str">
        <f>_xlfn.CONCAT(C99:D99)</f>
        <v>BeritSunnset</v>
      </c>
      <c r="F99" s="610"/>
      <c r="G99" s="653">
        <f>COUNTIF(S99:DA99,"&gt;2")/2</f>
        <v>0</v>
      </c>
      <c r="H99" s="852">
        <f>COUNTIF(S99:DA99,"=Løype")+COUNTIF(S99:DA99,"Arr")</f>
        <v>0</v>
      </c>
      <c r="I99" s="610"/>
      <c r="J99" s="632">
        <f>S99+V99+Y99+AB99+AE99+AH99+AK99+AN99+AQ99+AT99+AW99+AZ99+BC99+BF99+BI99+BL99+BO99+BR99+BU99+BX99+CA99+CD99+CG99+CJ99+CM99+CP99+CS99+CV99+CY99</f>
        <v>0</v>
      </c>
      <c r="K99" s="633">
        <f>T99+W99+Z99+AC99+AF99+AI99+AL99+AO99+AR99+AU99+AX99+BA99+BD99+BG99+BJ99+BM99+BP99+BS99+BV99+BY99+CB99+CE99+CH99+CK99+CN99+CQ99+CT99+CW99+CZ99</f>
        <v>0</v>
      </c>
      <c r="L99" s="613"/>
      <c r="M99" s="658">
        <f>IF($G99&gt;0,J99/G99,0)</f>
        <v>0</v>
      </c>
      <c r="N99" s="659">
        <f>IF($G99&gt;0,K99/$G99,0)</f>
        <v>0</v>
      </c>
      <c r="O99" s="862"/>
      <c r="P99" s="874">
        <f>IF(AND($G99&gt;$Q$3-1,$G99-$H99&gt;0),M99,0)</f>
        <v>0</v>
      </c>
      <c r="Q99" s="875">
        <f>IF(AND($G99&gt;$Q$3-1,$G99-$H99&gt;0),N99,0)</f>
        <v>0</v>
      </c>
      <c r="R99" s="613"/>
      <c r="S99" s="628">
        <f>_xlfn.XLOOKUP($E99,'Løp 1'!$E$10:$E$90,'Løp 1'!$M$10:$M$90,0)</f>
        <v>0</v>
      </c>
      <c r="T99" s="629">
        <f>_xlfn.XLOOKUP($E99,'Løp 1'!$E$10:$E$90,'Løp 1'!$O$10:$O$90,0)</f>
        <v>0</v>
      </c>
      <c r="U99" s="629">
        <f>_xlfn.XLOOKUP($E99,'Løp 1'!$E$10:$E$90,'Løp 1'!$L$10:$L$90,0)</f>
        <v>0</v>
      </c>
      <c r="V99" s="628">
        <f>_xlfn.XLOOKUP($E99,'Løp 2'!$E$10:$E$90,'Løp 2'!$M$10:$M$90,0)</f>
        <v>0</v>
      </c>
      <c r="W99" s="629">
        <f>_xlfn.XLOOKUP($E99,'Løp 2'!$E$10:$E$90,'Løp 2'!$O$10:$O$90,0)</f>
        <v>0</v>
      </c>
      <c r="X99" s="629">
        <f>_xlfn.XLOOKUP($E99,'Løp 2'!$E$10:$E$90,'Løp 2'!$L$10:$L$90,0)</f>
        <v>0</v>
      </c>
      <c r="Y99" s="628">
        <f>_xlfn.XLOOKUP($E99,'Løp 3'!$E$10:$E$90,'Løp 3'!$M$10:$M$90,0)</f>
        <v>0</v>
      </c>
      <c r="Z99" s="629">
        <f>_xlfn.XLOOKUP($E99,'Løp 3'!$E$10:$E$90,'Løp 3'!$O$10:$O$90,0)</f>
        <v>0</v>
      </c>
      <c r="AA99" s="629">
        <f>_xlfn.XLOOKUP($E99,'Løp 3'!$E$10:$E$90,'Løp 3'!$L$10:$L$90,0)</f>
        <v>0</v>
      </c>
      <c r="AB99" s="628">
        <f>_xlfn.XLOOKUP($E99,'Løp 4'!$E$10:$E$90,'Løp 4'!$M$10:$M$90,0)</f>
        <v>0</v>
      </c>
      <c r="AC99" s="629">
        <f>_xlfn.XLOOKUP($E99,'Løp 4'!$E$10:$E$90,'Løp 4'!$O$10:$O$90,0)</f>
        <v>0</v>
      </c>
      <c r="AD99" s="629">
        <f>_xlfn.XLOOKUP($E99,'Løp 4'!$E$10:$E$90,'Løp 4'!$L$10:$L$90,0)</f>
        <v>0</v>
      </c>
      <c r="AE99" s="628">
        <f>_xlfn.XLOOKUP($E99,'Løp 5'!$E$10:$E$90,'Løp 5'!$M$10:$M$90,0)</f>
        <v>0</v>
      </c>
      <c r="AF99" s="629">
        <f>_xlfn.XLOOKUP($E99,'Løp 5'!$E$10:$E$90,'Løp 5'!$O$10:$O$90,0)</f>
        <v>0</v>
      </c>
      <c r="AG99" s="629">
        <f>_xlfn.XLOOKUP($E99,'Løp 5'!$E$10:$E$90,'Løp 5'!$L$10:$L$90,0)</f>
        <v>0</v>
      </c>
      <c r="AH99" s="628">
        <f>_xlfn.XLOOKUP($E99,'Løp 6'!$E$10:$E$90,'Løp 6'!$M$10:$M$90,0)</f>
        <v>0</v>
      </c>
      <c r="AI99" s="629">
        <f>_xlfn.XLOOKUP($E99,'Løp 6'!$E$10:$E$90,'Løp 6'!$O$10:$O$90,0)</f>
        <v>0</v>
      </c>
      <c r="AJ99" s="629">
        <f>_xlfn.XLOOKUP($E99,'Løp 6'!$E$10:$E$90,'Løp 6'!$L$10:$L$90,0)</f>
        <v>0</v>
      </c>
      <c r="AK99" s="628">
        <f>_xlfn.XLOOKUP($E99,'Løp 7'!$E$10:$E$90,'Løp 7'!$M$10:$M$90,0)</f>
        <v>0</v>
      </c>
      <c r="AL99" s="629">
        <f>_xlfn.XLOOKUP($E99,'Løp 7'!$E$10:$E$90,'Løp 7'!$O$10:$O$90,0)</f>
        <v>0</v>
      </c>
      <c r="AM99" s="629">
        <f>_xlfn.XLOOKUP($E99,'Løp 7'!$E$10:$E$90,'Løp 7'!$L$10:$L$90,0)</f>
        <v>0</v>
      </c>
      <c r="AN99" s="628">
        <f>_xlfn.XLOOKUP($E99,'Løp 8'!$E$10:$E$91,'Løp 8'!$M$10:$M$91,0)</f>
        <v>0</v>
      </c>
      <c r="AO99" s="629">
        <f>_xlfn.XLOOKUP($E99,'Løp 8'!$E$10:$E$91,'Løp 8'!$O$10:$O$91,0)</f>
        <v>0</v>
      </c>
      <c r="AP99" s="629">
        <f>_xlfn.XLOOKUP($E99,'Løp 8'!$E$10:$E$91,'Løp 8'!$L$10:$L$91,0)</f>
        <v>0</v>
      </c>
      <c r="AQ99" s="628">
        <f>_xlfn.XLOOKUP($E99,'Løp 9'!$E$10:$E$91,'Løp 9'!$M$10:$M$91,0)</f>
        <v>0</v>
      </c>
      <c r="AR99" s="629">
        <f>_xlfn.XLOOKUP($E99,'Løp 9'!$E$10:$E$91,'Løp 9'!$O$10:$O$91,0)</f>
        <v>0</v>
      </c>
      <c r="AS99" s="629">
        <f>_xlfn.XLOOKUP($E99,'Løp 9'!$E$10:$E$91,'Løp 9'!$L$10:$L$91,0)</f>
        <v>0</v>
      </c>
      <c r="AT99" s="628">
        <f>_xlfn.XLOOKUP($E99,'Løp 10'!$E$10:$E$91,'Løp 10'!$M$10:$M$91,0)</f>
        <v>0</v>
      </c>
      <c r="AU99" s="629">
        <f>_xlfn.XLOOKUP($E99,'Løp 10'!$E$10:$E$91,'Løp 10'!$O$10:$O$91,0)</f>
        <v>0</v>
      </c>
      <c r="AV99" s="629">
        <f>_xlfn.XLOOKUP($E99,'Løp 10'!$E$10:$E$91,'Løp 10'!$L$10:$L$91,0)</f>
        <v>0</v>
      </c>
      <c r="AW99" s="628">
        <f>_xlfn.XLOOKUP($E99,'Løp 11'!$E$10:$E$91,'Løp 11'!$M$10:$M$91,0)</f>
        <v>0</v>
      </c>
      <c r="AX99" s="629">
        <f>_xlfn.XLOOKUP($E99,'Løp 11'!$E$10:$E$91,'Løp 11'!$O$10:$O$91,0)</f>
        <v>0</v>
      </c>
      <c r="AY99" s="629">
        <f>_xlfn.XLOOKUP($E99,'Løp 11'!$E$10:$E$91,'Løp 11'!$L$10:$L$91,0)</f>
        <v>0</v>
      </c>
      <c r="AZ99" s="628">
        <f>_xlfn.XLOOKUP($E99,'Løp 12'!$E$10:$E$91,'Løp 12'!$M$10:$M$91,0)</f>
        <v>0</v>
      </c>
      <c r="BA99" s="629">
        <f>_xlfn.XLOOKUP($E99,'Løp 12'!$E$10:$E$91,'Løp 12'!$O$10:$O$91,0)</f>
        <v>0</v>
      </c>
      <c r="BB99" s="629">
        <f>_xlfn.XLOOKUP($E99,'Løp 12'!$E$10:$E$91,'Løp 12'!$L$10:$L$91,0)</f>
        <v>0</v>
      </c>
      <c r="BC99" s="628">
        <f>_xlfn.XLOOKUP($E99,'Løp 13'!$E$10:$E$91,'Løp 13'!$M$10:$M$91,0)</f>
        <v>0</v>
      </c>
      <c r="BD99" s="629">
        <f>_xlfn.XLOOKUP($E99,'Løp 13'!$E$10:$E$91,'Løp 13'!$O$10:$O$91,0)</f>
        <v>0</v>
      </c>
      <c r="BE99" s="629">
        <f>_xlfn.XLOOKUP($E99,'Løp 13'!$E$10:$E$91,'Løp 13'!$L$10:$L$91,0)</f>
        <v>0</v>
      </c>
      <c r="BF99" s="628">
        <f>_xlfn.XLOOKUP($E99,'Løp 14'!$E$10:$E$91,'Løp 14'!$M$10:$M$91,0)</f>
        <v>0</v>
      </c>
      <c r="BG99" s="629">
        <f>_xlfn.XLOOKUP($E99,'Løp 14'!$E$10:$E$91,'Løp 14'!$O$10:$O$91,0)</f>
        <v>0</v>
      </c>
      <c r="BH99" s="629">
        <f>_xlfn.XLOOKUP($E99,'Løp 14'!$E$10:$E$91,'Løp 14'!$L$10:$L$91,0)</f>
        <v>0</v>
      </c>
      <c r="BI99" s="628">
        <f>_xlfn.XLOOKUP($E99,'Løp 15'!$E$10:$E$91,'Løp 15'!$M$10:$M$91,0)</f>
        <v>0</v>
      </c>
      <c r="BJ99" s="629">
        <f>_xlfn.XLOOKUP($E99,'Løp 15'!$E$10:$E$91,'Løp 15'!$O$10:$O$91,0)</f>
        <v>0</v>
      </c>
      <c r="BK99" s="629">
        <f>_xlfn.XLOOKUP($E99,'Løp 15'!$E$10:$E$91,'Løp 15'!$L$10:$L$91,0)</f>
        <v>0</v>
      </c>
      <c r="BL99" s="628">
        <f>_xlfn.XLOOKUP($E99,'Løp 16'!$E$10:$E$91,'Løp 16'!$M$10:$M$91,0)</f>
        <v>0</v>
      </c>
      <c r="BM99" s="629">
        <f>_xlfn.XLOOKUP($E99,'Løp 16'!$E$10:$E$91,'Løp 16'!$O$10:$O$91,0)</f>
        <v>0</v>
      </c>
      <c r="BN99" s="629">
        <f>_xlfn.XLOOKUP($E99,'Løp 16'!$E$10:$E$91,'Løp 16'!$L$10:$L$91,0)</f>
        <v>0</v>
      </c>
      <c r="BO99" s="628">
        <f>_xlfn.XLOOKUP($E99,'Løp 17'!$E$10:$E$91,'Løp 17'!$M$10:$M$91,0)</f>
        <v>0</v>
      </c>
      <c r="BP99" s="629">
        <f>_xlfn.XLOOKUP($E99,'Løp 17'!$E$10:$E$91,'Løp 17'!$O$10:$O$91,0)</f>
        <v>0</v>
      </c>
      <c r="BQ99" s="629">
        <f>_xlfn.XLOOKUP($E99,'Løp 17'!$E$10:$E$91,'Løp 17'!$L$10:$L$91,0)</f>
        <v>0</v>
      </c>
      <c r="BR99" s="628">
        <f>_xlfn.XLOOKUP($E99,'Løp 18'!$E$10:$E$91,'Løp 18'!$M$10:$M$91,0)</f>
        <v>0</v>
      </c>
      <c r="BS99" s="629">
        <f>_xlfn.XLOOKUP($E99,'Løp 18'!$E$10:$E$91,'Løp 18'!$O$10:$O$91,0)</f>
        <v>0</v>
      </c>
      <c r="BT99" s="629">
        <f>_xlfn.XLOOKUP($E99,'Løp 18'!$E$10:$E$91,'Løp 18'!$L$10:$L$91,0)</f>
        <v>0</v>
      </c>
      <c r="BU99" s="628">
        <f>_xlfn.XLOOKUP($E99,'Løp 19'!$E$10:$E$91,'Løp 19'!$M$10:$M$91,0)</f>
        <v>0</v>
      </c>
      <c r="BV99" s="629">
        <f>_xlfn.XLOOKUP($E99,'Løp 19'!$E$10:$E$91,'Løp 19'!$O$10:$O$91,0)</f>
        <v>0</v>
      </c>
      <c r="BW99" s="629">
        <f>_xlfn.XLOOKUP($E99,'Løp 19'!$E$10:$E$91,'Løp 19'!$L$10:$L$91,0)</f>
        <v>0</v>
      </c>
      <c r="BX99" s="628">
        <f>_xlfn.XLOOKUP($E99,'Løp 20'!$E$10:$E$92,'Løp 20'!$M$10:$M$92,0)</f>
        <v>0</v>
      </c>
      <c r="BY99" s="629">
        <f>_xlfn.XLOOKUP($E99,'Løp 20'!$E$10:$E$92,'Løp 20'!$O$10:$O$92,0)</f>
        <v>0</v>
      </c>
      <c r="BZ99" s="629">
        <f>_xlfn.XLOOKUP($E99,'Løp 20'!$E$10:$E$92,'Løp 20'!$L$10:$L$92,0)</f>
        <v>0</v>
      </c>
      <c r="CA99" s="628">
        <f>_xlfn.XLOOKUP($E99,'Løp 21'!$E$10:$E$93,'Løp 21'!$M$10:$M$93,0)</f>
        <v>0</v>
      </c>
      <c r="CB99" s="629">
        <f>_xlfn.XLOOKUP($E99,'Løp 21'!$E$10:$E$93,'Løp 21'!$O$10:$O$93,0)</f>
        <v>0</v>
      </c>
      <c r="CC99" s="629">
        <f>_xlfn.XLOOKUP($E99,'Løp 21'!$E$10:$E$93,'Løp 21'!$L$10:$L$93,0)</f>
        <v>0</v>
      </c>
      <c r="CD99" s="628">
        <f>_xlfn.XLOOKUP($E99,'Løp 22'!$E$10:$E$93,'Løp 22'!$M$10:$M$93,0)</f>
        <v>0</v>
      </c>
      <c r="CE99" s="629">
        <f>_xlfn.XLOOKUP($E99,'Løp 22'!$E$10:$E$93,'Løp 22'!$O$10:$O$93,0)</f>
        <v>0</v>
      </c>
      <c r="CF99" s="629">
        <f>_xlfn.XLOOKUP($E99,'Løp 22'!$E$10:$E$93,'Løp 22'!$L$10:$L$93,0)</f>
        <v>0</v>
      </c>
      <c r="CG99" s="628">
        <f>_xlfn.XLOOKUP($E99,'Løp 23'!$E$10:$E$93,'Løp 23'!$M$10:$M$93,0)</f>
        <v>0</v>
      </c>
      <c r="CH99" s="629">
        <f>_xlfn.XLOOKUP($E99,'Løp 23'!$E$10:$E$93,'Løp 23'!$O$10:$O$93,0)</f>
        <v>0</v>
      </c>
      <c r="CI99" s="629">
        <f>_xlfn.XLOOKUP($E99,'Løp 23'!$E$10:$E$93,'Løp 23'!$L$10:$L$93,0)</f>
        <v>0</v>
      </c>
      <c r="CJ99" s="628">
        <f>_xlfn.XLOOKUP($E99,'Løp 24'!$E$10:$E$93,'Løp 24'!$M$10:$M$93,0)</f>
        <v>0</v>
      </c>
      <c r="CK99" s="629">
        <f>_xlfn.XLOOKUP($E99,'Løp 24'!$E$10:$E$93,'Løp 24'!$O$10:$O$93,0)</f>
        <v>0</v>
      </c>
      <c r="CL99" s="629">
        <f>_xlfn.XLOOKUP($E99,'Løp 24'!$E$10:$E$93,'Løp 24'!$L$10:$L$93,0)</f>
        <v>0</v>
      </c>
      <c r="CM99" s="628">
        <f>_xlfn.XLOOKUP($E99,'Løp 25'!$E$10:$E$94,'Løp 25'!$M$10:$M$94,0)</f>
        <v>0</v>
      </c>
      <c r="CN99" s="629">
        <f>_xlfn.XLOOKUP($E99,'Løp 25'!$E$10:$E$94,'Løp 25'!$O$10:$O$94,0)</f>
        <v>0</v>
      </c>
      <c r="CO99" s="629">
        <f>_xlfn.XLOOKUP($E99,'Løp 25'!$E$10:$E$94,'Løp 25'!$L$10:$L$94,0)</f>
        <v>0</v>
      </c>
      <c r="CP99" s="628">
        <f>_xlfn.XLOOKUP($E99,'Løp 26'!$E$10:$E$94,'Løp 26'!$M$10:$M$94,0)</f>
        <v>0</v>
      </c>
      <c r="CQ99" s="629">
        <f>_xlfn.XLOOKUP($E99,'Løp 26'!$E$10:$E$94,'Løp 26'!$O$10:$O$94,0)</f>
        <v>0</v>
      </c>
      <c r="CR99" s="629">
        <f>_xlfn.XLOOKUP($E99,'Løp 26'!$E$10:$E$94,'Løp 26'!$L$10:$L$94,0)</f>
        <v>0</v>
      </c>
      <c r="CS99" s="628">
        <f>_xlfn.XLOOKUP($E99,'Løp 27'!$E$10:$E$94,'Løp 27'!$M$10:$M$94,0)</f>
        <v>0</v>
      </c>
      <c r="CT99" s="629">
        <f>_xlfn.XLOOKUP($E99,'Løp 27'!$E$10:$E$94,'Løp 27'!$O$10:$O$94,0)</f>
        <v>0</v>
      </c>
      <c r="CU99" s="629">
        <f>_xlfn.XLOOKUP($E99,'Løp 27'!$E$10:$E$94,'Løp 27'!$L$10:$L$94,0)</f>
        <v>0</v>
      </c>
      <c r="CV99" s="628">
        <f>_xlfn.XLOOKUP($E99,'Løp 28'!$E$10:$E$95,'Løp 28'!$M$10:$M$95,0)</f>
        <v>0</v>
      </c>
      <c r="CW99" s="629">
        <f>_xlfn.XLOOKUP($E99,'Løp 28'!$E$10:$E$95,'Løp 28'!$O$10:$O$95,0)</f>
        <v>0</v>
      </c>
      <c r="CX99" s="629">
        <f>_xlfn.XLOOKUP($E99,'Løp 28'!$E$10:$E$95,'Løp 28'!$L$10:$L$95,0)</f>
        <v>0</v>
      </c>
      <c r="CY99" s="628">
        <f>_xlfn.XLOOKUP($E99,'Løp 29'!$E$10:$E$95,'Løp 29'!$M$10:$M$95,0)</f>
        <v>0</v>
      </c>
      <c r="CZ99" s="629">
        <f>_xlfn.XLOOKUP($E99,'Løp 29'!$E$10:$E$95,'Løp 29'!$O$10:$O$95,0)</f>
        <v>0</v>
      </c>
      <c r="DA99" s="629">
        <f>_xlfn.XLOOKUP($E99,'Løp 29'!$E$10:$E$95,'Løp 29'!$L$10:$L$95,0)</f>
        <v>0</v>
      </c>
    </row>
    <row r="100" spans="2:105" ht="26" thickBot="1" x14ac:dyDescent="0.3">
      <c r="B100" s="627">
        <f t="shared" si="2"/>
        <v>91</v>
      </c>
      <c r="C100" s="603" t="s">
        <v>230</v>
      </c>
      <c r="D100" s="623" t="s">
        <v>231</v>
      </c>
      <c r="E100" s="618" t="str">
        <f>_xlfn.CONCAT(C100:D100)</f>
        <v>TrineSunnset</v>
      </c>
      <c r="F100" s="610"/>
      <c r="G100" s="910">
        <f>COUNTIF(S100:DA100,"&gt;2")/2</f>
        <v>0</v>
      </c>
      <c r="H100" s="911">
        <f>COUNTIF(S100:DA100,"=Løype")+COUNTIF(S100:DA100,"Arr")</f>
        <v>0</v>
      </c>
      <c r="I100" s="610"/>
      <c r="J100" s="912">
        <f>S100+V100+Y100+AB100+AE100+AH100+AK100+AN100+AQ100+AT100+AW100+AZ100+BC100+BF100+BI100+BL100+BO100+BR100+BU100+BX100+CA100+CD100+CG100+CJ100+CM100+CP100+CS100+CV100+CY100</f>
        <v>0</v>
      </c>
      <c r="K100" s="913">
        <f>T100+W100+Z100+AC100+AF100+AI100+AL100+AO100+AR100+AU100+AX100+BA100+BD100+BG100+BJ100+BM100+BP100+BS100+BV100+BY100+CB100+CE100+CH100+CK100+CN100+CQ100+CT100+CW100+CZ100</f>
        <v>0</v>
      </c>
      <c r="L100" s="613"/>
      <c r="M100" s="660">
        <f>IF($G100&gt;0,J100/G100,0)</f>
        <v>0</v>
      </c>
      <c r="N100" s="661">
        <f>IF($G100&gt;0,K100/$G100,0)</f>
        <v>0</v>
      </c>
      <c r="O100" s="862"/>
      <c r="P100" s="874">
        <f>IF(AND($G100&gt;$Q$3-1,$G100-$H100&gt;0),M100,0)</f>
        <v>0</v>
      </c>
      <c r="Q100" s="875">
        <f>IF(AND($G100&gt;$Q$3-1,$G100-$H100&gt;0),N100,0)</f>
        <v>0</v>
      </c>
      <c r="R100" s="613"/>
      <c r="S100" s="630">
        <f>_xlfn.XLOOKUP($E100,'Løp 1'!$E$10:$E$90,'Løp 1'!$M$10:$M$90,0)</f>
        <v>0</v>
      </c>
      <c r="T100" s="631">
        <f>_xlfn.XLOOKUP($E100,'Løp 1'!$E$10:$E$90,'Løp 1'!$O$10:$O$90,0)</f>
        <v>0</v>
      </c>
      <c r="U100" s="631">
        <f>_xlfn.XLOOKUP($E100,'Løp 1'!$E$10:$E$90,'Løp 1'!$L$10:$L$90,0)</f>
        <v>0</v>
      </c>
      <c r="V100" s="630">
        <f>_xlfn.XLOOKUP($E100,'Løp 2'!$E$10:$E$90,'Løp 2'!$M$10:$M$90,0)</f>
        <v>0</v>
      </c>
      <c r="W100" s="631">
        <f>_xlfn.XLOOKUP($E100,'Løp 2'!$E$10:$E$90,'Løp 2'!$O$10:$O$90,0)</f>
        <v>0</v>
      </c>
      <c r="X100" s="631">
        <f>_xlfn.XLOOKUP($E100,'Løp 2'!$E$10:$E$90,'Løp 2'!$L$10:$L$90,0)</f>
        <v>0</v>
      </c>
      <c r="Y100" s="630">
        <f>_xlfn.XLOOKUP($E100,'Løp 3'!$E$10:$E$90,'Løp 3'!$M$10:$M$90,0)</f>
        <v>0</v>
      </c>
      <c r="Z100" s="631">
        <f>_xlfn.XLOOKUP($E100,'Løp 3'!$E$10:$E$90,'Løp 3'!$O$10:$O$90,0)</f>
        <v>0</v>
      </c>
      <c r="AA100" s="631">
        <f>_xlfn.XLOOKUP($E100,'Løp 3'!$E$10:$E$90,'Løp 3'!$L$10:$L$90,0)</f>
        <v>0</v>
      </c>
      <c r="AB100" s="630">
        <f>_xlfn.XLOOKUP($E100,'Løp 4'!$E$10:$E$90,'Løp 4'!$M$10:$M$90,0)</f>
        <v>0</v>
      </c>
      <c r="AC100" s="631">
        <f>_xlfn.XLOOKUP($E100,'Løp 4'!$E$10:$E$90,'Løp 4'!$O$10:$O$90,0)</f>
        <v>0</v>
      </c>
      <c r="AD100" s="631">
        <f>_xlfn.XLOOKUP($E100,'Løp 4'!$E$10:$E$90,'Løp 4'!$L$10:$L$90,0)</f>
        <v>0</v>
      </c>
      <c r="AE100" s="630">
        <f>_xlfn.XLOOKUP($E100,'Løp 5'!$E$10:$E$90,'Løp 5'!$M$10:$M$90,0)</f>
        <v>0</v>
      </c>
      <c r="AF100" s="631">
        <f>_xlfn.XLOOKUP($E100,'Løp 5'!$E$10:$E$90,'Løp 5'!$O$10:$O$90,0)</f>
        <v>0</v>
      </c>
      <c r="AG100" s="631">
        <f>_xlfn.XLOOKUP($E100,'Løp 5'!$E$10:$E$90,'Løp 5'!$L$10:$L$90,0)</f>
        <v>0</v>
      </c>
      <c r="AH100" s="630">
        <f>_xlfn.XLOOKUP($E100,'Løp 6'!$E$10:$E$90,'Løp 6'!$M$10:$M$90,0)</f>
        <v>0</v>
      </c>
      <c r="AI100" s="631">
        <f>_xlfn.XLOOKUP($E100,'Løp 6'!$E$10:$E$90,'Løp 6'!$O$10:$O$90,0)</f>
        <v>0</v>
      </c>
      <c r="AJ100" s="631">
        <f>_xlfn.XLOOKUP($E100,'Løp 6'!$E$10:$E$90,'Løp 6'!$L$10:$L$90,0)</f>
        <v>0</v>
      </c>
      <c r="AK100" s="630">
        <f>_xlfn.XLOOKUP($E100,'Løp 7'!$E$10:$E$90,'Løp 7'!$M$10:$M$90,0)</f>
        <v>0</v>
      </c>
      <c r="AL100" s="631">
        <f>_xlfn.XLOOKUP($E100,'Løp 7'!$E$10:$E$90,'Løp 7'!$O$10:$O$90,0)</f>
        <v>0</v>
      </c>
      <c r="AM100" s="631">
        <f>_xlfn.XLOOKUP($E100,'Løp 7'!$E$10:$E$90,'Løp 7'!$L$10:$L$90,0)</f>
        <v>0</v>
      </c>
      <c r="AN100" s="630">
        <f>_xlfn.XLOOKUP($E100,'Løp 8'!$E$10:$E$91,'Løp 8'!$M$10:$M$91,0)</f>
        <v>0</v>
      </c>
      <c r="AO100" s="631">
        <f>_xlfn.XLOOKUP($E100,'Løp 8'!$E$10:$E$91,'Løp 8'!$O$10:$O$91,0)</f>
        <v>0</v>
      </c>
      <c r="AP100" s="631">
        <f>_xlfn.XLOOKUP($E100,'Løp 8'!$E$10:$E$91,'Løp 8'!$L$10:$L$91,0)</f>
        <v>0</v>
      </c>
      <c r="AQ100" s="630">
        <f>_xlfn.XLOOKUP($E100,'Løp 9'!$E$10:$E$91,'Løp 9'!$M$10:$M$91,0)</f>
        <v>0</v>
      </c>
      <c r="AR100" s="631">
        <f>_xlfn.XLOOKUP($E100,'Løp 9'!$E$10:$E$91,'Løp 9'!$O$10:$O$91,0)</f>
        <v>0</v>
      </c>
      <c r="AS100" s="631">
        <f>_xlfn.XLOOKUP($E100,'Løp 9'!$E$10:$E$91,'Løp 9'!$L$10:$L$91,0)</f>
        <v>0</v>
      </c>
      <c r="AT100" s="630">
        <f>_xlfn.XLOOKUP($E100,'Løp 10'!$E$10:$E$91,'Løp 10'!$M$10:$M$91,0)</f>
        <v>0</v>
      </c>
      <c r="AU100" s="631">
        <f>_xlfn.XLOOKUP($E100,'Løp 10'!$E$10:$E$91,'Løp 10'!$O$10:$O$91,0)</f>
        <v>0</v>
      </c>
      <c r="AV100" s="631">
        <f>_xlfn.XLOOKUP($E100,'Løp 10'!$E$10:$E$91,'Løp 10'!$L$10:$L$91,0)</f>
        <v>0</v>
      </c>
      <c r="AW100" s="630">
        <f>_xlfn.XLOOKUP($E100,'Løp 11'!$E$10:$E$91,'Løp 11'!$M$10:$M$91,0)</f>
        <v>0</v>
      </c>
      <c r="AX100" s="631">
        <f>_xlfn.XLOOKUP($E100,'Løp 11'!$E$10:$E$91,'Løp 11'!$O$10:$O$91,0)</f>
        <v>0</v>
      </c>
      <c r="AY100" s="631">
        <f>_xlfn.XLOOKUP($E100,'Løp 11'!$E$10:$E$91,'Løp 11'!$L$10:$L$91,0)</f>
        <v>0</v>
      </c>
      <c r="AZ100" s="630">
        <f>_xlfn.XLOOKUP($E100,'Løp 12'!$E$10:$E$91,'Løp 12'!$M$10:$M$91,0)</f>
        <v>0</v>
      </c>
      <c r="BA100" s="631">
        <f>_xlfn.XLOOKUP($E100,'Løp 12'!$E$10:$E$91,'Løp 12'!$O$10:$O$91,0)</f>
        <v>0</v>
      </c>
      <c r="BB100" s="631">
        <f>_xlfn.XLOOKUP($E100,'Løp 12'!$E$10:$E$91,'Løp 12'!$L$10:$L$91,0)</f>
        <v>0</v>
      </c>
      <c r="BC100" s="630">
        <f>_xlfn.XLOOKUP($E100,'Løp 13'!$E$10:$E$91,'Løp 13'!$M$10:$M$91,0)</f>
        <v>0</v>
      </c>
      <c r="BD100" s="631">
        <f>_xlfn.XLOOKUP($E100,'Løp 13'!$E$10:$E$91,'Løp 13'!$O$10:$O$91,0)</f>
        <v>0</v>
      </c>
      <c r="BE100" s="631">
        <f>_xlfn.XLOOKUP($E100,'Løp 13'!$E$10:$E$91,'Løp 13'!$L$10:$L$91,0)</f>
        <v>0</v>
      </c>
      <c r="BF100" s="630">
        <f>_xlfn.XLOOKUP($E100,'Løp 14'!$E$10:$E$91,'Løp 14'!$M$10:$M$91,0)</f>
        <v>0</v>
      </c>
      <c r="BG100" s="631">
        <f>_xlfn.XLOOKUP($E100,'Løp 14'!$E$10:$E$91,'Løp 14'!$O$10:$O$91,0)</f>
        <v>0</v>
      </c>
      <c r="BH100" s="631">
        <f>_xlfn.XLOOKUP($E100,'Løp 14'!$E$10:$E$91,'Løp 14'!$L$10:$L$91,0)</f>
        <v>0</v>
      </c>
      <c r="BI100" s="630">
        <f>_xlfn.XLOOKUP($E100,'Løp 15'!$E$10:$E$91,'Løp 15'!$M$10:$M$91,0)</f>
        <v>0</v>
      </c>
      <c r="BJ100" s="631">
        <f>_xlfn.XLOOKUP($E100,'Løp 15'!$E$10:$E$91,'Løp 15'!$O$10:$O$91,0)</f>
        <v>0</v>
      </c>
      <c r="BK100" s="631">
        <f>_xlfn.XLOOKUP($E100,'Løp 15'!$E$10:$E$91,'Løp 15'!$L$10:$L$91,0)</f>
        <v>0</v>
      </c>
      <c r="BL100" s="630">
        <f>_xlfn.XLOOKUP($E100,'Løp 16'!$E$10:$E$91,'Løp 16'!$M$10:$M$91,0)</f>
        <v>0</v>
      </c>
      <c r="BM100" s="631">
        <f>_xlfn.XLOOKUP($E100,'Løp 16'!$E$10:$E$91,'Løp 16'!$O$10:$O$91,0)</f>
        <v>0</v>
      </c>
      <c r="BN100" s="631">
        <f>_xlfn.XLOOKUP($E100,'Løp 16'!$E$10:$E$91,'Løp 16'!$L$10:$L$91,0)</f>
        <v>0</v>
      </c>
      <c r="BO100" s="630">
        <f>_xlfn.XLOOKUP($E100,'Løp 17'!$E$10:$E$91,'Løp 17'!$M$10:$M$91,0)</f>
        <v>0</v>
      </c>
      <c r="BP100" s="631">
        <f>_xlfn.XLOOKUP($E100,'Løp 17'!$E$10:$E$91,'Løp 17'!$O$10:$O$91,0)</f>
        <v>0</v>
      </c>
      <c r="BQ100" s="631">
        <f>_xlfn.XLOOKUP($E100,'Løp 17'!$E$10:$E$91,'Løp 17'!$L$10:$L$91,0)</f>
        <v>0</v>
      </c>
      <c r="BR100" s="630">
        <f>_xlfn.XLOOKUP($E100,'Løp 18'!$E$10:$E$91,'Løp 18'!$M$10:$M$91,0)</f>
        <v>0</v>
      </c>
      <c r="BS100" s="631">
        <f>_xlfn.XLOOKUP($E100,'Løp 18'!$E$10:$E$91,'Løp 18'!$O$10:$O$91,0)</f>
        <v>0</v>
      </c>
      <c r="BT100" s="631">
        <f>_xlfn.XLOOKUP($E100,'Løp 18'!$E$10:$E$91,'Løp 18'!$L$10:$L$91,0)</f>
        <v>0</v>
      </c>
      <c r="BU100" s="630">
        <f>_xlfn.XLOOKUP($E100,'Løp 19'!$E$10:$E$91,'Løp 19'!$M$10:$M$91,0)</f>
        <v>0</v>
      </c>
      <c r="BV100" s="631">
        <f>_xlfn.XLOOKUP($E100,'Løp 19'!$E$10:$E$91,'Løp 19'!$O$10:$O$91,0)</f>
        <v>0</v>
      </c>
      <c r="BW100" s="631">
        <f>_xlfn.XLOOKUP($E100,'Løp 19'!$E$10:$E$91,'Løp 19'!$L$10:$L$91,0)</f>
        <v>0</v>
      </c>
      <c r="BX100" s="630">
        <f>_xlfn.XLOOKUP($E100,'Løp 20'!$E$10:$E$92,'Løp 20'!$M$10:$M$92,0)</f>
        <v>0</v>
      </c>
      <c r="BY100" s="631">
        <f>_xlfn.XLOOKUP($E100,'Løp 20'!$E$10:$E$92,'Løp 20'!$O$10:$O$92,0)</f>
        <v>0</v>
      </c>
      <c r="BZ100" s="631">
        <f>_xlfn.XLOOKUP($E100,'Løp 20'!$E$10:$E$92,'Løp 20'!$L$10:$L$92,0)</f>
        <v>0</v>
      </c>
      <c r="CA100" s="630">
        <f>_xlfn.XLOOKUP($E100,'Løp 21'!$E$10:$E$93,'Løp 21'!$M$10:$M$93,0)</f>
        <v>0</v>
      </c>
      <c r="CB100" s="631">
        <f>_xlfn.XLOOKUP($E100,'Løp 21'!$E$10:$E$93,'Løp 21'!$O$10:$O$93,0)</f>
        <v>0</v>
      </c>
      <c r="CC100" s="631">
        <f>_xlfn.XLOOKUP($E100,'Løp 21'!$E$10:$E$93,'Løp 21'!$L$10:$L$93,0)</f>
        <v>0</v>
      </c>
      <c r="CD100" s="630">
        <f>_xlfn.XLOOKUP($E100,'Løp 22'!$E$10:$E$93,'Løp 22'!$M$10:$M$93,0)</f>
        <v>0</v>
      </c>
      <c r="CE100" s="631">
        <f>_xlfn.XLOOKUP($E100,'Løp 22'!$E$10:$E$93,'Løp 22'!$O$10:$O$93,0)</f>
        <v>0</v>
      </c>
      <c r="CF100" s="631">
        <f>_xlfn.XLOOKUP($E100,'Løp 22'!$E$10:$E$93,'Løp 22'!$L$10:$L$93,0)</f>
        <v>0</v>
      </c>
      <c r="CG100" s="630">
        <f>_xlfn.XLOOKUP($E100,'Løp 23'!$E$10:$E$93,'Løp 23'!$M$10:$M$93,0)</f>
        <v>0</v>
      </c>
      <c r="CH100" s="631">
        <f>_xlfn.XLOOKUP($E100,'Løp 23'!$E$10:$E$93,'Løp 23'!$O$10:$O$93,0)</f>
        <v>0</v>
      </c>
      <c r="CI100" s="631">
        <f>_xlfn.XLOOKUP($E100,'Løp 23'!$E$10:$E$93,'Løp 23'!$L$10:$L$93,0)</f>
        <v>0</v>
      </c>
      <c r="CJ100" s="630">
        <f>_xlfn.XLOOKUP($E100,'Løp 24'!$E$10:$E$93,'Løp 24'!$M$10:$M$93,0)</f>
        <v>0</v>
      </c>
      <c r="CK100" s="631">
        <f>_xlfn.XLOOKUP($E100,'Løp 24'!$E$10:$E$93,'Løp 24'!$O$10:$O$93,0)</f>
        <v>0</v>
      </c>
      <c r="CL100" s="631">
        <f>_xlfn.XLOOKUP($E100,'Løp 24'!$E$10:$E$93,'Løp 24'!$L$10:$L$93,0)</f>
        <v>0</v>
      </c>
      <c r="CM100" s="630">
        <f>_xlfn.XLOOKUP($E100,'Løp 25'!$E$10:$E$94,'Løp 25'!$M$10:$M$94,0)</f>
        <v>0</v>
      </c>
      <c r="CN100" s="631">
        <f>_xlfn.XLOOKUP($E100,'Løp 25'!$E$10:$E$94,'Løp 25'!$O$10:$O$94,0)</f>
        <v>0</v>
      </c>
      <c r="CO100" s="631">
        <f>_xlfn.XLOOKUP($E100,'Løp 25'!$E$10:$E$94,'Løp 25'!$L$10:$L$94,0)</f>
        <v>0</v>
      </c>
      <c r="CP100" s="630">
        <f>_xlfn.XLOOKUP($E100,'Løp 26'!$E$10:$E$94,'Løp 26'!$M$10:$M$94,0)</f>
        <v>0</v>
      </c>
      <c r="CQ100" s="631">
        <f>_xlfn.XLOOKUP($E100,'Løp 26'!$E$10:$E$94,'Løp 26'!$O$10:$O$94,0)</f>
        <v>0</v>
      </c>
      <c r="CR100" s="631">
        <f>_xlfn.XLOOKUP($E100,'Løp 26'!$E$10:$E$94,'Løp 26'!$L$10:$L$94,0)</f>
        <v>0</v>
      </c>
      <c r="CS100" s="630">
        <f>_xlfn.XLOOKUP($E100,'Løp 27'!$E$10:$E$94,'Løp 27'!$M$10:$M$94,0)</f>
        <v>0</v>
      </c>
      <c r="CT100" s="631">
        <f>_xlfn.XLOOKUP($E100,'Løp 27'!$E$10:$E$94,'Løp 27'!$O$10:$O$94,0)</f>
        <v>0</v>
      </c>
      <c r="CU100" s="631">
        <f>_xlfn.XLOOKUP($E100,'Løp 27'!$E$10:$E$94,'Løp 27'!$L$10:$L$94,0)</f>
        <v>0</v>
      </c>
      <c r="CV100" s="630">
        <f>_xlfn.XLOOKUP($E100,'Løp 28'!$E$10:$E$95,'Løp 28'!$M$10:$M$95,0)</f>
        <v>0</v>
      </c>
      <c r="CW100" s="631">
        <f>_xlfn.XLOOKUP($E100,'Løp 28'!$E$10:$E$95,'Løp 28'!$O$10:$O$95,0)</f>
        <v>0</v>
      </c>
      <c r="CX100" s="631">
        <f>_xlfn.XLOOKUP($E100,'Løp 28'!$E$10:$E$95,'Løp 28'!$L$10:$L$95,0)</f>
        <v>0</v>
      </c>
      <c r="CY100" s="630">
        <f>_xlfn.XLOOKUP($E100,'Løp 29'!$E$10:$E$95,'Løp 29'!$M$10:$M$95,0)</f>
        <v>0</v>
      </c>
      <c r="CZ100" s="631">
        <f>_xlfn.XLOOKUP($E100,'Løp 29'!$E$10:$E$95,'Løp 29'!$O$10:$O$95,0)</f>
        <v>0</v>
      </c>
      <c r="DA100" s="631">
        <f>_xlfn.XLOOKUP($E100,'Løp 29'!$E$10:$E$95,'Løp 29'!$L$10:$L$95,0)</f>
        <v>0</v>
      </c>
    </row>
    <row r="101" spans="2:105" ht="17" thickTop="1" x14ac:dyDescent="0.2">
      <c r="P101" s="876"/>
      <c r="Q101" s="876"/>
    </row>
    <row r="107" spans="2:105" s="681" customFormat="1" x14ac:dyDescent="0.2">
      <c r="B107" s="651"/>
      <c r="G107" s="651"/>
      <c r="H107" s="651"/>
      <c r="J107" s="651"/>
      <c r="K107" s="651"/>
      <c r="M107" s="651"/>
      <c r="N107" s="651"/>
      <c r="O107" s="651"/>
      <c r="P107" s="651"/>
      <c r="Q107" s="651"/>
      <c r="S107" s="651" t="str">
        <f>S5</f>
        <v>Løp 1</v>
      </c>
      <c r="T107" s="651"/>
      <c r="U107" s="651"/>
      <c r="V107" s="651" t="str">
        <f>V5</f>
        <v>Løp 2</v>
      </c>
      <c r="W107" s="651"/>
      <c r="X107" s="651"/>
      <c r="Y107" s="651" t="str">
        <f>Y5</f>
        <v>Løp 3</v>
      </c>
      <c r="Z107" s="651"/>
      <c r="AA107" s="651"/>
      <c r="AB107" s="651" t="str">
        <f>AB5</f>
        <v>Løp 4</v>
      </c>
      <c r="AD107" s="651"/>
      <c r="AE107" s="651" t="str">
        <f>AE5</f>
        <v>Løp 5</v>
      </c>
      <c r="AF107" s="651"/>
      <c r="AG107" s="651"/>
      <c r="AH107" s="651" t="str">
        <f>AH5</f>
        <v>Løp 6</v>
      </c>
      <c r="AI107" s="651"/>
      <c r="AJ107" s="651"/>
      <c r="AK107" s="651" t="str">
        <f>AK5</f>
        <v>Løp 7</v>
      </c>
      <c r="AL107" s="651"/>
      <c r="AM107" s="651"/>
      <c r="AN107" s="651" t="str">
        <f>AN5</f>
        <v>Løp 8</v>
      </c>
      <c r="AO107" s="651"/>
      <c r="AP107" s="651"/>
      <c r="AQ107" s="651" t="str">
        <f>AQ5</f>
        <v>Løp 9</v>
      </c>
      <c r="AR107" s="651"/>
      <c r="AT107" s="651" t="str">
        <f>AT5</f>
        <v>Løp 10</v>
      </c>
      <c r="AU107" s="651"/>
      <c r="AV107" s="651"/>
      <c r="AW107" s="651" t="str">
        <f>AW5</f>
        <v>Løp 11</v>
      </c>
      <c r="AX107" s="651"/>
      <c r="AY107" s="651"/>
      <c r="AZ107" s="651" t="str">
        <f>AZ5</f>
        <v>Løp 12</v>
      </c>
      <c r="BC107" s="651" t="str">
        <f>BC5</f>
        <v>Løp 13</v>
      </c>
      <c r="BF107" s="651" t="str">
        <f>BF5</f>
        <v>Løp 14</v>
      </c>
      <c r="BI107" s="651" t="str">
        <f>BI5</f>
        <v>Løp 15</v>
      </c>
      <c r="BL107" s="651" t="str">
        <f>BL5</f>
        <v>Løp 16</v>
      </c>
      <c r="BO107" s="651" t="str">
        <f>BO5</f>
        <v>Løp 17</v>
      </c>
      <c r="BR107" s="651" t="str">
        <f>BR5</f>
        <v>Løp 18</v>
      </c>
      <c r="BU107" s="651" t="str">
        <f>BU5</f>
        <v>Løp 19</v>
      </c>
      <c r="BX107" s="651" t="str">
        <f>BX5</f>
        <v>Løp 20</v>
      </c>
      <c r="CA107" s="651" t="str">
        <f>CA5</f>
        <v>Løp 21</v>
      </c>
      <c r="CD107" s="651" t="str">
        <f>CD5</f>
        <v>Løp 22</v>
      </c>
      <c r="CG107" s="651" t="str">
        <f>CG5</f>
        <v>Løp 23</v>
      </c>
      <c r="CJ107" s="651" t="str">
        <f>CJ5</f>
        <v>Løp 24</v>
      </c>
      <c r="CM107" s="651" t="str">
        <f>CM5</f>
        <v>Løp 25</v>
      </c>
      <c r="CP107" s="651" t="str">
        <f>CP5</f>
        <v>Løp 26</v>
      </c>
      <c r="CS107" s="651" t="str">
        <f>CS5</f>
        <v>Løp 27</v>
      </c>
      <c r="CV107" s="651" t="str">
        <f>CV5</f>
        <v>Løp 28</v>
      </c>
      <c r="CY107" s="651" t="str">
        <f>CY5</f>
        <v>Løp 29</v>
      </c>
    </row>
    <row r="108" spans="2:105" s="681" customFormat="1" x14ac:dyDescent="0.2">
      <c r="B108" s="651"/>
      <c r="G108" s="651"/>
      <c r="H108" s="651"/>
      <c r="J108" s="651"/>
      <c r="K108" s="651"/>
      <c r="M108" s="651"/>
      <c r="N108" s="651"/>
      <c r="O108" s="651"/>
      <c r="P108" s="651"/>
      <c r="Q108" s="651"/>
      <c r="S108" s="651" t="str">
        <f>S7</f>
        <v>Brekkåsen</v>
      </c>
      <c r="T108" s="651"/>
      <c r="U108" s="651"/>
      <c r="V108" s="651" t="str">
        <f>V7</f>
        <v>Fuglmyra</v>
      </c>
      <c r="W108" s="651"/>
      <c r="X108" s="651"/>
      <c r="Y108" s="651" t="str">
        <f>Y7</f>
        <v>Solemsåsen</v>
      </c>
      <c r="Z108" s="651"/>
      <c r="AA108" s="651"/>
      <c r="AB108" s="651" t="str">
        <f>AB7</f>
        <v>Litlåsen</v>
      </c>
      <c r="AD108" s="651"/>
      <c r="AE108" s="651" t="str">
        <f>AE7</f>
        <v>Hauken</v>
      </c>
      <c r="AF108" s="651"/>
      <c r="AG108" s="651"/>
      <c r="AH108" s="651" t="str">
        <f>AH7</f>
        <v>Baklidammen</v>
      </c>
      <c r="AI108" s="651"/>
      <c r="AJ108" s="651"/>
      <c r="AK108" s="651" t="str">
        <f>AK7</f>
        <v>Saupstad</v>
      </c>
      <c r="AL108" s="651"/>
      <c r="AM108" s="651"/>
      <c r="AN108" s="651" t="str">
        <f>AN7</f>
        <v>Chamonix</v>
      </c>
      <c r="AO108" s="651"/>
      <c r="AP108" s="651"/>
      <c r="AQ108" s="651" t="str">
        <f>AQ7</f>
        <v>Nilsbyen</v>
      </c>
      <c r="AR108" s="651"/>
      <c r="AT108" s="651" t="str">
        <f>AT7</f>
        <v>Stavset Altura</v>
      </c>
      <c r="AU108" s="651"/>
      <c r="AV108" s="651"/>
      <c r="AW108" s="651" t="str">
        <f>AW7</f>
        <v>Sverresborg</v>
      </c>
      <c r="AX108" s="651"/>
      <c r="AY108" s="651"/>
      <c r="AZ108" s="651" t="str">
        <f>AZ7</f>
        <v>Rotvoll</v>
      </c>
      <c r="BC108" s="651" t="str">
        <f>BC7</f>
        <v>Bergheim</v>
      </c>
      <c r="BF108" s="651" t="str">
        <f>BF7</f>
        <v>Eberg</v>
      </c>
      <c r="BI108" s="651" t="str">
        <f>BI7</f>
        <v>Risvollan</v>
      </c>
      <c r="BL108" s="651" t="str">
        <f>BL7</f>
        <v>Havstein</v>
      </c>
      <c r="BO108" s="651" t="str">
        <f>BO7</f>
        <v>Ferista</v>
      </c>
      <c r="BR108" s="651" t="str">
        <f>BR7</f>
        <v>Havstad</v>
      </c>
      <c r="BU108" s="651" t="str">
        <f>BU7</f>
        <v>Rostenskogen</v>
      </c>
      <c r="BX108" s="651" t="str">
        <f>BX7</f>
        <v>Nilsbyen - Stavset</v>
      </c>
      <c r="CA108" s="651" t="str">
        <f>CA7</f>
        <v>Kattem</v>
      </c>
      <c r="CD108" s="651" t="str">
        <f>CD7</f>
        <v>Djupvika</v>
      </c>
      <c r="CG108" s="651" t="str">
        <f>CG7</f>
        <v>Brundalen</v>
      </c>
      <c r="CJ108" s="651" t="str">
        <f>CJ7</f>
        <v>Ranheim</v>
      </c>
      <c r="CM108" s="651" t="str">
        <f>CM7</f>
        <v>Flatåshaugen</v>
      </c>
      <c r="CP108" s="651" t="str">
        <f>CP7</f>
        <v>Sommerseter</v>
      </c>
      <c r="CS108" s="651" t="str">
        <f>CS7</f>
        <v>Nilsbyen</v>
      </c>
      <c r="CV108" s="651" t="str">
        <f>CV7</f>
        <v>Lauglo</v>
      </c>
      <c r="CY108" s="651" t="str">
        <f>CY7</f>
        <v>Nilsbyen</v>
      </c>
    </row>
    <row r="109" spans="2:105" ht="24" x14ac:dyDescent="0.3">
      <c r="D109" s="675" t="s">
        <v>172</v>
      </c>
      <c r="S109" s="677">
        <f>'Løp 1'!$K102</f>
        <v>26</v>
      </c>
      <c r="V109" s="677">
        <f>'Løp 2'!$K102</f>
        <v>37</v>
      </c>
      <c r="Y109" s="677">
        <f>'Løp 3'!$K102</f>
        <v>34</v>
      </c>
      <c r="AB109" s="677">
        <f>'Løp 4'!$K102</f>
        <v>41</v>
      </c>
      <c r="AD109" s="677"/>
      <c r="AE109" s="677">
        <f>'Løp 5'!$K102</f>
        <v>45</v>
      </c>
      <c r="AF109" s="677"/>
      <c r="AH109" s="677">
        <f>'Løp 6'!$K102</f>
        <v>37</v>
      </c>
      <c r="AJ109" s="677"/>
      <c r="AK109" s="677">
        <f>'Løp 7'!$K102</f>
        <v>27</v>
      </c>
      <c r="AL109" s="677"/>
      <c r="AN109" s="677">
        <f>'Løp 8'!$K102</f>
        <v>31</v>
      </c>
      <c r="AP109" s="677"/>
      <c r="AQ109" s="677">
        <f>'Løp 9'!$K102</f>
        <v>27</v>
      </c>
      <c r="AR109" s="677"/>
      <c r="AT109" s="677">
        <f>'Løp 10'!$K102</f>
        <v>31</v>
      </c>
      <c r="AW109" s="677">
        <f>'Løp 11'!$K102</f>
        <v>40</v>
      </c>
      <c r="AZ109" s="677">
        <f>'Løp 12'!$K102</f>
        <v>33</v>
      </c>
      <c r="BC109" s="677">
        <f>'Løp 13'!$K102</f>
        <v>29</v>
      </c>
      <c r="BF109" s="677">
        <f>'Løp 14'!$K102</f>
        <v>27</v>
      </c>
      <c r="BI109" s="677">
        <f>'Løp 15'!$K102</f>
        <v>37</v>
      </c>
      <c r="BL109" s="677">
        <f>'Løp 16'!$K102</f>
        <v>37</v>
      </c>
      <c r="BO109" s="677">
        <f>'Løp 17'!$K102</f>
        <v>33</v>
      </c>
      <c r="BR109" s="677">
        <f>'Løp 18'!$K102</f>
        <v>33</v>
      </c>
      <c r="BU109" s="677">
        <f>'Løp 19'!$K102</f>
        <v>36</v>
      </c>
      <c r="BX109" s="677">
        <f>'Løp 20'!$K102</f>
        <v>42</v>
      </c>
      <c r="CA109" s="677">
        <f>'Løp 21'!$K102</f>
        <v>36</v>
      </c>
      <c r="CD109" s="677">
        <f>'Løp 22'!$K102</f>
        <v>39</v>
      </c>
      <c r="CG109" s="677">
        <f>'Løp 23'!$K102</f>
        <v>39</v>
      </c>
      <c r="CJ109" s="677">
        <f>'Løp 24'!$K102</f>
        <v>45</v>
      </c>
      <c r="CM109" s="677">
        <f>'Løp 25'!$K102</f>
        <v>46</v>
      </c>
      <c r="CP109" s="677">
        <f>'Løp 26'!$K102</f>
        <v>30</v>
      </c>
      <c r="CS109" s="677">
        <f>'Løp 27'!$K102</f>
        <v>40</v>
      </c>
      <c r="CV109" s="677">
        <f>'Løp 28'!$K102</f>
        <v>46</v>
      </c>
      <c r="CY109" s="677">
        <f>'Løp 29'!$K103</f>
        <v>52</v>
      </c>
    </row>
    <row r="110" spans="2:105" ht="24" x14ac:dyDescent="0.3">
      <c r="D110" s="675" t="s">
        <v>174</v>
      </c>
      <c r="S110" s="677">
        <f>'Løp 1'!$K103</f>
        <v>22</v>
      </c>
      <c r="V110" s="677">
        <f>'Løp 2'!$K103</f>
        <v>32</v>
      </c>
      <c r="Y110" s="677">
        <f>'Løp 3'!$K103</f>
        <v>31</v>
      </c>
      <c r="AB110" s="677">
        <f>'Løp 4'!$K103</f>
        <v>38</v>
      </c>
      <c r="AD110" s="677"/>
      <c r="AE110" s="677">
        <f>'Løp 5'!$K103</f>
        <v>42</v>
      </c>
      <c r="AF110" s="677"/>
      <c r="AH110" s="677">
        <f>'Løp 6'!$K103</f>
        <v>37</v>
      </c>
      <c r="AJ110" s="677"/>
      <c r="AK110" s="677">
        <f>'Løp 7'!$K103</f>
        <v>25</v>
      </c>
      <c r="AL110" s="677"/>
      <c r="AN110" s="677">
        <f>'Løp 8'!$K103</f>
        <v>30</v>
      </c>
      <c r="AP110" s="677"/>
      <c r="AQ110" s="677">
        <f>'Løp 9'!$K103</f>
        <v>27</v>
      </c>
      <c r="AR110" s="677"/>
      <c r="AT110" s="677">
        <f>'Løp 10'!$K103</f>
        <v>29</v>
      </c>
      <c r="AW110" s="677">
        <f>'Løp 11'!$K103</f>
        <v>38</v>
      </c>
      <c r="AZ110" s="677">
        <f>'Løp 12'!$K103</f>
        <v>33</v>
      </c>
      <c r="BC110" s="677">
        <f>'Løp 13'!$K103</f>
        <v>27</v>
      </c>
      <c r="BF110" s="677">
        <f>'Løp 14'!$K103</f>
        <v>27</v>
      </c>
      <c r="BI110" s="677">
        <f>'Løp 15'!$K103</f>
        <v>33</v>
      </c>
      <c r="BL110" s="677">
        <f>'Løp 16'!$K103</f>
        <v>27</v>
      </c>
      <c r="BO110" s="677">
        <f>'Løp 17'!$K103</f>
        <v>29</v>
      </c>
      <c r="BR110" s="677">
        <f>'Løp 18'!$K103</f>
        <v>32</v>
      </c>
      <c r="BU110" s="677">
        <f>'Løp 19'!$K103</f>
        <v>32</v>
      </c>
      <c r="BX110" s="677">
        <f>'Løp 20'!$K103</f>
        <v>37</v>
      </c>
      <c r="CA110" s="677">
        <f>'Løp 21'!$K103</f>
        <v>35</v>
      </c>
      <c r="CD110" s="677">
        <f>'Løp 22'!$K103</f>
        <v>39</v>
      </c>
      <c r="CG110" s="677">
        <f>'Løp 23'!$K103</f>
        <v>36</v>
      </c>
      <c r="CJ110" s="677">
        <f>'Løp 24'!$K103</f>
        <v>44</v>
      </c>
      <c r="CM110" s="677">
        <f>'Løp 25'!$K103</f>
        <v>41</v>
      </c>
      <c r="CP110" s="677">
        <f>'Løp 26'!$K103</f>
        <v>30</v>
      </c>
      <c r="CS110" s="677">
        <f>'Løp 27'!$K103</f>
        <v>38</v>
      </c>
      <c r="CV110" s="677">
        <f>'Løp 28'!$K103</f>
        <v>46</v>
      </c>
      <c r="CY110" s="677">
        <f>'Løp 29'!$K104</f>
        <v>45</v>
      </c>
    </row>
    <row r="111" spans="2:105" ht="24" x14ac:dyDescent="0.3">
      <c r="D111" s="675" t="s">
        <v>173</v>
      </c>
      <c r="S111" s="677">
        <f>'Løp 1'!$K104</f>
        <v>28</v>
      </c>
      <c r="V111" s="677">
        <f>'Løp 2'!$K104</f>
        <v>40</v>
      </c>
      <c r="Y111" s="677">
        <f>'Løp 3'!$K104</f>
        <v>35</v>
      </c>
      <c r="AB111" s="677">
        <f>'Løp 4'!$K104</f>
        <v>44</v>
      </c>
      <c r="AD111" s="677"/>
      <c r="AE111" s="677">
        <f>'Løp 5'!$K104</f>
        <v>48</v>
      </c>
      <c r="AF111" s="677"/>
      <c r="AH111" s="677">
        <f>'Løp 6'!$K104</f>
        <v>41</v>
      </c>
      <c r="AJ111" s="677"/>
      <c r="AK111" s="677">
        <f>'Løp 7'!$K104</f>
        <v>30</v>
      </c>
      <c r="AL111" s="677"/>
      <c r="AN111" s="677">
        <f>'Løp 8'!$K104</f>
        <v>35</v>
      </c>
      <c r="AP111" s="677"/>
      <c r="AQ111" s="677">
        <f>'Løp 9'!$K104</f>
        <v>30</v>
      </c>
      <c r="AR111" s="677"/>
      <c r="AT111" s="677">
        <f>'Løp 10'!$K104</f>
        <v>34</v>
      </c>
      <c r="AW111" s="677">
        <f>'Løp 11'!$K104</f>
        <v>42</v>
      </c>
      <c r="AZ111" s="677">
        <f>'Løp 12'!$K104</f>
        <v>35</v>
      </c>
      <c r="BC111" s="677">
        <f>'Løp 13'!$K104</f>
        <v>31</v>
      </c>
      <c r="BF111" s="677">
        <f>'Løp 14'!$K104</f>
        <v>28</v>
      </c>
      <c r="BI111" s="677">
        <f>'Løp 15'!$K104</f>
        <v>39</v>
      </c>
      <c r="BL111" s="677">
        <f>'Løp 16'!$K104</f>
        <v>39</v>
      </c>
      <c r="BO111" s="677">
        <f>'Løp 17'!$K104</f>
        <v>35</v>
      </c>
      <c r="BR111" s="677">
        <f>'Løp 18'!$K104</f>
        <v>35</v>
      </c>
      <c r="BU111" s="677">
        <f>'Løp 19'!$K104</f>
        <v>39</v>
      </c>
      <c r="BX111" s="677">
        <f>'Løp 20'!$K104</f>
        <v>45</v>
      </c>
      <c r="CA111" s="677">
        <f>'Løp 21'!$K104</f>
        <v>38</v>
      </c>
      <c r="CD111" s="677">
        <f>'Løp 22'!$K104</f>
        <v>41</v>
      </c>
      <c r="CG111" s="677">
        <f>'Løp 23'!$K104</f>
        <v>42</v>
      </c>
      <c r="CJ111" s="677">
        <f>'Løp 24'!$K104</f>
        <v>49</v>
      </c>
      <c r="CM111" s="677">
        <f>'Løp 25'!$K104</f>
        <v>48</v>
      </c>
      <c r="CP111" s="677">
        <f>'Løp 26'!$K104</f>
        <v>34</v>
      </c>
      <c r="CS111" s="677">
        <f>'Løp 27'!$K104</f>
        <v>41</v>
      </c>
      <c r="CV111" s="677">
        <f>'Løp 28'!$K104</f>
        <v>49</v>
      </c>
      <c r="CY111" s="677">
        <f>'Løp 29'!$K105</f>
        <v>54</v>
      </c>
    </row>
    <row r="112" spans="2:105" ht="24" x14ac:dyDescent="0.2">
      <c r="D112" s="786" t="s">
        <v>341</v>
      </c>
      <c r="S112" s="678">
        <f>'Løp 1'!$K105</f>
        <v>75.607142857142861</v>
      </c>
      <c r="V112" s="678">
        <f>'Løp 2'!$K105</f>
        <v>75.825000000000003</v>
      </c>
      <c r="Y112" s="678">
        <f>'Løp 3'!$K105</f>
        <v>75.2</v>
      </c>
      <c r="Z112" s="89"/>
      <c r="AA112" s="89"/>
      <c r="AB112" s="678">
        <f>'Løp 4'!$K105</f>
        <v>75.227272727272734</v>
      </c>
      <c r="AC112" s="89"/>
      <c r="AD112" s="678"/>
      <c r="AE112" s="678">
        <f>'Løp 5'!$K105</f>
        <v>74.75</v>
      </c>
      <c r="AF112" s="678"/>
      <c r="AG112" s="89"/>
      <c r="AH112" s="678">
        <f>'Løp 6'!$K105</f>
        <v>75.58536585365853</v>
      </c>
      <c r="AI112" s="89"/>
      <c r="AJ112" s="678"/>
      <c r="AK112" s="678">
        <f>'Løp 7'!$K105</f>
        <v>75.033333333333331</v>
      </c>
      <c r="AL112" s="678"/>
      <c r="AM112" s="89"/>
      <c r="AN112" s="678">
        <f>'Løp 8'!$K105</f>
        <v>74.428571428571431</v>
      </c>
      <c r="AP112" s="677"/>
      <c r="AQ112" s="678">
        <f>'Løp 9'!$K105</f>
        <v>76.266666666666666</v>
      </c>
      <c r="AR112" s="677"/>
      <c r="AT112" s="678">
        <f>'Løp 10'!$K105</f>
        <v>75.529411764705884</v>
      </c>
      <c r="AW112" s="678">
        <f>'Løp 11'!$K105</f>
        <v>74.714285714285708</v>
      </c>
      <c r="AZ112" s="678">
        <f>'Løp 12'!$K105</f>
        <v>72.8</v>
      </c>
      <c r="BC112" s="678">
        <f>'Løp 13'!$K105</f>
        <v>72.266666666666666</v>
      </c>
      <c r="BF112" s="678">
        <f>'Løp 14'!$K105</f>
        <v>74.964285714285708</v>
      </c>
      <c r="BI112" s="678">
        <f>'Løp 15'!$K105</f>
        <v>75.102564102564102</v>
      </c>
      <c r="BL112" s="678">
        <f>'Løp 16'!$K105</f>
        <v>75.589743589743591</v>
      </c>
      <c r="BO112" s="678">
        <f>'Løp 17'!$K105</f>
        <v>75.400000000000006</v>
      </c>
      <c r="BR112" s="678">
        <f>'Løp 18'!$K105</f>
        <v>76.8</v>
      </c>
      <c r="BU112" s="678">
        <f>'Løp 19'!$K105</f>
        <v>76.128205128205124</v>
      </c>
      <c r="BX112" s="678">
        <f>'Løp 20'!$K105</f>
        <v>74.62222222222222</v>
      </c>
      <c r="CA112" s="678">
        <f>'Løp 21'!$K105</f>
        <v>76.131578947368425</v>
      </c>
      <c r="CD112" s="678">
        <f>'Løp 22'!$K105</f>
        <v>75.073170731707322</v>
      </c>
      <c r="CG112" s="678">
        <f>'Løp 23'!$K105</f>
        <v>74.833333333333329</v>
      </c>
      <c r="CJ112" s="678">
        <f>'Løp 24'!$K105</f>
        <v>76.061224489795919</v>
      </c>
      <c r="CM112" s="678">
        <f>'Løp 25'!$K105</f>
        <v>76.270833333333329</v>
      </c>
      <c r="CP112" s="678">
        <f>'Løp 26'!$K105</f>
        <v>76.441176470588232</v>
      </c>
      <c r="CS112" s="678">
        <f>'Løp 27'!$K105</f>
        <v>75.146341463414629</v>
      </c>
      <c r="CV112" s="678">
        <f>'Løp 28'!$K105</f>
        <v>76.510204081632651</v>
      </c>
      <c r="CY112" s="678">
        <f>'Løp 29'!$K106</f>
        <v>76.240740740740748</v>
      </c>
    </row>
    <row r="113" spans="3:103" ht="24" x14ac:dyDescent="0.2">
      <c r="D113" s="786" t="s">
        <v>369</v>
      </c>
      <c r="S113" s="678">
        <f>S111*S112</f>
        <v>2117</v>
      </c>
      <c r="V113" s="678">
        <f>V111*V112</f>
        <v>3033</v>
      </c>
      <c r="Y113" s="678">
        <f>Y111*Y112</f>
        <v>2632</v>
      </c>
      <c r="Z113" s="89"/>
      <c r="AA113" s="89"/>
      <c r="AB113" s="678">
        <f>AB111*AB112</f>
        <v>3310.0000000000005</v>
      </c>
      <c r="AC113" s="89"/>
      <c r="AD113" s="678"/>
      <c r="AE113" s="678">
        <f>AE111*AE112</f>
        <v>3588</v>
      </c>
      <c r="AF113" s="678"/>
      <c r="AG113" s="89"/>
      <c r="AH113" s="678">
        <f>AH111*AH112</f>
        <v>3098.9999999999995</v>
      </c>
      <c r="AI113" s="89"/>
      <c r="AJ113" s="678"/>
      <c r="AK113" s="678">
        <f>IF(AK112=" ", " ",AK111*AK112)</f>
        <v>2251</v>
      </c>
      <c r="AL113" s="678"/>
      <c r="AM113" s="89"/>
      <c r="AN113" s="678">
        <f>IF(AN112=" ", " ",AN111*AN112)</f>
        <v>2605</v>
      </c>
      <c r="AP113" s="677"/>
      <c r="AQ113" s="678">
        <f>IF(AQ112=" ", " ",AQ111*AQ112)</f>
        <v>2288</v>
      </c>
      <c r="AR113" s="677"/>
      <c r="AT113" s="678">
        <f>IF(AT112=" ", " ",AT111*AT112)</f>
        <v>2568</v>
      </c>
      <c r="AW113" s="678">
        <f>IF(AW112=" ", " ",AW111*AW112)</f>
        <v>3137.9999999999995</v>
      </c>
      <c r="AZ113" s="678">
        <f>IF(AZ112=" ", " ",AZ111*AZ112)</f>
        <v>2548</v>
      </c>
      <c r="BC113" s="678">
        <f>IF(BC112=" ", " ",BC111*BC112)</f>
        <v>2240.2666666666664</v>
      </c>
      <c r="BF113" s="678">
        <f>IF(BF112=" ", " ",BF111*BF112)</f>
        <v>2099</v>
      </c>
      <c r="BI113" s="678">
        <f>IF(BI112=" ", " ",BI111*BI112)</f>
        <v>2929</v>
      </c>
      <c r="BL113" s="678">
        <f>IF(BL112=" ", " ",BL111*BL112)</f>
        <v>2948</v>
      </c>
      <c r="BO113" s="678">
        <f>IF(BO112=" ", " ",BO111*BO112)</f>
        <v>2639</v>
      </c>
      <c r="BR113" s="678">
        <f>IF(BR112=" ", " ",BR111*BR112)</f>
        <v>2688</v>
      </c>
      <c r="BU113" s="678">
        <f>IF(BU112=" ", " ",BU111*BU112)</f>
        <v>2969</v>
      </c>
      <c r="BX113" s="678">
        <f>IF(BX112=" ", " ",BX111*BX112)</f>
        <v>3358</v>
      </c>
      <c r="CA113" s="678">
        <f>IF(CA112=" ", " ",CA111*CA112)</f>
        <v>2893</v>
      </c>
      <c r="CD113" s="678">
        <f>IF(CD112=" ", " ",CD111*CD112)</f>
        <v>3078</v>
      </c>
      <c r="CG113" s="678">
        <f>IF(CG112=" ", " ",CG111*CG112)</f>
        <v>3143</v>
      </c>
      <c r="CJ113" s="678">
        <f>IF(CJ112=" ", " ",CJ111*CJ112)</f>
        <v>3727</v>
      </c>
      <c r="CM113" s="678">
        <f>IF(CM112=" ", " ",CM111*CM112)</f>
        <v>3661</v>
      </c>
      <c r="CP113" s="678">
        <f>IF(CP112=" ", " ",CP111*CP112)</f>
        <v>2599</v>
      </c>
      <c r="CS113" s="678">
        <f>IF(CS112=" ", " ",CS111*CS112)</f>
        <v>3081</v>
      </c>
      <c r="CV113" s="678">
        <f>IF(CV112=" ", " ",CV111*CV112)</f>
        <v>3749</v>
      </c>
      <c r="CY113" s="678">
        <f>IF(CY112=" ", " ",CY111*CY112)</f>
        <v>4117</v>
      </c>
    </row>
    <row r="114" spans="3:103" ht="24" x14ac:dyDescent="0.3">
      <c r="D114" s="675" t="s">
        <v>296</v>
      </c>
      <c r="S114" s="678">
        <f>'Løp 1'!$K106</f>
        <v>2.4</v>
      </c>
      <c r="V114" s="678">
        <f>'Løp 2'!$K106</f>
        <v>2.15</v>
      </c>
      <c r="Y114" s="678">
        <f>'Løp 3'!$K106</f>
        <v>2.8</v>
      </c>
      <c r="AB114" s="678">
        <f>'Løp 4'!$K106</f>
        <v>2.65</v>
      </c>
      <c r="AD114" s="677"/>
      <c r="AE114" s="678">
        <f>'Løp 5'!$K106</f>
        <v>2.1500000000000004</v>
      </c>
      <c r="AF114" s="677"/>
      <c r="AH114" s="678">
        <f>'Løp 6'!$K106</f>
        <v>2.35</v>
      </c>
      <c r="AJ114" s="677"/>
      <c r="AK114" s="678">
        <f>'Løp 7'!$K106</f>
        <v>2.6500000000000004</v>
      </c>
      <c r="AL114" s="677"/>
      <c r="AN114" s="678">
        <f>'Løp 8'!$K106</f>
        <v>1.85</v>
      </c>
      <c r="AP114" s="678"/>
      <c r="AQ114" s="678">
        <f>'Løp 9'!$K106</f>
        <v>2.6500000000000004</v>
      </c>
      <c r="AR114" s="678"/>
      <c r="AT114" s="678">
        <f>'Løp 10'!$K106</f>
        <v>2.1500000000000004</v>
      </c>
      <c r="AW114" s="678">
        <f>'Løp 11'!$K106</f>
        <v>2.7</v>
      </c>
      <c r="AZ114" s="678">
        <f>'Løp 12'!$K106</f>
        <v>2.2999999999999998</v>
      </c>
      <c r="BC114" s="678">
        <f>'Løp 13'!$K106</f>
        <v>2.4500000000000002</v>
      </c>
      <c r="BF114" s="678">
        <f>'Løp 14'!$K106</f>
        <v>2.6</v>
      </c>
      <c r="BI114" s="678">
        <f>'Løp 15'!$K106</f>
        <v>2.7</v>
      </c>
      <c r="BL114" s="678">
        <f>'Løp 16'!$K106</f>
        <v>3</v>
      </c>
      <c r="BO114" s="678">
        <f>'Løp 17'!$K106</f>
        <v>2.4</v>
      </c>
      <c r="BR114" s="678">
        <f>'Løp 18'!$K106</f>
        <v>2.6</v>
      </c>
      <c r="BU114" s="678">
        <f>'Løp 19'!$K106</f>
        <v>2.25</v>
      </c>
      <c r="BX114" s="678">
        <f>'Løp 20'!$K106</f>
        <v>2.8</v>
      </c>
      <c r="CA114" s="678">
        <f>'Løp 21'!$K106</f>
        <v>2.7</v>
      </c>
      <c r="CD114" s="678">
        <f>'Løp 22'!$K106</f>
        <v>2.35</v>
      </c>
      <c r="CG114" s="678">
        <f>'Løp 23'!$K106</f>
        <v>2.35</v>
      </c>
      <c r="CJ114" s="678">
        <f>'Løp 24'!$K106</f>
        <v>2.6500000000000004</v>
      </c>
      <c r="CM114" s="678">
        <f>'Løp 25'!$K106</f>
        <v>2.5</v>
      </c>
      <c r="CP114" s="678">
        <f>'Løp 26'!$K106</f>
        <v>3</v>
      </c>
      <c r="CS114" s="678">
        <f>'Løp 27'!$K106</f>
        <v>2.25</v>
      </c>
      <c r="CV114" s="678">
        <f>'Løp 28'!$K106</f>
        <v>2.15</v>
      </c>
      <c r="CY114" s="678">
        <f>'Løp 29'!$K107</f>
        <v>2.2000000000000002</v>
      </c>
    </row>
    <row r="115" spans="3:103" ht="24" x14ac:dyDescent="0.3">
      <c r="D115" s="675" t="s">
        <v>176</v>
      </c>
      <c r="S115" s="678">
        <f>'Løp 1'!$K107</f>
        <v>55.8</v>
      </c>
      <c r="V115" s="678">
        <f>'Løp 2'!$K107</f>
        <v>75.3</v>
      </c>
      <c r="Y115" s="677">
        <f>'Løp 3'!$K107</f>
        <v>87.5</v>
      </c>
      <c r="AB115" s="678">
        <f>'Løp 4'!$K107</f>
        <v>101.4</v>
      </c>
      <c r="AD115" s="678"/>
      <c r="AE115" s="678">
        <f>'Løp 5'!$K107</f>
        <v>92.5</v>
      </c>
      <c r="AF115" s="678"/>
      <c r="AH115" s="678">
        <f>'Løp 6'!$K107</f>
        <v>86.3</v>
      </c>
      <c r="AJ115" s="678"/>
      <c r="AK115" s="678">
        <f>'Løp 7'!$K107</f>
        <v>65.800000000000011</v>
      </c>
      <c r="AL115" s="678"/>
      <c r="AN115" s="678">
        <f>'Løp 8'!$K107</f>
        <v>59</v>
      </c>
      <c r="AP115" s="678"/>
      <c r="AQ115" s="678">
        <f>'Løp 9'!$K107</f>
        <v>71.100000000000009</v>
      </c>
      <c r="AR115" s="678"/>
      <c r="AT115" s="678">
        <f>'Løp 10'!$K107</f>
        <v>60.7</v>
      </c>
      <c r="AW115" s="678">
        <f>'Løp 11'!$K107</f>
        <v>102.60000000000001</v>
      </c>
      <c r="AZ115" s="678">
        <f>'Løp 12'!$K107</f>
        <v>78.399999999999991</v>
      </c>
      <c r="BC115" s="678">
        <f>'Løp 13'!$K107</f>
        <v>69.3</v>
      </c>
      <c r="BF115" s="678">
        <f>'Løp 14'!$K107</f>
        <v>75.599999999999994</v>
      </c>
      <c r="BI115" s="678">
        <f>'Løp 15'!$K107</f>
        <v>92.1</v>
      </c>
      <c r="BL115" s="678">
        <f>'Løp 16'!$K107</f>
        <v>83.1</v>
      </c>
      <c r="BO115" s="678">
        <f>'Løp 17'!$K107</f>
        <v>70.099999999999994</v>
      </c>
      <c r="BR115" s="678">
        <f>'Løp 18'!$K107</f>
        <v>79.599999999999994</v>
      </c>
      <c r="BU115" s="678">
        <f>'Løp 19'!$K107</f>
        <v>71.099999999999994</v>
      </c>
      <c r="BX115" s="678">
        <f>'Løp 20'!$K107</f>
        <v>101.5</v>
      </c>
      <c r="CA115" s="678">
        <f>'Løp 21'!$K107</f>
        <v>94.1</v>
      </c>
      <c r="CD115" s="678">
        <f>'Løp 22'!$K107</f>
        <v>92.9</v>
      </c>
      <c r="CG115" s="678">
        <f>'Løp 23'!$K107</f>
        <v>90.100000000000009</v>
      </c>
      <c r="CJ115" s="678">
        <f>'Løp 24'!$K107</f>
        <v>119.30000000000001</v>
      </c>
      <c r="CM115" s="678">
        <f>'Løp 25'!$K107</f>
        <v>104.60000000000001</v>
      </c>
      <c r="CP115" s="678">
        <f>'Løp 26'!$K107</f>
        <v>90.8</v>
      </c>
      <c r="CS115" s="678">
        <f>'Løp 27'!$K107</f>
        <v>88.2</v>
      </c>
      <c r="CV115" s="678">
        <f>'Løp 28'!$K107</f>
        <v>99.5</v>
      </c>
      <c r="CY115" s="678">
        <f>'Løp 29'!$K108</f>
        <v>99.6</v>
      </c>
    </row>
    <row r="116" spans="3:103" ht="24" x14ac:dyDescent="0.3">
      <c r="D116" s="675" t="s">
        <v>286</v>
      </c>
      <c r="S116" s="679">
        <f>'Løp 1'!$K108</f>
        <v>3.3255997474747473E-2</v>
      </c>
      <c r="V116" s="679">
        <f>'Løp 2'!$K108</f>
        <v>3.0645616319444437E-2</v>
      </c>
      <c r="Y116" s="679">
        <f>'Løp 3'!$K108</f>
        <v>3.7053091397849465E-2</v>
      </c>
      <c r="AB116" s="679">
        <f>'Løp 4'!$K108</f>
        <v>3.0531798245614038E-2</v>
      </c>
      <c r="AD116" s="679"/>
      <c r="AE116" s="679">
        <f>'Løp 5'!$K108</f>
        <v>2.5937224426807761E-2</v>
      </c>
      <c r="AF116" s="679"/>
      <c r="AH116" s="679">
        <f>'Løp 6'!$K108</f>
        <v>2.6411411411411404E-2</v>
      </c>
      <c r="AJ116" s="679"/>
      <c r="AK116" s="679">
        <f>'Løp 7'!$K108</f>
        <v>5.2418055555555558E-2</v>
      </c>
      <c r="AL116" s="679"/>
      <c r="AN116" s="679">
        <f>'Løp 8'!$K108</f>
        <v>2.329513888888889E-2</v>
      </c>
      <c r="AP116" s="679"/>
      <c r="AQ116" s="679">
        <f>'Løp 9'!$K108</f>
        <v>2.3617541152263374E-2</v>
      </c>
      <c r="AR116" s="679"/>
      <c r="AT116" s="679">
        <f>'Løp 10'!$K108</f>
        <v>2.2302043422733078E-2</v>
      </c>
      <c r="AW116" s="679">
        <f>'Løp 11'!$K108</f>
        <v>2.6881700779727097E-2</v>
      </c>
      <c r="AZ116" s="679">
        <f>'Løp 12'!$K108</f>
        <v>2.0079264870931535E-2</v>
      </c>
      <c r="BC116" s="679">
        <f>'Løp 13'!$K108</f>
        <v>2.2437842935528116E-2</v>
      </c>
      <c r="BF116" s="679">
        <f>'Løp 14'!$K108</f>
        <v>2.6573645404663917E-2</v>
      </c>
      <c r="BI116" s="679">
        <f>'Løp 15'!$K108</f>
        <v>3.3345959595959603E-2</v>
      </c>
      <c r="BL116" s="679">
        <f>'Løp 16'!$K108</f>
        <v>2.9831104252400556E-2</v>
      </c>
      <c r="BO116" s="679">
        <f>'Løp 17'!$K108</f>
        <v>2.3732040229885062E-2</v>
      </c>
      <c r="BR116" s="679">
        <f>'Løp 18'!$K108</f>
        <v>2.4735243055555554E-2</v>
      </c>
      <c r="BU116" s="679">
        <f>'Løp 19'!$K108</f>
        <v>2.6858362268518517E-2</v>
      </c>
      <c r="BX116" s="679">
        <f>'Løp 20'!$K108</f>
        <v>2.9925550550550545E-2</v>
      </c>
      <c r="CA116" s="679">
        <f>'Løp 21'!$K108</f>
        <v>2.3626984126984125E-2</v>
      </c>
      <c r="CD116" s="679">
        <f>'Løp 22'!$K108</f>
        <v>2.3414945394112065E-2</v>
      </c>
      <c r="CG116" s="679">
        <f>'Løp 23'!$K108</f>
        <v>1.9927983539094651E-2</v>
      </c>
      <c r="CJ116" s="679">
        <f>'Løp 24'!$K108</f>
        <v>2.0641045875420875E-2</v>
      </c>
      <c r="CM116" s="679">
        <f>'Løp 25'!$K108</f>
        <v>3.0407350948509493E-2</v>
      </c>
      <c r="CP116" s="679">
        <f>'Løp 26'!$K108</f>
        <v>3.2731095679012348E-2</v>
      </c>
      <c r="CS116" s="679">
        <f>'Løp 27'!$K108</f>
        <v>2.68134746588694E-2</v>
      </c>
      <c r="CV116" s="679">
        <f>'Løp 28'!$K108</f>
        <v>2.7027979066022539E-2</v>
      </c>
      <c r="CY116" s="679">
        <f>'Løp 29'!$K109</f>
        <v>2.6548096707818925E-2</v>
      </c>
    </row>
    <row r="117" spans="3:103" ht="24" x14ac:dyDescent="0.3">
      <c r="D117" s="675" t="s">
        <v>287</v>
      </c>
      <c r="S117" s="680">
        <f>'Løp 1'!$K109</f>
        <v>8.0739144316730529E-3</v>
      </c>
      <c r="V117" s="680">
        <f>'Løp 2'!$K109</f>
        <v>8.9203042328042329E-3</v>
      </c>
      <c r="Y117" s="680">
        <f>'Løp 3'!$K109</f>
        <v>9.0079365079365082E-3</v>
      </c>
      <c r="AB117" s="680">
        <f>'Løp 4'!$K109</f>
        <v>6.9444444444444441E-3</v>
      </c>
      <c r="AD117" s="680"/>
      <c r="AE117" s="680">
        <f>'Løp 5'!$K109</f>
        <v>7.2359396433470504E-3</v>
      </c>
      <c r="AF117" s="680"/>
      <c r="AH117" s="680">
        <f>'Løp 6'!$K109</f>
        <v>7.8356481481481489E-3</v>
      </c>
      <c r="AJ117" s="680"/>
      <c r="AK117" s="680">
        <f>'Løp 7'!$K109</f>
        <v>1.6819743130227001E-2</v>
      </c>
      <c r="AL117" s="680"/>
      <c r="AN117" s="680">
        <f>'Løp 8'!$K109</f>
        <v>8.5227272727272721E-3</v>
      </c>
      <c r="AP117" s="680"/>
      <c r="AQ117" s="680">
        <f>'Løp 9'!$K109</f>
        <v>6.8175029868578251E-3</v>
      </c>
      <c r="AR117" s="680"/>
      <c r="AT117" s="680">
        <f>'Løp 10'!$K109</f>
        <v>7.4245541838134418E-3</v>
      </c>
      <c r="AW117" s="680">
        <f>'Løp 11'!$K109</f>
        <v>7.3278356481481476E-3</v>
      </c>
      <c r="AZ117" s="680">
        <f>'Løp 12'!$K109</f>
        <v>5.5431547619047622E-3</v>
      </c>
      <c r="BC117" s="680">
        <f>'Løp 13'!$K109</f>
        <v>5.4198595146871011E-3</v>
      </c>
      <c r="BF117" s="680">
        <f>'Løp 14'!$K109</f>
        <v>6.2825520833333327E-3</v>
      </c>
      <c r="BI117" s="680">
        <f>'Løp 15'!$K109</f>
        <v>8.6279461279461286E-3</v>
      </c>
      <c r="BL117" s="680">
        <f>'Løp 16'!$K109</f>
        <v>6.8380880880880872E-3</v>
      </c>
      <c r="BO117" s="680">
        <f>'Løp 17'!$K109</f>
        <v>6.3537675606641121E-3</v>
      </c>
      <c r="BR117" s="680">
        <f>'Løp 18'!$K109</f>
        <v>7.1867766203703694E-3</v>
      </c>
      <c r="BU117" s="680">
        <f>'Løp 19'!$K109</f>
        <v>8.2004458161865565E-3</v>
      </c>
      <c r="BX117" s="680">
        <f>'Løp 20'!$K109</f>
        <v>7.7546296296296295E-3</v>
      </c>
      <c r="CA117" s="680">
        <f>'Løp 21'!$K109</f>
        <v>6.0745221027479089E-3</v>
      </c>
      <c r="CD117" s="680">
        <f>'Løp 22'!$K109</f>
        <v>6.9889601139601137E-3</v>
      </c>
      <c r="CG117" s="680">
        <f>'Løp 23'!$K109</f>
        <v>5.1764048531289918E-3</v>
      </c>
      <c r="CJ117" s="680">
        <f>'Løp 24'!$K109</f>
        <v>5.324074074074074E-3</v>
      </c>
      <c r="CM117" s="680">
        <f>'Løp 25'!$K109</f>
        <v>7.2301793981481479E-3</v>
      </c>
      <c r="CP117" s="680">
        <f>'Løp 26'!$K109</f>
        <v>7.080610021786493E-3</v>
      </c>
      <c r="CS117" s="680">
        <f>'Løp 27'!$K109</f>
        <v>6.8544238683127569E-3</v>
      </c>
      <c r="CV117" s="680">
        <f>'Løp 28'!$K109</f>
        <v>6.637479871175524E-3</v>
      </c>
      <c r="CY117" s="680">
        <f>'Løp 29'!$K110</f>
        <v>7.279265873015874E-3</v>
      </c>
    </row>
    <row r="121" spans="3:103" ht="17" thickBot="1" x14ac:dyDescent="0.25"/>
    <row r="122" spans="3:103" ht="26" thickTop="1" thickBot="1" x14ac:dyDescent="0.35">
      <c r="D122" s="698"/>
      <c r="E122" s="699"/>
      <c r="F122" s="699"/>
      <c r="G122" s="700"/>
      <c r="H122" s="701" t="s">
        <v>177</v>
      </c>
      <c r="I122" s="700"/>
      <c r="J122" s="700"/>
      <c r="K122" s="700"/>
      <c r="L122" s="700"/>
      <c r="M122" s="700"/>
      <c r="N122" s="700"/>
      <c r="O122" s="877"/>
      <c r="P122" s="639"/>
      <c r="Q122" s="320"/>
      <c r="R122" s="320"/>
      <c r="V122" s="836" t="s">
        <v>361</v>
      </c>
      <c r="W122" s="838"/>
      <c r="Y122" s="837"/>
    </row>
    <row r="123" spans="3:103" ht="20" thickBot="1" x14ac:dyDescent="0.3">
      <c r="D123" s="639"/>
      <c r="E123" s="320"/>
      <c r="F123" s="320"/>
      <c r="G123" s="320"/>
      <c r="H123" s="320"/>
      <c r="I123" s="320"/>
      <c r="J123" s="320"/>
      <c r="K123" s="320"/>
      <c r="L123" s="320"/>
      <c r="M123" s="320"/>
      <c r="N123" s="320"/>
      <c r="O123" s="878"/>
      <c r="P123" s="639"/>
      <c r="Q123" s="320"/>
      <c r="R123" s="320"/>
      <c r="V123" s="834" t="s">
        <v>234</v>
      </c>
      <c r="W123" s="839" t="s">
        <v>362</v>
      </c>
      <c r="Y123" s="835" t="s">
        <v>363</v>
      </c>
    </row>
    <row r="124" spans="3:103" ht="19" x14ac:dyDescent="0.25">
      <c r="D124" s="702" t="s">
        <v>27</v>
      </c>
      <c r="E124" s="703"/>
      <c r="F124" s="703"/>
      <c r="G124" s="703"/>
      <c r="H124" s="703"/>
      <c r="I124" s="703"/>
      <c r="J124" s="703">
        <f>COUNTIF(S109:DA109,"&gt;0")</f>
        <v>29</v>
      </c>
      <c r="K124" s="703"/>
      <c r="L124" s="703"/>
      <c r="M124" s="703"/>
      <c r="N124" s="703"/>
      <c r="O124" s="879"/>
      <c r="P124" s="702"/>
      <c r="Q124" s="703"/>
      <c r="R124" s="703"/>
      <c r="S124" s="681"/>
      <c r="V124" s="832">
        <v>55</v>
      </c>
      <c r="W124" s="840">
        <f>SUM('Løp 1:Løp 29'!AC10)</f>
        <v>0</v>
      </c>
      <c r="Y124" s="843">
        <f>100*W124/J$126</f>
        <v>0</v>
      </c>
    </row>
    <row r="125" spans="3:103" ht="19" x14ac:dyDescent="0.25">
      <c r="D125" s="702" t="s">
        <v>418</v>
      </c>
      <c r="E125" s="703"/>
      <c r="F125" s="703"/>
      <c r="G125" s="703"/>
      <c r="H125" s="703"/>
      <c r="I125" s="703"/>
      <c r="J125" s="704">
        <f>SUM(S109:DA109)</f>
        <v>1056</v>
      </c>
      <c r="K125" s="703"/>
      <c r="L125" s="703"/>
      <c r="M125" s="703"/>
      <c r="N125" s="703"/>
      <c r="O125" s="879"/>
      <c r="P125" s="702"/>
      <c r="Q125" s="703"/>
      <c r="R125" s="703"/>
      <c r="S125" s="681"/>
      <c r="V125" s="828">
        <f>V124+1</f>
        <v>56</v>
      </c>
      <c r="W125" s="841">
        <f>SUM('Løp 1:Løp 29'!AC11)</f>
        <v>0</v>
      </c>
      <c r="Y125" s="844">
        <f t="shared" ref="Y125:Y164" si="3">100*W125/J$126</f>
        <v>0</v>
      </c>
    </row>
    <row r="126" spans="3:103" ht="19" x14ac:dyDescent="0.25">
      <c r="D126" s="702" t="s">
        <v>273</v>
      </c>
      <c r="E126" s="703"/>
      <c r="F126" s="703"/>
      <c r="G126" s="703"/>
      <c r="H126" s="703"/>
      <c r="I126" s="703"/>
      <c r="J126" s="704">
        <f>SUM(S111:DA111)</f>
        <v>1129</v>
      </c>
      <c r="K126" s="703"/>
      <c r="L126" s="703"/>
      <c r="M126" s="703"/>
      <c r="N126" s="703"/>
      <c r="O126" s="879"/>
      <c r="P126" s="702"/>
      <c r="Q126" s="703"/>
      <c r="R126" s="703"/>
      <c r="S126" s="681"/>
      <c r="V126" s="828">
        <f t="shared" ref="V126:V164" si="4">V125+1</f>
        <v>57</v>
      </c>
      <c r="W126" s="841">
        <f>SUM('Løp 1:Løp 29'!AC12)</f>
        <v>1</v>
      </c>
      <c r="Y126" s="844">
        <f t="shared" si="3"/>
        <v>8.8573959255978746E-2</v>
      </c>
    </row>
    <row r="127" spans="3:103" ht="19" x14ac:dyDescent="0.25">
      <c r="D127" s="702" t="s">
        <v>277</v>
      </c>
      <c r="E127" s="703"/>
      <c r="F127" s="703"/>
      <c r="G127" s="703"/>
      <c r="H127" s="703"/>
      <c r="I127" s="703"/>
      <c r="J127" s="704">
        <f>_xlfn.MINIFS(S111:DA111,S111:DA111,"&gt;0")</f>
        <v>28</v>
      </c>
      <c r="K127" s="705"/>
      <c r="L127" s="703"/>
      <c r="M127" s="706" t="str" cm="1">
        <f t="array" ref="M127">INDEX($S107:$DA107,_xlfn.XMATCH(J127,S111:DA111))</f>
        <v>Løp 1</v>
      </c>
      <c r="N127" s="707" t="str" cm="1">
        <f t="array" ref="N127">INDEX($S108:$EK108,_xlfn.XMATCH(J127,S111:EK111))</f>
        <v>Brekkåsen</v>
      </c>
      <c r="O127" s="880"/>
      <c r="P127" s="885"/>
      <c r="Q127" s="707"/>
      <c r="R127" s="703"/>
      <c r="S127" s="681"/>
      <c r="V127" s="828">
        <f t="shared" si="4"/>
        <v>58</v>
      </c>
      <c r="W127" s="841">
        <f>SUM('Løp 1:Løp 29'!AC13)</f>
        <v>1</v>
      </c>
      <c r="Y127" s="844">
        <f t="shared" si="3"/>
        <v>8.8573959255978746E-2</v>
      </c>
    </row>
    <row r="128" spans="3:103" ht="19" x14ac:dyDescent="0.25">
      <c r="C128" s="15"/>
      <c r="D128" s="702" t="s">
        <v>292</v>
      </c>
      <c r="E128" s="703"/>
      <c r="F128" s="703"/>
      <c r="G128" s="703"/>
      <c r="H128" s="703"/>
      <c r="I128" s="703"/>
      <c r="J128" s="704">
        <f>_xlfn.MAXIFS(S111:DA111,S111:DA111,"&gt;0")</f>
        <v>54</v>
      </c>
      <c r="K128" s="705"/>
      <c r="L128" s="703"/>
      <c r="M128" s="706" t="str" cm="1">
        <f t="array" ref="M128">INDEX(S107:DA107,_xlfn.XMATCH(J128,S111:DA111))</f>
        <v>Løp 29</v>
      </c>
      <c r="N128" s="707" t="str" cm="1">
        <f t="array" ref="N128">INDEX($S108:$EK108,_xlfn.XMATCH(J128,S111:EK111))</f>
        <v>Nilsbyen</v>
      </c>
      <c r="O128" s="880"/>
      <c r="P128" s="885"/>
      <c r="Q128" s="707"/>
      <c r="R128" s="703"/>
      <c r="S128" s="681"/>
      <c r="V128" s="828">
        <f t="shared" si="4"/>
        <v>59</v>
      </c>
      <c r="W128" s="841">
        <f>SUM('Løp 1:Løp 29'!AC14)</f>
        <v>11</v>
      </c>
      <c r="Y128" s="844">
        <f t="shared" si="3"/>
        <v>0.97431355181576618</v>
      </c>
    </row>
    <row r="129" spans="4:25" ht="19" x14ac:dyDescent="0.25">
      <c r="D129" s="702" t="s">
        <v>179</v>
      </c>
      <c r="E129" s="703"/>
      <c r="F129" s="703"/>
      <c r="G129" s="703"/>
      <c r="H129" s="703"/>
      <c r="I129" s="703"/>
      <c r="J129" s="708">
        <f>AVERAGEIF(S111:EK111,"&gt;0")</f>
        <v>38.931034482758619</v>
      </c>
      <c r="K129" s="708"/>
      <c r="L129" s="708"/>
      <c r="M129" s="708"/>
      <c r="N129" s="708"/>
      <c r="O129" s="881"/>
      <c r="P129" s="886"/>
      <c r="Q129" s="708"/>
      <c r="R129" s="703"/>
      <c r="S129" s="681"/>
      <c r="V129" s="828">
        <f t="shared" si="4"/>
        <v>60</v>
      </c>
      <c r="W129" s="841">
        <f>SUM('Løp 1:Løp 29'!AC15)</f>
        <v>14</v>
      </c>
      <c r="Y129" s="844">
        <f t="shared" si="3"/>
        <v>1.2400354295837024</v>
      </c>
    </row>
    <row r="130" spans="4:25" ht="19" x14ac:dyDescent="0.25">
      <c r="D130" s="702" t="s">
        <v>180</v>
      </c>
      <c r="E130" s="703"/>
      <c r="F130" s="703"/>
      <c r="G130" s="703"/>
      <c r="H130" s="703"/>
      <c r="I130" s="703"/>
      <c r="J130" s="708">
        <f>AVERAGEIF(G10:G106,"&gt;0")</f>
        <v>13.75609756097561</v>
      </c>
      <c r="K130" s="708"/>
      <c r="L130" s="708"/>
      <c r="M130" s="708"/>
      <c r="N130" s="708"/>
      <c r="O130" s="881"/>
      <c r="P130" s="886"/>
      <c r="Q130" s="708"/>
      <c r="R130" s="703"/>
      <c r="S130" s="681"/>
      <c r="V130" s="828">
        <f t="shared" si="4"/>
        <v>61</v>
      </c>
      <c r="W130" s="841">
        <f>SUM('Løp 1:Løp 29'!AC16)</f>
        <v>14</v>
      </c>
      <c r="Y130" s="844">
        <f t="shared" si="3"/>
        <v>1.2400354295837024</v>
      </c>
    </row>
    <row r="131" spans="4:25" ht="19" x14ac:dyDescent="0.25">
      <c r="D131" s="702" t="s">
        <v>375</v>
      </c>
      <c r="E131" s="703"/>
      <c r="F131" s="703"/>
      <c r="G131" s="703"/>
      <c r="H131" s="703"/>
      <c r="I131" s="703"/>
      <c r="J131" s="704">
        <f>COUNTIF(G10:G106,"&gt;0")</f>
        <v>82</v>
      </c>
      <c r="K131" s="708"/>
      <c r="L131" s="708"/>
      <c r="M131" s="708"/>
      <c r="N131" s="708"/>
      <c r="O131" s="881"/>
      <c r="P131" s="886"/>
      <c r="Q131" s="708"/>
      <c r="R131" s="703"/>
      <c r="S131" s="681"/>
      <c r="V131" s="828">
        <f t="shared" si="4"/>
        <v>62</v>
      </c>
      <c r="W131" s="841">
        <f>SUM('Løp 1:Løp 29'!AC17)</f>
        <v>2</v>
      </c>
      <c r="Y131" s="844">
        <f t="shared" si="3"/>
        <v>0.17714791851195749</v>
      </c>
    </row>
    <row r="132" spans="4:25" ht="19" x14ac:dyDescent="0.25">
      <c r="D132" s="702" t="s">
        <v>181</v>
      </c>
      <c r="E132" s="703"/>
      <c r="F132" s="703"/>
      <c r="G132" s="703"/>
      <c r="H132" s="703"/>
      <c r="I132" s="703"/>
      <c r="J132" s="704">
        <f>COUNTIF(H10:H106,"&gt;0")</f>
        <v>37</v>
      </c>
      <c r="K132" s="704"/>
      <c r="L132" s="704"/>
      <c r="M132" s="704"/>
      <c r="N132" s="704"/>
      <c r="O132" s="882"/>
      <c r="P132" s="887"/>
      <c r="Q132" s="704"/>
      <c r="R132" s="703"/>
      <c r="S132" s="681"/>
      <c r="V132" s="828">
        <f t="shared" si="4"/>
        <v>63</v>
      </c>
      <c r="W132" s="841">
        <f>SUM('Løp 1:Løp 29'!AC18)</f>
        <v>2</v>
      </c>
      <c r="Y132" s="844">
        <f t="shared" si="3"/>
        <v>0.17714791851195749</v>
      </c>
    </row>
    <row r="133" spans="4:25" ht="19" x14ac:dyDescent="0.25">
      <c r="D133" s="785" t="s">
        <v>341</v>
      </c>
      <c r="E133" s="703"/>
      <c r="F133" s="703"/>
      <c r="G133" s="703"/>
      <c r="H133" s="703"/>
      <c r="I133" s="703"/>
      <c r="J133" s="708">
        <f>SUM(S113:DA113)/SUM(S111:DA111)</f>
        <v>75.372246826099783</v>
      </c>
      <c r="K133" s="704"/>
      <c r="L133" s="704"/>
      <c r="M133" s="704"/>
      <c r="N133" s="704"/>
      <c r="O133" s="882"/>
      <c r="P133" s="887"/>
      <c r="Q133" s="704"/>
      <c r="R133" s="703"/>
      <c r="S133" s="681"/>
      <c r="V133" s="828">
        <f t="shared" si="4"/>
        <v>64</v>
      </c>
      <c r="W133" s="841">
        <f>SUM('Løp 1:Løp 29'!AC19)</f>
        <v>1</v>
      </c>
      <c r="Y133" s="844">
        <f t="shared" si="3"/>
        <v>8.8573959255978746E-2</v>
      </c>
    </row>
    <row r="134" spans="4:25" ht="19" x14ac:dyDescent="0.25">
      <c r="D134" s="702"/>
      <c r="E134" s="703"/>
      <c r="F134" s="703"/>
      <c r="G134" s="703"/>
      <c r="H134" s="703"/>
      <c r="I134" s="703"/>
      <c r="J134" s="708"/>
      <c r="K134" s="708"/>
      <c r="L134" s="708"/>
      <c r="M134" s="708"/>
      <c r="N134" s="708"/>
      <c r="O134" s="881"/>
      <c r="P134" s="886"/>
      <c r="Q134" s="708"/>
      <c r="R134" s="703"/>
      <c r="S134" s="681"/>
      <c r="V134" s="828">
        <f t="shared" si="4"/>
        <v>65</v>
      </c>
      <c r="W134" s="841">
        <f>SUM('Løp 1:Løp 29'!AC20)</f>
        <v>6</v>
      </c>
      <c r="Y134" s="844">
        <f t="shared" si="3"/>
        <v>0.53144375553587242</v>
      </c>
    </row>
    <row r="135" spans="4:25" ht="19" x14ac:dyDescent="0.25">
      <c r="D135" s="702" t="s">
        <v>182</v>
      </c>
      <c r="E135" s="703"/>
      <c r="F135" s="703"/>
      <c r="G135" s="703"/>
      <c r="H135" s="703"/>
      <c r="I135" s="703"/>
      <c r="J135" s="703">
        <f>MAXA(G10:G106)</f>
        <v>29</v>
      </c>
      <c r="K135" s="703"/>
      <c r="L135" s="703"/>
      <c r="M135" s="703"/>
      <c r="N135" s="703"/>
      <c r="O135" s="879"/>
      <c r="P135" s="702"/>
      <c r="Q135" s="703"/>
      <c r="R135" s="703"/>
      <c r="S135" s="681"/>
      <c r="V135" s="828">
        <f t="shared" si="4"/>
        <v>66</v>
      </c>
      <c r="W135" s="841">
        <f>SUM('Løp 1:Løp 29'!AC21)</f>
        <v>32</v>
      </c>
      <c r="Y135" s="844">
        <f t="shared" si="3"/>
        <v>2.8343666961913199</v>
      </c>
    </row>
    <row r="136" spans="4:25" ht="19" x14ac:dyDescent="0.25">
      <c r="D136" s="702" t="s">
        <v>274</v>
      </c>
      <c r="E136" s="703"/>
      <c r="F136" s="703"/>
      <c r="G136" s="703"/>
      <c r="H136" s="703"/>
      <c r="I136" s="703"/>
      <c r="J136" s="703">
        <f>COUNTIF(G10:G106,J124)</f>
        <v>1</v>
      </c>
      <c r="K136" s="703"/>
      <c r="L136" s="703"/>
      <c r="M136" s="703"/>
      <c r="N136" s="703"/>
      <c r="O136" s="879"/>
      <c r="P136" s="702"/>
      <c r="Q136" s="703"/>
      <c r="R136" s="703"/>
      <c r="S136" s="681"/>
      <c r="V136" s="828">
        <f t="shared" si="4"/>
        <v>67</v>
      </c>
      <c r="W136" s="841">
        <f>SUM('Løp 1:Løp 29'!AC22)</f>
        <v>32</v>
      </c>
      <c r="Y136" s="844">
        <f t="shared" si="3"/>
        <v>2.8343666961913199</v>
      </c>
    </row>
    <row r="137" spans="4:25" ht="19" x14ac:dyDescent="0.25">
      <c r="D137" s="702" t="s">
        <v>183</v>
      </c>
      <c r="E137" s="703"/>
      <c r="F137" s="703"/>
      <c r="G137" s="703"/>
      <c r="H137" s="703"/>
      <c r="I137" s="703"/>
      <c r="J137" s="703">
        <f>MAXA(H10:H106)</f>
        <v>6</v>
      </c>
      <c r="K137" s="703"/>
      <c r="L137" s="703"/>
      <c r="M137" s="703"/>
      <c r="N137" s="703"/>
      <c r="O137" s="879"/>
      <c r="P137" s="702"/>
      <c r="Q137" s="703"/>
      <c r="R137" s="703"/>
      <c r="S137" s="681"/>
      <c r="V137" s="828">
        <f t="shared" si="4"/>
        <v>68</v>
      </c>
      <c r="W137" s="841">
        <f>SUM('Løp 1:Løp 29'!AC23)</f>
        <v>11</v>
      </c>
      <c r="Y137" s="844">
        <f t="shared" si="3"/>
        <v>0.97431355181576618</v>
      </c>
    </row>
    <row r="138" spans="4:25" ht="19" x14ac:dyDescent="0.25">
      <c r="D138" s="702"/>
      <c r="E138" s="703"/>
      <c r="F138" s="703"/>
      <c r="G138" s="703"/>
      <c r="H138" s="703"/>
      <c r="I138" s="703"/>
      <c r="J138" s="703"/>
      <c r="K138" s="703"/>
      <c r="L138" s="703"/>
      <c r="M138" s="703"/>
      <c r="N138" s="703"/>
      <c r="O138" s="879"/>
      <c r="P138" s="702"/>
      <c r="Q138" s="703"/>
      <c r="R138" s="703"/>
      <c r="S138" s="681"/>
      <c r="V138" s="828">
        <f t="shared" si="4"/>
        <v>69</v>
      </c>
      <c r="W138" s="841">
        <f>SUM('Løp 1:Løp 29'!AC24)</f>
        <v>29</v>
      </c>
      <c r="Y138" s="844">
        <f t="shared" si="3"/>
        <v>2.5686448184233837</v>
      </c>
    </row>
    <row r="139" spans="4:25" ht="19" x14ac:dyDescent="0.25">
      <c r="D139" s="702" t="s">
        <v>184</v>
      </c>
      <c r="E139" s="703"/>
      <c r="F139" s="703"/>
      <c r="G139" s="703"/>
      <c r="H139" s="703"/>
      <c r="I139" s="703"/>
      <c r="J139" s="708">
        <f>AVERAGEIF(S114:DA114,"&gt;0")</f>
        <v>2.4741379310344831</v>
      </c>
      <c r="K139" s="708"/>
      <c r="L139" s="708"/>
      <c r="M139" s="708"/>
      <c r="N139" s="708"/>
      <c r="O139" s="881"/>
      <c r="P139" s="886"/>
      <c r="Q139" s="708"/>
      <c r="R139" s="703"/>
      <c r="S139" s="681"/>
      <c r="V139" s="828">
        <f t="shared" si="4"/>
        <v>70</v>
      </c>
      <c r="W139" s="841">
        <f>SUM('Løp 1:Løp 29'!AC25)</f>
        <v>39</v>
      </c>
      <c r="Y139" s="844">
        <f t="shared" si="3"/>
        <v>3.4543844109831707</v>
      </c>
    </row>
    <row r="140" spans="4:25" ht="19" x14ac:dyDescent="0.25">
      <c r="D140" s="702" t="s">
        <v>275</v>
      </c>
      <c r="E140" s="703"/>
      <c r="F140" s="703"/>
      <c r="G140" s="703"/>
      <c r="H140" s="703"/>
      <c r="I140" s="703"/>
      <c r="J140" s="708">
        <f>AVERAGEIF(S115:DA115,"&gt;0")</f>
        <v>84.755172413793076</v>
      </c>
      <c r="K140" s="708"/>
      <c r="L140" s="708"/>
      <c r="M140" s="708"/>
      <c r="N140" s="708"/>
      <c r="O140" s="881"/>
      <c r="P140" s="886"/>
      <c r="Q140" s="708"/>
      <c r="R140" s="703"/>
      <c r="S140" s="681"/>
      <c r="V140" s="828">
        <f t="shared" si="4"/>
        <v>71</v>
      </c>
      <c r="W140" s="841">
        <f>SUM('Løp 1:Løp 29'!AC26)</f>
        <v>50</v>
      </c>
      <c r="Y140" s="844">
        <f t="shared" si="3"/>
        <v>4.4286979627989371</v>
      </c>
    </row>
    <row r="141" spans="4:25" ht="19" x14ac:dyDescent="0.25">
      <c r="D141" s="702" t="s">
        <v>276</v>
      </c>
      <c r="E141" s="703"/>
      <c r="F141" s="703"/>
      <c r="G141" s="703"/>
      <c r="H141" s="703"/>
      <c r="I141" s="703"/>
      <c r="J141" s="704">
        <f>SUM(S115:DA115)</f>
        <v>2457.8999999999992</v>
      </c>
      <c r="K141" s="704"/>
      <c r="L141" s="704"/>
      <c r="M141" s="704"/>
      <c r="N141" s="704"/>
      <c r="O141" s="882"/>
      <c r="P141" s="887"/>
      <c r="Q141" s="704"/>
      <c r="R141" s="703"/>
      <c r="S141" s="681"/>
      <c r="V141" s="828">
        <f t="shared" si="4"/>
        <v>72</v>
      </c>
      <c r="W141" s="841">
        <f>SUM('Løp 1:Løp 29'!AC27)</f>
        <v>90</v>
      </c>
      <c r="Y141" s="844">
        <f t="shared" si="3"/>
        <v>7.9716563330380872</v>
      </c>
    </row>
    <row r="142" spans="4:25" ht="19" x14ac:dyDescent="0.25">
      <c r="D142" s="702" t="s">
        <v>185</v>
      </c>
      <c r="E142" s="703"/>
      <c r="F142" s="703"/>
      <c r="G142" s="703"/>
      <c r="H142" s="703"/>
      <c r="I142" s="703"/>
      <c r="J142" s="704">
        <f>J141*1.25</f>
        <v>3072.3749999999991</v>
      </c>
      <c r="K142" s="704"/>
      <c r="L142" s="704"/>
      <c r="M142" s="704"/>
      <c r="N142" s="704"/>
      <c r="O142" s="882"/>
      <c r="P142" s="887"/>
      <c r="Q142" s="704"/>
      <c r="R142" s="703"/>
      <c r="S142" s="681"/>
      <c r="V142" s="828">
        <f t="shared" si="4"/>
        <v>73</v>
      </c>
      <c r="W142" s="841">
        <f>SUM('Løp 1:Løp 29'!AC28)</f>
        <v>91</v>
      </c>
      <c r="Y142" s="844">
        <f t="shared" si="3"/>
        <v>8.0602302922940652</v>
      </c>
    </row>
    <row r="143" spans="4:25" ht="19" x14ac:dyDescent="0.25">
      <c r="D143" s="702"/>
      <c r="E143" s="703"/>
      <c r="F143" s="703"/>
      <c r="G143" s="703"/>
      <c r="H143" s="703"/>
      <c r="I143" s="703"/>
      <c r="J143" s="704"/>
      <c r="K143" s="704"/>
      <c r="L143" s="704"/>
      <c r="M143" s="704"/>
      <c r="N143" s="704"/>
      <c r="O143" s="882"/>
      <c r="P143" s="887"/>
      <c r="Q143" s="704"/>
      <c r="R143" s="703"/>
      <c r="S143" s="681"/>
      <c r="V143" s="828">
        <f t="shared" si="4"/>
        <v>74</v>
      </c>
      <c r="W143" s="841">
        <f>SUM('Løp 1:Løp 29'!AC29)</f>
        <v>80</v>
      </c>
      <c r="Y143" s="844">
        <f t="shared" si="3"/>
        <v>7.0859167404782992</v>
      </c>
    </row>
    <row r="144" spans="4:25" ht="19" x14ac:dyDescent="0.25">
      <c r="D144" s="702" t="s">
        <v>212</v>
      </c>
      <c r="E144" s="703"/>
      <c r="F144" s="703"/>
      <c r="G144" s="703"/>
      <c r="H144" s="703"/>
      <c r="I144" s="703"/>
      <c r="J144" s="709">
        <f>_xlfn.MINIFS(S117:DA117,S117:DA117,"&gt;0")</f>
        <v>5.1764048531289918E-3</v>
      </c>
      <c r="K144" s="710"/>
      <c r="L144" s="710"/>
      <c r="M144" s="706" t="str" cm="1">
        <f t="array" ref="M144">INDEX($S107:$DA107,_xlfn.XMATCH(J144,S117:DA117))</f>
        <v>Løp 23</v>
      </c>
      <c r="N144" s="707" t="str" cm="1">
        <f t="array" ref="N144">INDEX($S108:$EK108,_xlfn.XMATCH(J144,S117:EK117))</f>
        <v>Brundalen</v>
      </c>
      <c r="O144" s="880"/>
      <c r="P144" s="885"/>
      <c r="Q144" s="707"/>
      <c r="R144" s="888"/>
      <c r="S144" s="681"/>
      <c r="V144" s="828">
        <f t="shared" si="4"/>
        <v>75</v>
      </c>
      <c r="W144" s="841">
        <f>SUM('Løp 1:Løp 29'!AC30)</f>
        <v>87</v>
      </c>
      <c r="Y144" s="844">
        <f t="shared" si="3"/>
        <v>7.7059344552701505</v>
      </c>
    </row>
    <row r="145" spans="4:25" ht="19" x14ac:dyDescent="0.25">
      <c r="D145" s="702" t="s">
        <v>213</v>
      </c>
      <c r="E145" s="703"/>
      <c r="F145" s="703"/>
      <c r="G145" s="703"/>
      <c r="H145" s="703"/>
      <c r="I145" s="703"/>
      <c r="J145" s="709">
        <f>_xlfn.MAXIFS(S117:DA117,S117:DA117,"&gt;0")</f>
        <v>1.6819743130227001E-2</v>
      </c>
      <c r="K145" s="710"/>
      <c r="L145" s="711"/>
      <c r="M145" s="706" t="str" cm="1">
        <f t="array" ref="M145">INDEX($S107:$DA107,_xlfn.XMATCH(J145,S117:DA117))</f>
        <v>Løp 7</v>
      </c>
      <c r="N145" s="707" t="str" cm="1">
        <f t="array" ref="N145">INDEX($S108:$EK108,_xlfn.XMATCH(J145,S117:EK117))</f>
        <v>Saupstad</v>
      </c>
      <c r="O145" s="880"/>
      <c r="P145" s="885"/>
      <c r="Q145" s="707"/>
      <c r="R145" s="888"/>
      <c r="S145" s="681"/>
      <c r="V145" s="828">
        <f t="shared" si="4"/>
        <v>76</v>
      </c>
      <c r="W145" s="841">
        <f>SUM('Løp 1:Løp 29'!AC31)</f>
        <v>51</v>
      </c>
      <c r="Y145" s="844">
        <f t="shared" si="3"/>
        <v>4.517271922054916</v>
      </c>
    </row>
    <row r="146" spans="4:25" ht="19" x14ac:dyDescent="0.25">
      <c r="D146" s="702"/>
      <c r="E146" s="703"/>
      <c r="F146" s="703"/>
      <c r="G146" s="703"/>
      <c r="H146" s="703"/>
      <c r="I146" s="703"/>
      <c r="J146" s="703"/>
      <c r="K146" s="704"/>
      <c r="L146" s="703"/>
      <c r="M146" s="703"/>
      <c r="N146" s="703"/>
      <c r="O146" s="879"/>
      <c r="P146" s="702"/>
      <c r="Q146" s="703"/>
      <c r="R146" s="703"/>
      <c r="S146" s="681"/>
      <c r="V146" s="828">
        <f t="shared" si="4"/>
        <v>77</v>
      </c>
      <c r="W146" s="841">
        <f>SUM('Løp 1:Løp 29'!AC32)</f>
        <v>70</v>
      </c>
      <c r="Y146" s="844">
        <f t="shared" si="3"/>
        <v>6.2001771479185122</v>
      </c>
    </row>
    <row r="147" spans="4:25" ht="19" x14ac:dyDescent="0.25">
      <c r="D147" s="702" t="s">
        <v>186</v>
      </c>
      <c r="E147" s="703"/>
      <c r="F147" s="703"/>
      <c r="G147" s="703"/>
      <c r="H147" s="703"/>
      <c r="I147" s="703"/>
      <c r="J147" s="712">
        <f>SUM(S116:DA116)/COUNT(S116:DA116)</f>
        <v>2.7620951318444151E-2</v>
      </c>
      <c r="K147" s="713">
        <f>(HOUR(J147)+MINUTE(J147)/60+SECOND(J147)/3600)*60</f>
        <v>39.766666666666666</v>
      </c>
      <c r="L147" s="713"/>
      <c r="M147" s="713"/>
      <c r="N147" s="712"/>
      <c r="O147" s="883"/>
      <c r="P147" s="889"/>
      <c r="Q147" s="712"/>
      <c r="R147" s="703"/>
      <c r="S147" s="681"/>
      <c r="V147" s="828">
        <f t="shared" si="4"/>
        <v>78</v>
      </c>
      <c r="W147" s="841">
        <f>SUM('Løp 1:Løp 29'!AC33)</f>
        <v>66</v>
      </c>
      <c r="Y147" s="844">
        <f t="shared" si="3"/>
        <v>5.8458813108945966</v>
      </c>
    </row>
    <row r="148" spans="4:25" ht="20" thickBot="1" x14ac:dyDescent="0.3">
      <c r="D148" s="714" t="s">
        <v>378</v>
      </c>
      <c r="E148" s="715"/>
      <c r="F148" s="715"/>
      <c r="G148" s="715"/>
      <c r="H148" s="715"/>
      <c r="I148" s="715"/>
      <c r="J148" s="716">
        <f>K147*(SUM(G10:G106)-SUM(H10:H106))/(60*24)</f>
        <v>29.134606481481484</v>
      </c>
      <c r="K148" s="716"/>
      <c r="L148" s="716"/>
      <c r="M148" s="716"/>
      <c r="N148" s="716"/>
      <c r="O148" s="884"/>
      <c r="P148" s="890"/>
      <c r="Q148" s="713"/>
      <c r="R148" s="703"/>
      <c r="S148" s="681"/>
      <c r="V148" s="828">
        <f t="shared" si="4"/>
        <v>79</v>
      </c>
      <c r="W148" s="841">
        <f>SUM('Løp 1:Løp 29'!AC34)</f>
        <v>75</v>
      </c>
      <c r="Y148" s="844">
        <f t="shared" si="3"/>
        <v>6.6430469441984057</v>
      </c>
    </row>
    <row r="149" spans="4:25" ht="17" thickTop="1" x14ac:dyDescent="0.2">
      <c r="V149" s="828">
        <f t="shared" si="4"/>
        <v>80</v>
      </c>
      <c r="W149" s="841">
        <f>SUM('Løp 1:Løp 29'!AC35)</f>
        <v>42</v>
      </c>
      <c r="Y149" s="844">
        <f t="shared" si="3"/>
        <v>3.7201062887511074</v>
      </c>
    </row>
    <row r="150" spans="4:25" x14ac:dyDescent="0.2">
      <c r="V150" s="828">
        <f t="shared" si="4"/>
        <v>81</v>
      </c>
      <c r="W150" s="841">
        <f>SUM('Løp 1:Løp 29'!AC36)</f>
        <v>43</v>
      </c>
      <c r="Y150" s="844">
        <f t="shared" si="3"/>
        <v>3.8086802480070858</v>
      </c>
    </row>
    <row r="151" spans="4:25" x14ac:dyDescent="0.2">
      <c r="V151" s="828">
        <f t="shared" si="4"/>
        <v>82</v>
      </c>
      <c r="W151" s="841">
        <f>SUM('Løp 1:Løp 29'!AC37)</f>
        <v>45</v>
      </c>
      <c r="Y151" s="844">
        <f t="shared" si="3"/>
        <v>3.9858281665190436</v>
      </c>
    </row>
    <row r="152" spans="4:25" x14ac:dyDescent="0.2">
      <c r="V152" s="828">
        <f t="shared" si="4"/>
        <v>83</v>
      </c>
      <c r="W152" s="841">
        <f>SUM('Løp 1:Løp 29'!AC38)</f>
        <v>29</v>
      </c>
      <c r="Y152" s="844">
        <f t="shared" si="3"/>
        <v>2.5686448184233837</v>
      </c>
    </row>
    <row r="153" spans="4:25" x14ac:dyDescent="0.2">
      <c r="V153" s="828">
        <f t="shared" si="4"/>
        <v>84</v>
      </c>
      <c r="W153" s="841">
        <f>SUM('Løp 1:Løp 29'!AC39)</f>
        <v>21</v>
      </c>
      <c r="Y153" s="844">
        <f t="shared" si="3"/>
        <v>1.8600531443755537</v>
      </c>
    </row>
    <row r="154" spans="4:25" x14ac:dyDescent="0.2">
      <c r="V154" s="828">
        <f t="shared" si="4"/>
        <v>85</v>
      </c>
      <c r="W154" s="841">
        <f>SUM('Løp 1:Løp 29'!AC40)</f>
        <v>27</v>
      </c>
      <c r="Y154" s="844">
        <f t="shared" si="3"/>
        <v>2.3914968999114259</v>
      </c>
    </row>
    <row r="155" spans="4:25" x14ac:dyDescent="0.2">
      <c r="V155" s="828">
        <f t="shared" si="4"/>
        <v>86</v>
      </c>
      <c r="W155" s="841">
        <f>SUM('Løp 1:Løp 29'!AC41)</f>
        <v>41</v>
      </c>
      <c r="Y155" s="844">
        <f t="shared" si="3"/>
        <v>3.6315323294951285</v>
      </c>
    </row>
    <row r="156" spans="4:25" x14ac:dyDescent="0.2">
      <c r="V156" s="828">
        <f t="shared" si="4"/>
        <v>87</v>
      </c>
      <c r="W156" s="841">
        <f>SUM('Løp 1:Løp 29'!AC42)</f>
        <v>21</v>
      </c>
      <c r="Y156" s="844">
        <f t="shared" si="3"/>
        <v>1.8600531443755537</v>
      </c>
    </row>
    <row r="157" spans="4:25" x14ac:dyDescent="0.2">
      <c r="V157" s="828">
        <f t="shared" si="4"/>
        <v>88</v>
      </c>
      <c r="W157" s="841">
        <f>SUM('Løp 1:Løp 29'!AC43)</f>
        <v>0</v>
      </c>
      <c r="Y157" s="844">
        <f t="shared" si="3"/>
        <v>0</v>
      </c>
    </row>
    <row r="158" spans="4:25" x14ac:dyDescent="0.2">
      <c r="V158" s="828">
        <f t="shared" si="4"/>
        <v>89</v>
      </c>
      <c r="W158" s="841">
        <f>SUM('Løp 1:Løp 29'!AC44)</f>
        <v>1</v>
      </c>
      <c r="Y158" s="844">
        <f t="shared" si="3"/>
        <v>8.8573959255978746E-2</v>
      </c>
    </row>
    <row r="159" spans="4:25" x14ac:dyDescent="0.2">
      <c r="V159" s="828">
        <f t="shared" si="4"/>
        <v>90</v>
      </c>
      <c r="W159" s="841">
        <f>SUM('Løp 1:Løp 29'!AC45)</f>
        <v>1</v>
      </c>
      <c r="Y159" s="844">
        <f t="shared" si="3"/>
        <v>8.8573959255978746E-2</v>
      </c>
    </row>
    <row r="160" spans="4:25" x14ac:dyDescent="0.2">
      <c r="V160" s="828">
        <f t="shared" si="4"/>
        <v>91</v>
      </c>
      <c r="W160" s="841">
        <f>SUM('Løp 1:Løp 29'!AC46)</f>
        <v>0</v>
      </c>
      <c r="Y160" s="844">
        <f t="shared" si="3"/>
        <v>0</v>
      </c>
    </row>
    <row r="161" spans="4:25" x14ac:dyDescent="0.2">
      <c r="D161" s="201"/>
      <c r="V161" s="828">
        <f t="shared" si="4"/>
        <v>92</v>
      </c>
      <c r="W161" s="841">
        <f>SUM('Løp 1:Løp 29'!AC47)</f>
        <v>0</v>
      </c>
      <c r="Y161" s="844">
        <f t="shared" si="3"/>
        <v>0</v>
      </c>
    </row>
    <row r="162" spans="4:25" x14ac:dyDescent="0.2">
      <c r="V162" s="828">
        <f t="shared" si="4"/>
        <v>93</v>
      </c>
      <c r="W162" s="841">
        <f>SUM('Løp 1:Løp 29'!AC48)</f>
        <v>0</v>
      </c>
      <c r="Y162" s="844">
        <f t="shared" si="3"/>
        <v>0</v>
      </c>
    </row>
    <row r="163" spans="4:25" x14ac:dyDescent="0.2">
      <c r="V163" s="828">
        <f t="shared" si="4"/>
        <v>94</v>
      </c>
      <c r="W163" s="841">
        <f>SUM('Løp 1:Løp 29'!AC49)</f>
        <v>1</v>
      </c>
      <c r="Y163" s="844">
        <f t="shared" si="3"/>
        <v>8.8573959255978746E-2</v>
      </c>
    </row>
    <row r="164" spans="4:25" ht="17" thickBot="1" x14ac:dyDescent="0.25">
      <c r="V164" s="830">
        <f t="shared" si="4"/>
        <v>95</v>
      </c>
      <c r="W164" s="842">
        <f>SUM('Løp 1:Løp 29'!AC50)</f>
        <v>0</v>
      </c>
      <c r="Y164" s="845">
        <f t="shared" si="3"/>
        <v>0</v>
      </c>
    </row>
    <row r="165" spans="4:25" ht="17" thickTop="1" x14ac:dyDescent="0.2">
      <c r="W165" s="15"/>
    </row>
    <row r="167" spans="4:25" x14ac:dyDescent="0.2">
      <c r="W167">
        <f>SUM(W124:W164)</f>
        <v>1127</v>
      </c>
    </row>
  </sheetData>
  <autoFilter ref="C9:DA100" xr:uid="{0A94CC84-26A1-524F-AB89-A55AB865F2A2}">
    <sortState xmlns:xlrd2="http://schemas.microsoft.com/office/spreadsheetml/2017/richdata2" ref="C10:DA100">
      <sortCondition descending="1" ref="Q9:Q100"/>
    </sortState>
  </autoFilter>
  <mergeCells count="92">
    <mergeCell ref="G5:G8"/>
    <mergeCell ref="Y5:Z5"/>
    <mergeCell ref="AB5:AC5"/>
    <mergeCell ref="S5:T5"/>
    <mergeCell ref="V5:W5"/>
    <mergeCell ref="S6:T6"/>
    <mergeCell ref="S7:T7"/>
    <mergeCell ref="J5:K7"/>
    <mergeCell ref="M5:N7"/>
    <mergeCell ref="V6:W6"/>
    <mergeCell ref="V7:W7"/>
    <mergeCell ref="Y6:Z6"/>
    <mergeCell ref="Y7:Z7"/>
    <mergeCell ref="AB6:AC6"/>
    <mergeCell ref="H5:H8"/>
    <mergeCell ref="AB7:AC7"/>
    <mergeCell ref="AQ7:AR7"/>
    <mergeCell ref="AT7:AU7"/>
    <mergeCell ref="AE5:AF5"/>
    <mergeCell ref="AH5:AI5"/>
    <mergeCell ref="AK5:AL5"/>
    <mergeCell ref="AE7:AF7"/>
    <mergeCell ref="AH7:AI7"/>
    <mergeCell ref="AK7:AL7"/>
    <mergeCell ref="AE6:AF6"/>
    <mergeCell ref="AH6:AI6"/>
    <mergeCell ref="AK6:AL6"/>
    <mergeCell ref="AN5:AO5"/>
    <mergeCell ref="AN6:AO6"/>
    <mergeCell ref="AN7:AO7"/>
    <mergeCell ref="AQ6:AR6"/>
    <mergeCell ref="AT6:AU6"/>
    <mergeCell ref="AW7:AX7"/>
    <mergeCell ref="AZ7:BA7"/>
    <mergeCell ref="AW6:AX6"/>
    <mergeCell ref="AZ6:BA6"/>
    <mergeCell ref="BC6:BD6"/>
    <mergeCell ref="AW5:AX5"/>
    <mergeCell ref="AZ5:BA5"/>
    <mergeCell ref="BO5:BP5"/>
    <mergeCell ref="AQ5:AR5"/>
    <mergeCell ref="AT5:AU5"/>
    <mergeCell ref="BX7:BY7"/>
    <mergeCell ref="CJ5:CK5"/>
    <mergeCell ref="BO7:BP7"/>
    <mergeCell ref="BC5:BD5"/>
    <mergeCell ref="BF5:BG5"/>
    <mergeCell ref="BI5:BJ5"/>
    <mergeCell ref="BL5:BM5"/>
    <mergeCell ref="BF6:BG6"/>
    <mergeCell ref="BI6:BJ6"/>
    <mergeCell ref="BL6:BM6"/>
    <mergeCell ref="BO6:BP6"/>
    <mergeCell ref="BF7:BG7"/>
    <mergeCell ref="BI7:BJ7"/>
    <mergeCell ref="BL7:BM7"/>
    <mergeCell ref="BC7:BD7"/>
    <mergeCell ref="CD7:CE7"/>
    <mergeCell ref="CM6:CN6"/>
    <mergeCell ref="CP6:CQ6"/>
    <mergeCell ref="CV6:CW6"/>
    <mergeCell ref="CM5:CN5"/>
    <mergeCell ref="CP5:CQ5"/>
    <mergeCell ref="CV5:CW5"/>
    <mergeCell ref="CG6:CH6"/>
    <mergeCell ref="CJ6:CK6"/>
    <mergeCell ref="CG7:CH7"/>
    <mergeCell ref="CJ7:CK7"/>
    <mergeCell ref="CG5:CH5"/>
    <mergeCell ref="P5:Q6"/>
    <mergeCell ref="CM7:CN7"/>
    <mergeCell ref="CP7:CQ7"/>
    <mergeCell ref="BR5:BS5"/>
    <mergeCell ref="BU5:BV5"/>
    <mergeCell ref="BX5:BY5"/>
    <mergeCell ref="CA6:CB6"/>
    <mergeCell ref="CD6:CE6"/>
    <mergeCell ref="BR6:BS6"/>
    <mergeCell ref="BU6:BV6"/>
    <mergeCell ref="BX6:BY6"/>
    <mergeCell ref="BR7:BS7"/>
    <mergeCell ref="BU7:BV7"/>
    <mergeCell ref="CA5:CB5"/>
    <mergeCell ref="CD5:CE5"/>
    <mergeCell ref="CA7:CB7"/>
    <mergeCell ref="CY5:CZ5"/>
    <mergeCell ref="CY6:CZ6"/>
    <mergeCell ref="CY7:CZ7"/>
    <mergeCell ref="CS5:CT5"/>
    <mergeCell ref="CS6:CT6"/>
    <mergeCell ref="CS7:CT7"/>
    <mergeCell ref="CV7:CW7"/>
  </mergeCells>
  <pageMargins left="0.7" right="0.7" top="0.75" bottom="0.75" header="0.3" footer="0.3"/>
  <pageSetup paperSize="9" orientation="portrait" horizontalDpi="0" verticalDpi="0"/>
  <drawing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F5551-D1F1-E740-A5B8-84D405E5F421}">
  <dimension ref="B1:AC110"/>
  <sheetViews>
    <sheetView topLeftCell="A58" workbookViewId="0">
      <selection activeCell="Y50" sqref="Y50"/>
    </sheetView>
  </sheetViews>
  <sheetFormatPr baseColWidth="10" defaultColWidth="10.83203125" defaultRowHeight="16" x14ac:dyDescent="0.2"/>
  <cols>
    <col min="3" max="3" width="14.5" customWidth="1"/>
    <col min="4" max="4" width="20.1640625" customWidth="1"/>
    <col min="5" max="5" width="20.1640625" hidden="1" customWidth="1"/>
    <col min="6" max="6" width="14.5" style="15" customWidth="1"/>
    <col min="7" max="7" width="14.5" style="15" hidden="1" customWidth="1"/>
    <col min="8" max="8" width="14" style="15" customWidth="1"/>
    <col min="9" max="10" width="19.1640625" style="15" customWidth="1"/>
    <col min="11" max="11" width="17.6640625" style="15" customWidth="1"/>
    <col min="12" max="12" width="10.83203125" style="15"/>
    <col min="14" max="14" width="10.83203125" style="15"/>
    <col min="18" max="18" width="12.5" customWidth="1"/>
    <col min="19" max="19" width="13.5" customWidth="1"/>
    <col min="22" max="22" width="1.83203125" customWidth="1"/>
    <col min="23" max="23" width="15.83203125" customWidth="1"/>
    <col min="24" max="24" width="11" customWidth="1"/>
  </cols>
  <sheetData>
    <row r="1" spans="2:29" ht="8" customHeight="1" x14ac:dyDescent="0.2"/>
    <row r="2" spans="2:29" ht="8" customHeight="1" x14ac:dyDescent="0.2"/>
    <row r="5" spans="2:29" ht="26" x14ac:dyDescent="0.3">
      <c r="B5" s="21" t="s">
        <v>323</v>
      </c>
      <c r="C5" s="245" t="s">
        <v>392</v>
      </c>
      <c r="F5" s="667"/>
      <c r="G5" s="667"/>
      <c r="H5" s="671" t="s">
        <v>189</v>
      </c>
      <c r="I5" s="670">
        <f>'Løp 14'!I5+7</f>
        <v>46035</v>
      </c>
    </row>
    <row r="6" spans="2:29" ht="17" thickBot="1" x14ac:dyDescent="0.25">
      <c r="B6" s="15"/>
    </row>
    <row r="7" spans="2:29" ht="59" customHeight="1" thickBot="1" x14ac:dyDescent="0.35">
      <c r="B7" s="12" t="s">
        <v>194</v>
      </c>
      <c r="C7" s="662" t="s">
        <v>57</v>
      </c>
      <c r="D7" s="391" t="s">
        <v>58</v>
      </c>
      <c r="E7" s="663"/>
      <c r="F7" s="663" t="s">
        <v>234</v>
      </c>
      <c r="G7" s="391" t="s">
        <v>280</v>
      </c>
      <c r="H7" s="391" t="s">
        <v>235</v>
      </c>
      <c r="I7" s="391" t="s">
        <v>302</v>
      </c>
      <c r="J7" s="391" t="s">
        <v>303</v>
      </c>
      <c r="K7" s="391" t="s">
        <v>192</v>
      </c>
      <c r="L7" s="194" t="s">
        <v>209</v>
      </c>
      <c r="M7" s="392" t="s">
        <v>55</v>
      </c>
      <c r="N7" s="393" t="s">
        <v>242</v>
      </c>
      <c r="O7" s="393" t="s">
        <v>240</v>
      </c>
      <c r="Q7" s="319"/>
      <c r="R7" s="319"/>
      <c r="S7" s="755" t="str">
        <f>B5</f>
        <v>Løp 15</v>
      </c>
      <c r="T7" s="754" t="str">
        <f>C5</f>
        <v>Risvollan</v>
      </c>
      <c r="U7" s="730"/>
      <c r="V7" s="730"/>
      <c r="W7" s="941"/>
      <c r="X7" s="941"/>
    </row>
    <row r="8" spans="2:29" ht="23" customHeight="1" thickTop="1" thickBot="1" x14ac:dyDescent="0.35">
      <c r="B8" s="22"/>
      <c r="C8" s="394"/>
      <c r="D8" s="395"/>
      <c r="E8" s="597"/>
      <c r="F8" s="668"/>
      <c r="G8" s="668"/>
      <c r="H8" s="664"/>
      <c r="I8" s="789">
        <v>2.1</v>
      </c>
      <c r="J8" s="789">
        <v>3.3</v>
      </c>
      <c r="K8" s="391"/>
      <c r="N8" s="720"/>
      <c r="O8" s="390"/>
      <c r="S8" s="942" t="s">
        <v>312</v>
      </c>
      <c r="T8" s="943"/>
      <c r="U8" s="944"/>
      <c r="V8" s="779"/>
      <c r="W8" s="945" t="s">
        <v>313</v>
      </c>
      <c r="X8" s="940"/>
      <c r="AB8" s="836" t="s">
        <v>361</v>
      </c>
      <c r="AC8" s="827"/>
    </row>
    <row r="9" spans="2:29" ht="21" thickBot="1" x14ac:dyDescent="0.3">
      <c r="B9" s="22"/>
      <c r="C9" s="109"/>
      <c r="D9" s="105"/>
      <c r="E9" s="598"/>
      <c r="F9" s="669"/>
      <c r="G9" s="669"/>
      <c r="H9" s="665"/>
      <c r="I9" s="12"/>
      <c r="J9" s="12"/>
      <c r="K9" s="12"/>
      <c r="N9" s="722"/>
      <c r="O9" s="200"/>
      <c r="Q9" s="110"/>
      <c r="S9" s="731"/>
      <c r="T9" s="727" t="s">
        <v>311</v>
      </c>
      <c r="U9" s="750" t="s">
        <v>55</v>
      </c>
      <c r="V9" s="780"/>
      <c r="W9" s="774"/>
      <c r="X9" s="732" t="s">
        <v>55</v>
      </c>
      <c r="AB9" s="834" t="s">
        <v>234</v>
      </c>
      <c r="AC9" s="835" t="s">
        <v>362</v>
      </c>
    </row>
    <row r="10" spans="2:29" ht="21" thickBot="1" x14ac:dyDescent="0.3">
      <c r="B10" s="16">
        <f t="shared" ref="B10:B73" si="0">B9+1</f>
        <v>1</v>
      </c>
      <c r="C10" s="106" t="s">
        <v>138</v>
      </c>
      <c r="D10" s="107" t="s">
        <v>137</v>
      </c>
      <c r="E10" s="599" t="str">
        <f t="shared" ref="E10:E41" si="1">_xlfn.CONCAT(C10:D10)</f>
        <v>GunnhildOftedal</v>
      </c>
      <c r="F10" s="192">
        <f>YEAR(I$5)-_xlfn.XLOOKUP(E10,Deltakerliste!E$5:E$98,Deltakerliste!I$5:I$98)</f>
        <v>73</v>
      </c>
      <c r="G10" s="192">
        <f>_xlfn.XLOOKUP(E10,Deltakerliste!E$5:E$98,Deltakerliste!H$5:H$98)</f>
        <v>4</v>
      </c>
      <c r="H10" s="592">
        <f>VLOOKUP(F10,Deltakerliste!P$6:T$84,G10,FALSE)</f>
        <v>2.0798000000000014</v>
      </c>
      <c r="I10" s="13"/>
      <c r="J10" s="13">
        <v>3.2812500000000001E-2</v>
      </c>
      <c r="K10" s="13"/>
      <c r="L10" s="600">
        <f t="shared" ref="L10:L48" si="2">IF(OR(I10="Arr",J10="Arr",K10="Arr"),"Arr",IF(OR(I10="Brutt",J10="Brutt",K10="Brutt"),"Brutt",IF(OR(I10="Løype",J10="Løype",K10="Løype"),"Løype",IF(I10&gt;0,I10/I$8,J10/J$8))))</f>
        <v>9.9431818181818198E-3</v>
      </c>
      <c r="M10" s="594">
        <f>IF(L10="Løype",Poengsammendrag!$F$2,IF(L10="Arr",Poengsammendrag!$F$3,IF(L10="Brutt",50,IF(L10="Disk",50,ROUND(MAXA(100*(MIN(L$10:L$92)/L10),50),0)))))</f>
        <v>87</v>
      </c>
      <c r="N10" s="724">
        <f t="shared" ref="N10:N48" si="3">IF(L10="Arr","Arr",IF(L10="Brutt","Brutt",IF(L10="Løype","Løype",L10/H10)))</f>
        <v>4.7808355698537421E-3</v>
      </c>
      <c r="O10" s="596">
        <f>IF(N10="Løype",Poengsammendrag!$F$2,IF(N10="Arr",Poengsammendrag!$F$3,IF(N10="Brutt",50,IF(N10="Disk",50,ROUND(MAXA(100*(MIN(N$10:N$92)/N10),50),0)))))</f>
        <v>100</v>
      </c>
      <c r="Q10" s="672"/>
      <c r="R10" s="672"/>
      <c r="S10" s="802" t="s">
        <v>386</v>
      </c>
      <c r="T10" s="734">
        <v>8.6279461279461286E-3</v>
      </c>
      <c r="U10" s="751">
        <v>100</v>
      </c>
      <c r="V10" s="781"/>
      <c r="W10" s="775" t="s">
        <v>138</v>
      </c>
      <c r="X10" s="739">
        <v>100</v>
      </c>
      <c r="AB10" s="832">
        <v>55</v>
      </c>
      <c r="AC10" s="833">
        <f t="shared" ref="AC10:AC50" si="4">COUNTIFS(F$10:F$96,AB10,M$10:M$96,"&gt;0")</f>
        <v>0</v>
      </c>
    </row>
    <row r="11" spans="2:29" ht="21" customHeight="1" thickBot="1" x14ac:dyDescent="0.3">
      <c r="B11" s="16">
        <f t="shared" si="0"/>
        <v>2</v>
      </c>
      <c r="C11" s="106" t="s">
        <v>64</v>
      </c>
      <c r="D11" s="107" t="s">
        <v>65</v>
      </c>
      <c r="E11" s="599" t="str">
        <f t="shared" si="1"/>
        <v>BjørnBerger</v>
      </c>
      <c r="F11" s="192">
        <f>YEAR(I$5)-_xlfn.XLOOKUP(E11,Deltakerliste!E$5:E$98,Deltakerliste!I$5:I$98)</f>
        <v>75</v>
      </c>
      <c r="G11" s="192">
        <f>_xlfn.XLOOKUP(E11,Deltakerliste!E$5:E$98,Deltakerliste!H$5:H$98)</f>
        <v>2</v>
      </c>
      <c r="H11" s="592">
        <f>VLOOKUP(F11,Deltakerliste!P$6:T$84,G11,FALSE)</f>
        <v>1.605</v>
      </c>
      <c r="I11" s="13"/>
      <c r="J11" s="13">
        <v>2.8506944444444446E-2</v>
      </c>
      <c r="K11" s="19"/>
      <c r="L11" s="600">
        <f t="shared" si="2"/>
        <v>8.6384680134680147E-3</v>
      </c>
      <c r="M11" s="594">
        <f>IF(L11="Løype",Poengsammendrag!$F$2,IF(L11="Arr",Poengsammendrag!$F$3,IF(L11="Brutt",50,IF(L11="Disk",50,ROUND(MAXA(100*(MIN(L$10:L$92)/L11),50),0)))))</f>
        <v>100</v>
      </c>
      <c r="N11" s="724">
        <f t="shared" si="3"/>
        <v>5.3822230613507884E-3</v>
      </c>
      <c r="O11" s="596">
        <f>IF(N11="Løype",Poengsammendrag!$F$2,IF(N11="Arr",Poengsammendrag!$F$3,IF(N11="Brutt",50,IF(N11="Disk",50,ROUND(MAXA(100*(MIN(N$10:N$92)/N11),50),0)))))</f>
        <v>89</v>
      </c>
      <c r="Q11" s="672"/>
      <c r="R11" s="672"/>
      <c r="S11" s="803" t="s">
        <v>380</v>
      </c>
      <c r="T11" s="736">
        <v>8.6384680134680147E-3</v>
      </c>
      <c r="U11" s="752">
        <v>100</v>
      </c>
      <c r="V11" s="781"/>
      <c r="W11" s="776" t="s">
        <v>380</v>
      </c>
      <c r="X11" s="740">
        <v>89</v>
      </c>
      <c r="AB11" s="828">
        <f>AB10+1</f>
        <v>56</v>
      </c>
      <c r="AC11" s="829">
        <f t="shared" si="4"/>
        <v>0</v>
      </c>
    </row>
    <row r="12" spans="2:29" ht="21" customHeight="1" thickBot="1" x14ac:dyDescent="0.3">
      <c r="B12" s="16">
        <f t="shared" si="0"/>
        <v>3</v>
      </c>
      <c r="C12" s="106" t="s">
        <v>126</v>
      </c>
      <c r="D12" s="107" t="s">
        <v>127</v>
      </c>
      <c r="E12" s="599" t="str">
        <f t="shared" si="1"/>
        <v>ArneMikkelsen</v>
      </c>
      <c r="F12" s="192">
        <f>YEAR(I$5)-_xlfn.XLOOKUP(E12,Deltakerliste!E$5:E$98,Deltakerliste!I$5:I$98)</f>
        <v>73</v>
      </c>
      <c r="G12" s="192">
        <f>_xlfn.XLOOKUP(E12,Deltakerliste!E$5:E$98,Deltakerliste!H$5:H$98)</f>
        <v>2</v>
      </c>
      <c r="H12" s="592">
        <f>VLOOKUP(F12,Deltakerliste!P$6:T$84,G12,FALSE)</f>
        <v>1.5329999999999999</v>
      </c>
      <c r="I12" s="13"/>
      <c r="J12" s="13">
        <v>2.8472222222222222E-2</v>
      </c>
      <c r="K12" s="13"/>
      <c r="L12" s="600">
        <f t="shared" si="2"/>
        <v>8.6279461279461286E-3</v>
      </c>
      <c r="M12" s="594">
        <f>IF(L12="Løype",Poengsammendrag!$F$2,IF(L12="Arr",Poengsammendrag!$F$3,IF(L12="Brutt",50,IF(L12="Disk",50,ROUND(MAXA(100*(MIN(L$10:L$92)/L12),50),0)))))</f>
        <v>100</v>
      </c>
      <c r="N12" s="724">
        <f t="shared" si="3"/>
        <v>5.628144897551291E-3</v>
      </c>
      <c r="O12" s="596">
        <f>IF(N12="Løype",Poengsammendrag!$F$2,IF(N12="Arr",Poengsammendrag!$F$3,IF(N12="Brutt",50,IF(N12="Disk",50,ROUND(MAXA(100*(MIN(N$10:N$92)/N12),50),0)))))</f>
        <v>85</v>
      </c>
      <c r="Q12" s="672"/>
      <c r="R12" s="672"/>
      <c r="S12" s="803" t="s">
        <v>368</v>
      </c>
      <c r="T12" s="736">
        <v>8.7086139169472495E-3</v>
      </c>
      <c r="U12" s="752">
        <v>99</v>
      </c>
      <c r="V12" s="781"/>
      <c r="W12" s="776" t="s">
        <v>386</v>
      </c>
      <c r="X12" s="740">
        <v>85</v>
      </c>
      <c r="AB12" s="828">
        <f t="shared" ref="AB12:AB50" si="5">AB11+1</f>
        <v>57</v>
      </c>
      <c r="AC12" s="829">
        <f t="shared" si="4"/>
        <v>0</v>
      </c>
    </row>
    <row r="13" spans="2:29" ht="21" customHeight="1" thickBot="1" x14ac:dyDescent="0.3">
      <c r="B13" s="16">
        <f t="shared" si="0"/>
        <v>4</v>
      </c>
      <c r="C13" s="106" t="s">
        <v>149</v>
      </c>
      <c r="D13" s="107" t="s">
        <v>150</v>
      </c>
      <c r="E13" s="599" t="str">
        <f t="shared" si="1"/>
        <v>BenteSkorge</v>
      </c>
      <c r="F13" s="192">
        <f>YEAR(I$5)-_xlfn.XLOOKUP(E13,Deltakerliste!E$5:E$98,Deltakerliste!I$5:I$98)</f>
        <v>67</v>
      </c>
      <c r="G13" s="192">
        <f>_xlfn.XLOOKUP(E13,Deltakerliste!E$5:E$98,Deltakerliste!H$5:H$98)</f>
        <v>4</v>
      </c>
      <c r="H13" s="592">
        <f>VLOOKUP(F13,Deltakerliste!P$6:T$84,G13,FALSE)</f>
        <v>1.8422000000000009</v>
      </c>
      <c r="I13" s="132"/>
      <c r="J13" s="132">
        <v>3.528935185185185E-2</v>
      </c>
      <c r="K13" s="18"/>
      <c r="L13" s="600">
        <f t="shared" si="2"/>
        <v>1.0693742985409652E-2</v>
      </c>
      <c r="M13" s="594">
        <f>IF(L13="Løype",Poengsammendrag!$F$2,IF(L13="Arr",Poengsammendrag!$F$3,IF(L13="Brutt",50,IF(L13="Disk",50,ROUND(MAXA(100*(MIN(L$10:L$92)/L13),50),0)))))</f>
        <v>81</v>
      </c>
      <c r="N13" s="724">
        <f t="shared" si="3"/>
        <v>5.8048762270164192E-3</v>
      </c>
      <c r="O13" s="596">
        <f>IF(N13="Løype",Poengsammendrag!$F$2,IF(N13="Arr",Poengsammendrag!$F$3,IF(N13="Brutt",50,IF(N13="Disk",50,ROUND(MAXA(100*(MIN(N$10:N$92)/N13),50),0)))))</f>
        <v>82</v>
      </c>
      <c r="Q13" s="672"/>
      <c r="R13" s="672"/>
      <c r="S13" s="803" t="s">
        <v>222</v>
      </c>
      <c r="T13" s="736">
        <v>8.747194163860831E-3</v>
      </c>
      <c r="U13" s="752">
        <v>99</v>
      </c>
      <c r="V13" s="781"/>
      <c r="W13" s="776" t="s">
        <v>149</v>
      </c>
      <c r="X13" s="740">
        <v>82</v>
      </c>
      <c r="AB13" s="828">
        <f t="shared" si="5"/>
        <v>58</v>
      </c>
      <c r="AC13" s="829">
        <f t="shared" si="4"/>
        <v>0</v>
      </c>
    </row>
    <row r="14" spans="2:29" ht="21" customHeight="1" thickBot="1" x14ac:dyDescent="0.3">
      <c r="B14" s="16">
        <f t="shared" si="0"/>
        <v>5</v>
      </c>
      <c r="C14" s="106" t="s">
        <v>118</v>
      </c>
      <c r="D14" s="107" t="s">
        <v>119</v>
      </c>
      <c r="E14" s="599" t="str">
        <f t="shared" si="1"/>
        <v>KnutLillealtern</v>
      </c>
      <c r="F14" s="192">
        <f>YEAR(I$5)-_xlfn.XLOOKUP(E14,Deltakerliste!E$5:E$98,Deltakerliste!I$5:I$98)</f>
        <v>77</v>
      </c>
      <c r="G14" s="192">
        <f>_xlfn.XLOOKUP(E14,Deltakerliste!E$5:E$98,Deltakerliste!H$5:H$98)</f>
        <v>2</v>
      </c>
      <c r="H14" s="592">
        <f>VLOOKUP(F14,Deltakerliste!P$6:T$84,G14,FALSE)</f>
        <v>1.7050000000000001</v>
      </c>
      <c r="I14" s="13"/>
      <c r="J14" s="13">
        <v>3.3113425925925928E-2</v>
      </c>
      <c r="K14" s="17"/>
      <c r="L14" s="600">
        <f t="shared" si="2"/>
        <v>1.0034371492704827E-2</v>
      </c>
      <c r="M14" s="594">
        <f>IF(L14="Løype",Poengsammendrag!$F$2,IF(L14="Arr",Poengsammendrag!$F$3,IF(L14="Brutt",50,IF(L14="Disk",50,ROUND(MAXA(100*(MIN(L$10:L$92)/L14),50),0)))))</f>
        <v>86</v>
      </c>
      <c r="N14" s="724">
        <f t="shared" si="3"/>
        <v>5.8852618725541506E-3</v>
      </c>
      <c r="O14" s="596">
        <f>IF(N14="Løype",Poengsammendrag!$F$2,IF(N14="Arr",Poengsammendrag!$F$3,IF(N14="Brutt",50,IF(N14="Disk",50,ROUND(MAXA(100*(MIN(N$10:N$92)/N14),50),0)))))</f>
        <v>81</v>
      </c>
      <c r="Q14" s="672"/>
      <c r="R14" s="672"/>
      <c r="S14" s="803" t="s">
        <v>385</v>
      </c>
      <c r="T14" s="736">
        <v>8.7857744107744124E-3</v>
      </c>
      <c r="U14" s="752">
        <v>98</v>
      </c>
      <c r="V14" s="781"/>
      <c r="W14" s="776" t="s">
        <v>118</v>
      </c>
      <c r="X14" s="740">
        <v>81</v>
      </c>
      <c r="AB14" s="828">
        <f t="shared" si="5"/>
        <v>59</v>
      </c>
      <c r="AC14" s="829">
        <f t="shared" si="4"/>
        <v>0</v>
      </c>
    </row>
    <row r="15" spans="2:29" ht="21" customHeight="1" thickBot="1" x14ac:dyDescent="0.3">
      <c r="B15" s="16">
        <f t="shared" si="0"/>
        <v>6</v>
      </c>
      <c r="C15" s="106" t="s">
        <v>114</v>
      </c>
      <c r="D15" s="107" t="s">
        <v>115</v>
      </c>
      <c r="E15" s="599" t="str">
        <f t="shared" si="1"/>
        <v>MagnusLandstad</v>
      </c>
      <c r="F15" s="192">
        <f>YEAR(I$5)-_xlfn.XLOOKUP(E15,Deltakerliste!E$5:E$98,Deltakerliste!I$5:I$98)</f>
        <v>83</v>
      </c>
      <c r="G15" s="192">
        <f>_xlfn.XLOOKUP(E15,Deltakerliste!E$5:E$98,Deltakerliste!H$5:H$98)</f>
        <v>2</v>
      </c>
      <c r="H15" s="592">
        <f>VLOOKUP(F15,Deltakerliste!P$6:T$84,G15,FALSE)</f>
        <v>2.077</v>
      </c>
      <c r="I15" s="86"/>
      <c r="J15" s="86">
        <v>4.0960648148148149E-2</v>
      </c>
      <c r="K15" s="13"/>
      <c r="L15" s="600">
        <f t="shared" si="2"/>
        <v>1.2412317620650955E-2</v>
      </c>
      <c r="M15" s="594">
        <f>IF(L15="Løype",Poengsammendrag!$F$2,IF(L15="Arr",Poengsammendrag!$F$3,IF(L15="Brutt",50,IF(L15="Disk",50,ROUND(MAXA(100*(MIN(L$10:L$92)/L15),50),0)))))</f>
        <v>70</v>
      </c>
      <c r="N15" s="724">
        <f t="shared" si="3"/>
        <v>5.9760797403230403E-3</v>
      </c>
      <c r="O15" s="596">
        <f>IF(N15="Løype",Poengsammendrag!$F$2,IF(N15="Arr",Poengsammendrag!$F$3,IF(N15="Brutt",50,IF(N15="Disk",50,ROUND(MAXA(100*(MIN(N$10:N$92)/N15),50),0)))))</f>
        <v>80</v>
      </c>
      <c r="Q15" s="672"/>
      <c r="R15" s="672"/>
      <c r="S15" s="803" t="s">
        <v>134</v>
      </c>
      <c r="T15" s="736">
        <v>9.1154601571268243E-3</v>
      </c>
      <c r="U15" s="752">
        <v>95</v>
      </c>
      <c r="V15" s="781"/>
      <c r="W15" s="776" t="s">
        <v>114</v>
      </c>
      <c r="X15" s="740">
        <v>80</v>
      </c>
      <c r="AB15" s="828">
        <f t="shared" si="5"/>
        <v>60</v>
      </c>
      <c r="AC15" s="829">
        <f t="shared" si="4"/>
        <v>1</v>
      </c>
    </row>
    <row r="16" spans="2:29" ht="21" customHeight="1" thickBot="1" x14ac:dyDescent="0.3">
      <c r="B16" s="16">
        <f t="shared" si="0"/>
        <v>7</v>
      </c>
      <c r="C16" s="106" t="s">
        <v>88</v>
      </c>
      <c r="D16" s="107" t="s">
        <v>89</v>
      </c>
      <c r="E16" s="599" t="str">
        <f t="shared" si="1"/>
        <v>EdgarFuruholt</v>
      </c>
      <c r="F16" s="192">
        <f>YEAR(I$5)-_xlfn.XLOOKUP(E16,Deltakerliste!E$5:E$98,Deltakerliste!I$5:I$98)</f>
        <v>79</v>
      </c>
      <c r="G16" s="192">
        <f>_xlfn.XLOOKUP(E16,Deltakerliste!E$5:E$98,Deltakerliste!H$5:H$98)</f>
        <v>2</v>
      </c>
      <c r="H16" s="592">
        <f>VLOOKUP(F16,Deltakerliste!P$6:T$84,G16,FALSE)</f>
        <v>1.8050000000000002</v>
      </c>
      <c r="I16" s="18"/>
      <c r="J16" s="132">
        <v>3.5682870370370372E-2</v>
      </c>
      <c r="K16" s="18"/>
      <c r="L16" s="600">
        <f t="shared" si="2"/>
        <v>1.0812991021324356E-2</v>
      </c>
      <c r="M16" s="594">
        <f>IF(L16="Løype",Poengsammendrag!$F$2,IF(L16="Arr",Poengsammendrag!$F$3,IF(L16="Brutt",50,IF(L16="Disk",50,ROUND(MAXA(100*(MIN(L$10:L$92)/L16),50),0)))))</f>
        <v>80</v>
      </c>
      <c r="N16" s="724">
        <f t="shared" si="3"/>
        <v>5.9905767431159863E-3</v>
      </c>
      <c r="O16" s="596">
        <f>IF(N16="Løype",Poengsammendrag!$F$2,IF(N16="Arr",Poengsammendrag!$F$3,IF(N16="Brutt",50,IF(N16="Disk",50,ROUND(MAXA(100*(MIN(N$10:N$92)/N16),50),0)))))</f>
        <v>80</v>
      </c>
      <c r="Q16" s="672"/>
      <c r="R16" s="672"/>
      <c r="S16" s="803" t="s">
        <v>138</v>
      </c>
      <c r="T16" s="736">
        <v>9.9431818181818198E-3</v>
      </c>
      <c r="U16" s="752">
        <v>87</v>
      </c>
      <c r="V16" s="781"/>
      <c r="W16" s="776" t="s">
        <v>88</v>
      </c>
      <c r="X16" s="740">
        <v>80</v>
      </c>
      <c r="AB16" s="828">
        <f t="shared" si="5"/>
        <v>61</v>
      </c>
      <c r="AC16" s="829">
        <f t="shared" si="4"/>
        <v>1</v>
      </c>
    </row>
    <row r="17" spans="2:29" ht="21" customHeight="1" thickBot="1" x14ac:dyDescent="0.3">
      <c r="B17" s="16">
        <f t="shared" si="0"/>
        <v>8</v>
      </c>
      <c r="C17" s="106" t="s">
        <v>222</v>
      </c>
      <c r="D17" s="107" t="s">
        <v>221</v>
      </c>
      <c r="E17" s="599" t="str">
        <f t="shared" si="1"/>
        <v>Kjell Maroni</v>
      </c>
      <c r="F17" s="192">
        <f>YEAR(I$5)-_xlfn.XLOOKUP(E17,Deltakerliste!E$5:E$98,Deltakerliste!I$5:I$98)</f>
        <v>70</v>
      </c>
      <c r="G17" s="192">
        <f>_xlfn.XLOOKUP(E17,Deltakerliste!E$5:E$98,Deltakerliste!H$5:H$98)</f>
        <v>2</v>
      </c>
      <c r="H17" s="592">
        <f>VLOOKUP(F17,Deltakerliste!P$6:T$84,G17,FALSE)</f>
        <v>1.4249999999999998</v>
      </c>
      <c r="I17" s="13"/>
      <c r="J17" s="13">
        <v>2.886574074074074E-2</v>
      </c>
      <c r="K17" s="13"/>
      <c r="L17" s="600">
        <f t="shared" si="2"/>
        <v>8.747194163860831E-3</v>
      </c>
      <c r="M17" s="594">
        <f>IF(L17="Løype",Poengsammendrag!$F$2,IF(L17="Arr",Poengsammendrag!$F$3,IF(L17="Brutt",50,IF(L17="Disk",50,ROUND(MAXA(100*(MIN(L$10:L$92)/L17),50),0)))))</f>
        <v>99</v>
      </c>
      <c r="N17" s="724">
        <f t="shared" si="3"/>
        <v>6.1383818693760226E-3</v>
      </c>
      <c r="O17" s="596">
        <f>IF(N17="Løype",Poengsammendrag!$F$2,IF(N17="Arr",Poengsammendrag!$F$3,IF(N17="Brutt",50,IF(N17="Disk",50,ROUND(MAXA(100*(MIN(N$10:N$92)/N17),50),0)))))</f>
        <v>78</v>
      </c>
      <c r="Q17" s="672"/>
      <c r="R17" s="672"/>
      <c r="S17" s="803" t="s">
        <v>118</v>
      </c>
      <c r="T17" s="736">
        <v>1.0034371492704827E-2</v>
      </c>
      <c r="U17" s="752">
        <v>86</v>
      </c>
      <c r="V17" s="781"/>
      <c r="W17" s="776" t="s">
        <v>222</v>
      </c>
      <c r="X17" s="740">
        <v>78</v>
      </c>
      <c r="AB17" s="828">
        <f t="shared" si="5"/>
        <v>62</v>
      </c>
      <c r="AC17" s="829">
        <f t="shared" si="4"/>
        <v>0</v>
      </c>
    </row>
    <row r="18" spans="2:29" ht="21" customHeight="1" thickBot="1" x14ac:dyDescent="0.3">
      <c r="B18" s="16">
        <f t="shared" si="0"/>
        <v>9</v>
      </c>
      <c r="C18" s="106" t="s">
        <v>134</v>
      </c>
      <c r="D18" s="107" t="s">
        <v>135</v>
      </c>
      <c r="E18" s="599" t="str">
        <f t="shared" si="1"/>
        <v>IngeNørstebø</v>
      </c>
      <c r="F18" s="192">
        <f>YEAR(I$5)-_xlfn.XLOOKUP(E18,Deltakerliste!E$5:E$98,Deltakerliste!I$5:I$98)</f>
        <v>70</v>
      </c>
      <c r="G18" s="192">
        <f>_xlfn.XLOOKUP(E18,Deltakerliste!E$5:E$98,Deltakerliste!H$5:H$98)</f>
        <v>2</v>
      </c>
      <c r="H18" s="592">
        <f>VLOOKUP(F18,Deltakerliste!P$6:T$84,G18,FALSE)</f>
        <v>1.4249999999999998</v>
      </c>
      <c r="I18" s="13"/>
      <c r="J18" s="13">
        <v>3.0081018518518517E-2</v>
      </c>
      <c r="K18" s="13"/>
      <c r="L18" s="600">
        <f t="shared" si="2"/>
        <v>9.1154601571268243E-3</v>
      </c>
      <c r="M18" s="594">
        <f>IF(L18="Løype",Poengsammendrag!$F$2,IF(L18="Arr",Poengsammendrag!$F$3,IF(L18="Brutt",50,IF(L18="Disk",50,ROUND(MAXA(100*(MIN(L$10:L$92)/L18),50),0)))))</f>
        <v>95</v>
      </c>
      <c r="N18" s="724">
        <f t="shared" si="3"/>
        <v>6.3968141453521581E-3</v>
      </c>
      <c r="O18" s="596">
        <f>IF(N18="Løype",Poengsammendrag!$F$2,IF(N18="Arr",Poengsammendrag!$F$3,IF(N18="Brutt",50,IF(N18="Disk",50,ROUND(MAXA(100*(MIN(N$10:N$92)/N18),50),0)))))</f>
        <v>75</v>
      </c>
      <c r="Q18" s="672"/>
      <c r="R18" s="672"/>
      <c r="S18" s="803" t="s">
        <v>99</v>
      </c>
      <c r="T18" s="736">
        <v>1.0069444444444443E-2</v>
      </c>
      <c r="U18" s="752">
        <v>86</v>
      </c>
      <c r="V18" s="781"/>
      <c r="W18" s="776" t="s">
        <v>134</v>
      </c>
      <c r="X18" s="740">
        <v>75</v>
      </c>
      <c r="AB18" s="828">
        <f t="shared" si="5"/>
        <v>63</v>
      </c>
      <c r="AC18" s="829">
        <f t="shared" si="4"/>
        <v>0</v>
      </c>
    </row>
    <row r="19" spans="2:29" ht="21" thickBot="1" x14ac:dyDescent="0.3">
      <c r="B19" s="16">
        <f t="shared" si="0"/>
        <v>10</v>
      </c>
      <c r="C19" s="106" t="s">
        <v>163</v>
      </c>
      <c r="D19" s="107" t="s">
        <v>164</v>
      </c>
      <c r="E19" s="599" t="str">
        <f t="shared" si="1"/>
        <v>ArnulfVilmo</v>
      </c>
      <c r="F19" s="192">
        <f>YEAR(I$5)-_xlfn.XLOOKUP(E19,Deltakerliste!E$5:E$98,Deltakerliste!I$5:I$98)</f>
        <v>73</v>
      </c>
      <c r="G19" s="192">
        <f>_xlfn.XLOOKUP(E19,Deltakerliste!E$5:E$98,Deltakerliste!H$5:H$98)</f>
        <v>2</v>
      </c>
      <c r="H19" s="592">
        <f>VLOOKUP(F19,Deltakerliste!P$6:T$84,G19,FALSE)</f>
        <v>1.5329999999999999</v>
      </c>
      <c r="I19" s="18"/>
      <c r="J19" s="132">
        <v>3.3738425925925929E-2</v>
      </c>
      <c r="K19" s="18"/>
      <c r="L19" s="600">
        <f t="shared" si="2"/>
        <v>1.0223765432098767E-2</v>
      </c>
      <c r="M19" s="594">
        <f>IF(L19="Løype",Poengsammendrag!$F$2,IF(L19="Arr",Poengsammendrag!$F$3,IF(L19="Brutt",50,IF(L19="Disk",50,ROUND(MAXA(100*(MIN(L$10:L$92)/L19),50),0)))))</f>
        <v>84</v>
      </c>
      <c r="N19" s="724">
        <f t="shared" si="3"/>
        <v>6.6691229172203314E-3</v>
      </c>
      <c r="O19" s="596">
        <f>IF(N19="Løype",Poengsammendrag!$F$2,IF(N19="Arr",Poengsammendrag!$F$3,IF(N19="Brutt",50,IF(N19="Disk",50,ROUND(MAXA(100*(MIN(N$10:N$92)/N19),50),0)))))</f>
        <v>72</v>
      </c>
      <c r="Q19" s="672"/>
      <c r="R19" s="672"/>
      <c r="S19" s="803" t="s">
        <v>163</v>
      </c>
      <c r="T19" s="736">
        <v>1.0223765432098767E-2</v>
      </c>
      <c r="U19" s="752">
        <v>84</v>
      </c>
      <c r="V19" s="781"/>
      <c r="W19" s="776" t="s">
        <v>163</v>
      </c>
      <c r="X19" s="740">
        <v>72</v>
      </c>
      <c r="AB19" s="828">
        <f t="shared" si="5"/>
        <v>64</v>
      </c>
      <c r="AC19" s="829">
        <f t="shared" si="4"/>
        <v>0</v>
      </c>
    </row>
    <row r="20" spans="2:29" ht="21" thickBot="1" x14ac:dyDescent="0.3">
      <c r="B20" s="16">
        <f t="shared" si="0"/>
        <v>11</v>
      </c>
      <c r="C20" s="106" t="s">
        <v>124</v>
      </c>
      <c r="D20" s="107" t="s">
        <v>125</v>
      </c>
      <c r="E20" s="599" t="str">
        <f t="shared" si="1"/>
        <v>Heidi Midttun</v>
      </c>
      <c r="F20" s="192">
        <f>YEAR(I$5)-_xlfn.XLOOKUP(E20,Deltakerliste!E$5:E$98,Deltakerliste!I$5:I$98)</f>
        <v>71</v>
      </c>
      <c r="G20" s="192">
        <f>_xlfn.XLOOKUP(E20,Deltakerliste!E$5:E$98,Deltakerliste!H$5:H$98)</f>
        <v>4</v>
      </c>
      <c r="H20" s="592">
        <f>VLOOKUP(F20,Deltakerliste!P$6:T$84,G20,FALSE)</f>
        <v>1.9926000000000013</v>
      </c>
      <c r="I20" s="13">
        <v>2.8136574074074074E-2</v>
      </c>
      <c r="J20" s="13"/>
      <c r="K20" s="13"/>
      <c r="L20" s="600">
        <f t="shared" si="2"/>
        <v>1.3398368606701939E-2</v>
      </c>
      <c r="M20" s="594">
        <f>IF(L20="Løype",Poengsammendrag!$F$2,IF(L20="Arr",Poengsammendrag!$F$3,IF(L20="Brutt",50,IF(L20="Disk",50,ROUND(MAXA(100*(MIN(L$10:L$92)/L20),50),0)))))</f>
        <v>64</v>
      </c>
      <c r="N20" s="724">
        <f t="shared" si="3"/>
        <v>6.7240633377004576E-3</v>
      </c>
      <c r="O20" s="596">
        <f>IF(N20="Løype",Poengsammendrag!$F$2,IF(N20="Arr",Poengsammendrag!$F$3,IF(N20="Brutt",50,IF(N20="Disk",50,ROUND(MAXA(100*(MIN(N$10:N$92)/N20),50),0)))))</f>
        <v>71</v>
      </c>
      <c r="Q20" s="672"/>
      <c r="R20" s="672"/>
      <c r="S20" s="803" t="s">
        <v>136</v>
      </c>
      <c r="T20" s="736">
        <v>1.0637125220458553E-2</v>
      </c>
      <c r="U20" s="752">
        <v>81</v>
      </c>
      <c r="V20" s="781"/>
      <c r="W20" s="776" t="s">
        <v>124</v>
      </c>
      <c r="X20" s="740">
        <v>71</v>
      </c>
      <c r="AB20" s="828">
        <f t="shared" si="5"/>
        <v>65</v>
      </c>
      <c r="AC20" s="829">
        <f t="shared" si="4"/>
        <v>0</v>
      </c>
    </row>
    <row r="21" spans="2:29" ht="21" customHeight="1" thickBot="1" x14ac:dyDescent="0.3">
      <c r="B21" s="16">
        <f t="shared" si="0"/>
        <v>12</v>
      </c>
      <c r="C21" s="106" t="s">
        <v>136</v>
      </c>
      <c r="D21" s="107" t="s">
        <v>137</v>
      </c>
      <c r="E21" s="599" t="str">
        <f t="shared" si="1"/>
        <v>HaraldOftedal</v>
      </c>
      <c r="F21" s="192">
        <f>YEAR(I$5)-_xlfn.XLOOKUP(E21,Deltakerliste!E$5:E$98,Deltakerliste!I$5:I$98)</f>
        <v>74</v>
      </c>
      <c r="G21" s="192">
        <f>_xlfn.XLOOKUP(E21,Deltakerliste!E$5:E$98,Deltakerliste!H$5:H$98)</f>
        <v>2</v>
      </c>
      <c r="H21" s="592">
        <f>VLOOKUP(F21,Deltakerliste!P$6:T$84,G21,FALSE)</f>
        <v>1.569</v>
      </c>
      <c r="I21" s="132">
        <v>2.2337962962962962E-2</v>
      </c>
      <c r="J21" s="132"/>
      <c r="K21" s="134"/>
      <c r="L21" s="600">
        <f t="shared" si="2"/>
        <v>1.0637125220458553E-2</v>
      </c>
      <c r="M21" s="594">
        <f>IF(L21="Løype",Poengsammendrag!$F$2,IF(L21="Arr",Poengsammendrag!$F$3,IF(L21="Brutt",50,IF(L21="Disk",50,ROUND(MAXA(100*(MIN(L$10:L$92)/L21),50),0)))))</f>
        <v>81</v>
      </c>
      <c r="N21" s="724">
        <f t="shared" si="3"/>
        <v>6.7795571832113153E-3</v>
      </c>
      <c r="O21" s="596">
        <f>IF(N21="Løype",Poengsammendrag!$F$2,IF(N21="Arr",Poengsammendrag!$F$3,IF(N21="Brutt",50,IF(N21="Disk",50,ROUND(MAXA(100*(MIN(N$10:N$92)/N21),50),0)))))</f>
        <v>71</v>
      </c>
      <c r="Q21" s="672"/>
      <c r="R21" s="672"/>
      <c r="S21" s="803" t="s">
        <v>149</v>
      </c>
      <c r="T21" s="736">
        <v>1.0693742985409652E-2</v>
      </c>
      <c r="U21" s="752">
        <v>81</v>
      </c>
      <c r="V21" s="781"/>
      <c r="W21" s="776" t="s">
        <v>136</v>
      </c>
      <c r="X21" s="740">
        <v>71</v>
      </c>
      <c r="AB21" s="828">
        <f t="shared" si="5"/>
        <v>66</v>
      </c>
      <c r="AC21" s="829">
        <f t="shared" si="4"/>
        <v>0</v>
      </c>
    </row>
    <row r="22" spans="2:29" ht="21" customHeight="1" thickBot="1" x14ac:dyDescent="0.3">
      <c r="B22" s="16">
        <f t="shared" si="0"/>
        <v>13</v>
      </c>
      <c r="C22" s="106" t="s">
        <v>168</v>
      </c>
      <c r="D22" s="107" t="s">
        <v>169</v>
      </c>
      <c r="E22" s="599" t="str">
        <f t="shared" si="1"/>
        <v>SteinØvstedal</v>
      </c>
      <c r="F22" s="192">
        <f>YEAR(I$5)-_xlfn.XLOOKUP(E22,Deltakerliste!E$5:E$98,Deltakerliste!I$5:I$98)</f>
        <v>75</v>
      </c>
      <c r="G22" s="192">
        <f>_xlfn.XLOOKUP(E22,Deltakerliste!E$5:E$98,Deltakerliste!H$5:H$98)</f>
        <v>2</v>
      </c>
      <c r="H22" s="592">
        <f>VLOOKUP(F22,Deltakerliste!P$6:T$84,G22,FALSE)</f>
        <v>1.605</v>
      </c>
      <c r="I22" s="132"/>
      <c r="J22" s="132">
        <v>3.6099537037037034E-2</v>
      </c>
      <c r="K22" s="18"/>
      <c r="L22" s="600">
        <f t="shared" si="2"/>
        <v>1.093925364758698E-2</v>
      </c>
      <c r="M22" s="594">
        <f>IF(L22="Løype",Poengsammendrag!$F$2,IF(L22="Arr",Poengsammendrag!$F$3,IF(L22="Brutt",50,IF(L22="Disk",50,ROUND(MAXA(100*(MIN(L$10:L$92)/L22),50),0)))))</f>
        <v>79</v>
      </c>
      <c r="N22" s="724">
        <f t="shared" si="3"/>
        <v>6.815734359867277E-3</v>
      </c>
      <c r="O22" s="596">
        <f>IF(N22="Løype",Poengsammendrag!$F$2,IF(N22="Arr",Poengsammendrag!$F$3,IF(N22="Brutt",50,IF(N22="Disk",50,ROUND(MAXA(100*(MIN(N$10:N$92)/N22),50),0)))))</f>
        <v>70</v>
      </c>
      <c r="Q22" s="672"/>
      <c r="R22" s="672"/>
      <c r="S22" s="803" t="s">
        <v>88</v>
      </c>
      <c r="T22" s="736">
        <v>1.0812991021324356E-2</v>
      </c>
      <c r="U22" s="752">
        <v>80</v>
      </c>
      <c r="V22" s="781"/>
      <c r="W22" s="776" t="s">
        <v>168</v>
      </c>
      <c r="X22" s="740">
        <v>70</v>
      </c>
      <c r="AB22" s="828">
        <f t="shared" si="5"/>
        <v>67</v>
      </c>
      <c r="AC22" s="829">
        <f t="shared" si="4"/>
        <v>2</v>
      </c>
    </row>
    <row r="23" spans="2:29" ht="21" customHeight="1" thickBot="1" x14ac:dyDescent="0.3">
      <c r="B23" s="16">
        <f t="shared" si="0"/>
        <v>14</v>
      </c>
      <c r="C23" s="106" t="s">
        <v>159</v>
      </c>
      <c r="D23" s="107" t="s">
        <v>160</v>
      </c>
      <c r="E23" s="599" t="str">
        <f t="shared" si="1"/>
        <v>EigilSørli</v>
      </c>
      <c r="F23" s="192">
        <f>YEAR(I$5)-_xlfn.XLOOKUP(E23,Deltakerliste!E$5:E$98,Deltakerliste!I$5:I$98)</f>
        <v>86</v>
      </c>
      <c r="G23" s="192">
        <f>_xlfn.XLOOKUP(E23,Deltakerliste!E$5:E$98,Deltakerliste!H$5:H$98)</f>
        <v>2</v>
      </c>
      <c r="H23" s="592">
        <f>VLOOKUP(F23,Deltakerliste!P$6:T$84,G23,FALSE)</f>
        <v>2.3089999999999997</v>
      </c>
      <c r="I23" s="132">
        <v>3.3726851851851855E-2</v>
      </c>
      <c r="J23" s="18"/>
      <c r="K23" s="18"/>
      <c r="L23" s="600">
        <f t="shared" si="2"/>
        <v>1.6060405643738979E-2</v>
      </c>
      <c r="M23" s="594">
        <f>IF(L23="Løype",Poengsammendrag!$F$2,IF(L23="Arr",Poengsammendrag!$F$3,IF(L23="Brutt",50,IF(L23="Disk",50,ROUND(MAXA(100*(MIN(L$10:L$92)/L23),50),0)))))</f>
        <v>54</v>
      </c>
      <c r="N23" s="724">
        <f t="shared" si="3"/>
        <v>6.9555676239666442E-3</v>
      </c>
      <c r="O23" s="596">
        <f>IF(N23="Løype",Poengsammendrag!$F$2,IF(N23="Arr",Poengsammendrag!$F$3,IF(N23="Brutt",50,IF(N23="Disk",50,ROUND(MAXA(100*(MIN(N$10:N$92)/N23),50),0)))))</f>
        <v>69</v>
      </c>
      <c r="Q23" s="672"/>
      <c r="R23" s="672"/>
      <c r="S23" s="803" t="s">
        <v>101</v>
      </c>
      <c r="T23" s="736">
        <v>1.0820005611672279E-2</v>
      </c>
      <c r="U23" s="752">
        <v>80</v>
      </c>
      <c r="V23" s="781"/>
      <c r="W23" s="776" t="s">
        <v>357</v>
      </c>
      <c r="X23" s="740">
        <v>69</v>
      </c>
      <c r="AB23" s="828">
        <f t="shared" si="5"/>
        <v>68</v>
      </c>
      <c r="AC23" s="829">
        <f t="shared" si="4"/>
        <v>1</v>
      </c>
    </row>
    <row r="24" spans="2:29" ht="21" thickBot="1" x14ac:dyDescent="0.3">
      <c r="B24" s="16">
        <f t="shared" si="0"/>
        <v>15</v>
      </c>
      <c r="C24" s="106" t="s">
        <v>307</v>
      </c>
      <c r="D24" s="107" t="s">
        <v>308</v>
      </c>
      <c r="E24" s="599" t="str">
        <f t="shared" si="1"/>
        <v>RolfWærnes</v>
      </c>
      <c r="F24" s="192">
        <f>YEAR(I$5)-_xlfn.XLOOKUP(E24,Deltakerliste!E$5:E$98,Deltakerliste!I$5:I$98)</f>
        <v>75</v>
      </c>
      <c r="G24" s="192">
        <f>_xlfn.XLOOKUP(E24,Deltakerliste!E$5:E$98,Deltakerliste!H$5:H$98)</f>
        <v>2</v>
      </c>
      <c r="H24" s="592">
        <f>VLOOKUP(F24,Deltakerliste!P$6:T$84,G24,FALSE)</f>
        <v>1.605</v>
      </c>
      <c r="I24" s="18"/>
      <c r="J24" s="132">
        <v>3.7557870370370373E-2</v>
      </c>
      <c r="K24" s="18"/>
      <c r="L24" s="600">
        <f t="shared" si="2"/>
        <v>1.1381172839506175E-2</v>
      </c>
      <c r="M24" s="594">
        <f>IF(L24="Løype",Poengsammendrag!$F$2,IF(L24="Arr",Poengsammendrag!$F$3,IF(L24="Brutt",50,IF(L24="Disk",50,ROUND(MAXA(100*(MIN(L$10:L$92)/L24),50),0)))))</f>
        <v>76</v>
      </c>
      <c r="N24" s="724">
        <f t="shared" si="3"/>
        <v>7.0910734202530683E-3</v>
      </c>
      <c r="O24" s="596">
        <f>IF(N24="Løype",Poengsammendrag!$F$2,IF(N24="Arr",Poengsammendrag!$F$3,IF(N24="Brutt",50,IF(N24="Disk",50,ROUND(MAXA(100*(MIN(N$10:N$92)/N24),50),0)))))</f>
        <v>67</v>
      </c>
      <c r="Q24" s="672"/>
      <c r="R24" s="672"/>
      <c r="S24" s="803" t="s">
        <v>168</v>
      </c>
      <c r="T24" s="736">
        <v>1.093925364758698E-2</v>
      </c>
      <c r="U24" s="752">
        <v>79</v>
      </c>
      <c r="V24" s="781"/>
      <c r="W24" s="776" t="s">
        <v>307</v>
      </c>
      <c r="X24" s="740">
        <v>67</v>
      </c>
      <c r="AB24" s="828">
        <f t="shared" si="5"/>
        <v>69</v>
      </c>
      <c r="AC24" s="829">
        <f t="shared" si="4"/>
        <v>1</v>
      </c>
    </row>
    <row r="25" spans="2:29" ht="21" thickBot="1" x14ac:dyDescent="0.3">
      <c r="B25" s="16">
        <f t="shared" si="0"/>
        <v>16</v>
      </c>
      <c r="C25" s="106" t="s">
        <v>99</v>
      </c>
      <c r="D25" s="107" t="s">
        <v>100</v>
      </c>
      <c r="E25" s="599" t="str">
        <f t="shared" si="1"/>
        <v>RobertHirsch</v>
      </c>
      <c r="F25" s="192">
        <f>YEAR(I$5)-_xlfn.XLOOKUP(E25,Deltakerliste!E$5:E$98,Deltakerliste!I$5:I$98)</f>
        <v>69</v>
      </c>
      <c r="G25" s="192">
        <f>_xlfn.XLOOKUP(E25,Deltakerliste!E$5:E$98,Deltakerliste!H$5:H$98)</f>
        <v>2</v>
      </c>
      <c r="H25" s="592">
        <f>VLOOKUP(F25,Deltakerliste!P$6:T$84,G25,FALSE)</f>
        <v>1.3989999999999998</v>
      </c>
      <c r="I25" s="86"/>
      <c r="J25" s="86">
        <v>3.3229166666666664E-2</v>
      </c>
      <c r="K25" s="13"/>
      <c r="L25" s="600">
        <f t="shared" si="2"/>
        <v>1.0069444444444443E-2</v>
      </c>
      <c r="M25" s="594">
        <f>IF(L25="Løype",Poengsammendrag!$F$2,IF(L25="Arr",Poengsammendrag!$F$3,IF(L25="Brutt",50,IF(L25="Disk",50,ROUND(MAXA(100*(MIN(L$10:L$92)/L25),50),0)))))</f>
        <v>86</v>
      </c>
      <c r="N25" s="724">
        <f t="shared" si="3"/>
        <v>7.19760146136129E-3</v>
      </c>
      <c r="O25" s="596">
        <f>IF(N25="Løype",Poengsammendrag!$F$2,IF(N25="Arr",Poengsammendrag!$F$3,IF(N25="Brutt",50,IF(N25="Disk",50,ROUND(MAXA(100*(MIN(N$10:N$92)/N25),50),0)))))</f>
        <v>66</v>
      </c>
      <c r="Q25" s="672"/>
      <c r="R25" s="672"/>
      <c r="S25" s="803" t="s">
        <v>299</v>
      </c>
      <c r="T25" s="736">
        <v>1.1072530864197532E-2</v>
      </c>
      <c r="U25" s="752">
        <v>78</v>
      </c>
      <c r="V25" s="781"/>
      <c r="W25" s="776" t="s">
        <v>99</v>
      </c>
      <c r="X25" s="740">
        <v>66</v>
      </c>
      <c r="AB25" s="828">
        <f t="shared" si="5"/>
        <v>70</v>
      </c>
      <c r="AC25" s="829">
        <f t="shared" si="4"/>
        <v>2</v>
      </c>
    </row>
    <row r="26" spans="2:29" ht="21" customHeight="1" thickBot="1" x14ac:dyDescent="0.3">
      <c r="B26" s="16">
        <f t="shared" si="0"/>
        <v>17</v>
      </c>
      <c r="C26" s="106" t="s">
        <v>126</v>
      </c>
      <c r="D26" s="107" t="s">
        <v>383</v>
      </c>
      <c r="E26" s="599" t="str">
        <f t="shared" si="1"/>
        <v>ArneHelland</v>
      </c>
      <c r="F26" s="192">
        <f>YEAR(I$5)-_xlfn.XLOOKUP(E26,Deltakerliste!E$5:E$98,Deltakerliste!I$5:I$98)</f>
        <v>61</v>
      </c>
      <c r="G26" s="192">
        <f>_xlfn.XLOOKUP(E26,Deltakerliste!E$5:E$98,Deltakerliste!H$5:H$98)</f>
        <v>2</v>
      </c>
      <c r="H26" s="592">
        <f>VLOOKUP(F26,Deltakerliste!P$6:T$84,G26,FALSE)</f>
        <v>1.2190000000000001</v>
      </c>
      <c r="I26" s="86"/>
      <c r="J26" s="86">
        <v>2.8993055555555557E-2</v>
      </c>
      <c r="K26" s="17"/>
      <c r="L26" s="600">
        <f t="shared" si="2"/>
        <v>8.7857744107744124E-3</v>
      </c>
      <c r="M26" s="594">
        <f>IF(L26="Løype",Poengsammendrag!$F$2,IF(L26="Arr",Poengsammendrag!$F$3,IF(L26="Brutt",50,IF(L26="Disk",50,ROUND(MAXA(100*(MIN(L$10:L$92)/L26),50),0)))))</f>
        <v>98</v>
      </c>
      <c r="N26" s="724">
        <f t="shared" si="3"/>
        <v>7.207362108920764E-3</v>
      </c>
      <c r="O26" s="596">
        <f>IF(N26="Løype",Poengsammendrag!$F$2,IF(N26="Arr",Poengsammendrag!$F$3,IF(N26="Brutt",50,IF(N26="Disk",50,ROUND(MAXA(100*(MIN(N$10:N$92)/N26),50),0)))))</f>
        <v>66</v>
      </c>
      <c r="Q26" s="672"/>
      <c r="R26" s="672"/>
      <c r="S26" s="803" t="s">
        <v>307</v>
      </c>
      <c r="T26" s="736">
        <v>1.1381172839506175E-2</v>
      </c>
      <c r="U26" s="752">
        <v>76</v>
      </c>
      <c r="V26" s="781"/>
      <c r="W26" s="776" t="s">
        <v>385</v>
      </c>
      <c r="X26" s="740">
        <v>66</v>
      </c>
      <c r="AB26" s="828">
        <f t="shared" si="5"/>
        <v>71</v>
      </c>
      <c r="AC26" s="829">
        <f t="shared" si="4"/>
        <v>2</v>
      </c>
    </row>
    <row r="27" spans="2:29" ht="21" thickBot="1" x14ac:dyDescent="0.3">
      <c r="B27" s="16">
        <f t="shared" si="0"/>
        <v>18</v>
      </c>
      <c r="C27" s="106" t="s">
        <v>101</v>
      </c>
      <c r="D27" s="107" t="s">
        <v>102</v>
      </c>
      <c r="E27" s="599" t="str">
        <f t="shared" si="1"/>
        <v>EvenHofstad</v>
      </c>
      <c r="F27" s="192">
        <f>YEAR(I$5)-_xlfn.XLOOKUP(E27,Deltakerliste!E$5:E$98,Deltakerliste!I$5:I$98)</f>
        <v>72</v>
      </c>
      <c r="G27" s="192">
        <f>_xlfn.XLOOKUP(E27,Deltakerliste!E$5:E$98,Deltakerliste!H$5:H$98)</f>
        <v>2</v>
      </c>
      <c r="H27" s="592">
        <f>VLOOKUP(F27,Deltakerliste!P$6:T$84,G27,FALSE)</f>
        <v>1.4969999999999999</v>
      </c>
      <c r="I27" s="86"/>
      <c r="J27" s="86">
        <v>3.5706018518518519E-2</v>
      </c>
      <c r="K27" s="13"/>
      <c r="L27" s="600">
        <f t="shared" si="2"/>
        <v>1.0820005611672279E-2</v>
      </c>
      <c r="M27" s="594">
        <f>IF(L27="Løype",Poengsammendrag!$F$2,IF(L27="Arr",Poengsammendrag!$F$3,IF(L27="Brutt",50,IF(L27="Disk",50,ROUND(MAXA(100*(MIN(L$10:L$92)/L27),50),0)))))</f>
        <v>80</v>
      </c>
      <c r="N27" s="724">
        <f t="shared" si="3"/>
        <v>7.2277926597677225E-3</v>
      </c>
      <c r="O27" s="596">
        <f>IF(N27="Løype",Poengsammendrag!$F$2,IF(N27="Arr",Poengsammendrag!$F$3,IF(N27="Brutt",50,IF(N27="Disk",50,ROUND(MAXA(100*(MIN(N$10:N$92)/N27),50),0)))))</f>
        <v>66</v>
      </c>
      <c r="Q27" s="672"/>
      <c r="R27" s="672"/>
      <c r="S27" s="803" t="s">
        <v>68</v>
      </c>
      <c r="T27" s="736">
        <v>1.1816077441077443E-2</v>
      </c>
      <c r="U27" s="752">
        <v>73</v>
      </c>
      <c r="V27" s="781"/>
      <c r="W27" s="776" t="s">
        <v>101</v>
      </c>
      <c r="X27" s="740">
        <v>66</v>
      </c>
      <c r="AB27" s="828">
        <f t="shared" si="5"/>
        <v>72</v>
      </c>
      <c r="AC27" s="829">
        <f t="shared" si="4"/>
        <v>1</v>
      </c>
    </row>
    <row r="28" spans="2:29" ht="21" customHeight="1" thickBot="1" x14ac:dyDescent="0.3">
      <c r="B28" s="16">
        <f t="shared" si="0"/>
        <v>19</v>
      </c>
      <c r="C28" s="106" t="s">
        <v>265</v>
      </c>
      <c r="D28" s="107" t="s">
        <v>266</v>
      </c>
      <c r="E28" s="599" t="str">
        <f t="shared" si="1"/>
        <v>ØysteinWiggen</v>
      </c>
      <c r="F28" s="192">
        <f>YEAR(I$5)-_xlfn.XLOOKUP(E28,Deltakerliste!E$5:E$98,Deltakerliste!I$5:I$98)</f>
        <v>60</v>
      </c>
      <c r="G28" s="192">
        <f>_xlfn.XLOOKUP(E28,Deltakerliste!E$5:E$98,Deltakerliste!H$5:H$98)</f>
        <v>2</v>
      </c>
      <c r="H28" s="592">
        <f>VLOOKUP(F28,Deltakerliste!P$6:T$84,G28,FALSE)</f>
        <v>1.2000000000000002</v>
      </c>
      <c r="I28" s="134"/>
      <c r="J28" s="132">
        <v>2.8738425925925924E-2</v>
      </c>
      <c r="K28" s="18"/>
      <c r="L28" s="600">
        <f t="shared" si="2"/>
        <v>8.7086139169472495E-3</v>
      </c>
      <c r="M28" s="594">
        <f>IF(L28="Løype",Poengsammendrag!$F$2,IF(L28="Arr",Poengsammendrag!$F$3,IF(L28="Brutt",50,IF(L28="Disk",50,ROUND(MAXA(100*(MIN(L$10:L$92)/L28),50),0)))))</f>
        <v>99</v>
      </c>
      <c r="N28" s="724">
        <f t="shared" si="3"/>
        <v>7.2571782641227068E-3</v>
      </c>
      <c r="O28" s="596">
        <f>IF(N28="Løype",Poengsammendrag!$F$2,IF(N28="Arr",Poengsammendrag!$F$3,IF(N28="Brutt",50,IF(N28="Disk",50,ROUND(MAXA(100*(MIN(N$10:N$92)/N28),50),0)))))</f>
        <v>66</v>
      </c>
      <c r="Q28" s="672"/>
      <c r="R28" s="672"/>
      <c r="S28" s="803" t="s">
        <v>90</v>
      </c>
      <c r="T28" s="736">
        <v>1.2285052910052911E-2</v>
      </c>
      <c r="U28" s="752">
        <v>70</v>
      </c>
      <c r="V28" s="781"/>
      <c r="W28" s="776" t="s">
        <v>368</v>
      </c>
      <c r="X28" s="740">
        <v>66</v>
      </c>
      <c r="AB28" s="828">
        <f t="shared" si="5"/>
        <v>73</v>
      </c>
      <c r="AC28" s="829">
        <f t="shared" si="4"/>
        <v>4</v>
      </c>
    </row>
    <row r="29" spans="2:29" ht="21" thickBot="1" x14ac:dyDescent="0.3">
      <c r="B29" s="16">
        <f t="shared" si="0"/>
        <v>20</v>
      </c>
      <c r="C29" s="106" t="s">
        <v>122</v>
      </c>
      <c r="D29" s="107" t="s">
        <v>123</v>
      </c>
      <c r="E29" s="599" t="str">
        <f t="shared" si="1"/>
        <v>MartinMelhuus</v>
      </c>
      <c r="F29" s="192">
        <f>YEAR(I$5)-_xlfn.XLOOKUP(E29,Deltakerliste!E$5:E$98,Deltakerliste!I$5:I$98)</f>
        <v>82</v>
      </c>
      <c r="G29" s="192">
        <f>_xlfn.XLOOKUP(E29,Deltakerliste!E$5:E$98,Deltakerliste!H$5:H$98)</f>
        <v>2</v>
      </c>
      <c r="H29" s="592">
        <f>VLOOKUP(F29,Deltakerliste!P$6:T$84,G29,FALSE)</f>
        <v>2.0030000000000001</v>
      </c>
      <c r="I29" s="13">
        <v>3.0555555555555555E-2</v>
      </c>
      <c r="J29" s="13"/>
      <c r="K29" s="13"/>
      <c r="L29" s="600">
        <f t="shared" si="2"/>
        <v>1.4550264550264549E-2</v>
      </c>
      <c r="M29" s="594">
        <f>IF(L29="Løype",Poengsammendrag!$F$2,IF(L29="Arr",Poengsammendrag!$F$3,IF(L29="Brutt",50,IF(L29="Disk",50,ROUND(MAXA(100*(MIN(L$10:L$92)/L29),50),0)))))</f>
        <v>59</v>
      </c>
      <c r="N29" s="724">
        <f t="shared" si="3"/>
        <v>7.2642359212503988E-3</v>
      </c>
      <c r="O29" s="596">
        <f>IF(N29="Løype",Poengsammendrag!$F$2,IF(N29="Arr",Poengsammendrag!$F$3,IF(N29="Brutt",50,IF(N29="Disk",50,ROUND(MAXA(100*(MIN(N$10:N$92)/N29),50),0)))))</f>
        <v>66</v>
      </c>
      <c r="Q29" s="672"/>
      <c r="R29" s="672"/>
      <c r="S29" s="803" t="s">
        <v>114</v>
      </c>
      <c r="T29" s="736">
        <v>1.2412317620650955E-2</v>
      </c>
      <c r="U29" s="752">
        <v>70</v>
      </c>
      <c r="V29" s="781"/>
      <c r="W29" s="776" t="s">
        <v>122</v>
      </c>
      <c r="X29" s="740">
        <v>66</v>
      </c>
      <c r="AB29" s="828">
        <f t="shared" si="5"/>
        <v>74</v>
      </c>
      <c r="AC29" s="829">
        <f t="shared" si="4"/>
        <v>2</v>
      </c>
    </row>
    <row r="30" spans="2:29" ht="21" thickBot="1" x14ac:dyDescent="0.3">
      <c r="B30" s="16">
        <f t="shared" si="0"/>
        <v>21</v>
      </c>
      <c r="C30" s="106" t="s">
        <v>90</v>
      </c>
      <c r="D30" s="107" t="s">
        <v>91</v>
      </c>
      <c r="E30" s="599" t="str">
        <f t="shared" si="1"/>
        <v>TorGjermstad</v>
      </c>
      <c r="F30" s="192">
        <f>YEAR(I$5)-_xlfn.XLOOKUP(E30,Deltakerliste!E$5:E$98,Deltakerliste!I$5:I$98)</f>
        <v>76</v>
      </c>
      <c r="G30" s="192">
        <f>_xlfn.XLOOKUP(E30,Deltakerliste!E$5:E$98,Deltakerliste!H$5:H$98)</f>
        <v>2</v>
      </c>
      <c r="H30" s="592">
        <f>VLOOKUP(F30,Deltakerliste!P$6:T$84,G30,FALSE)</f>
        <v>1.655</v>
      </c>
      <c r="I30" s="86">
        <v>2.5798611111111112E-2</v>
      </c>
      <c r="J30" s="86"/>
      <c r="K30" s="13"/>
      <c r="L30" s="600">
        <f t="shared" si="2"/>
        <v>1.2285052910052911E-2</v>
      </c>
      <c r="M30" s="594">
        <f>IF(L30="Løype",Poengsammendrag!$F$2,IF(L30="Arr",Poengsammendrag!$F$3,IF(L30="Brutt",50,IF(L30="Disk",50,ROUND(MAXA(100*(MIN(L$10:L$92)/L30),50),0)))))</f>
        <v>70</v>
      </c>
      <c r="N30" s="724">
        <f t="shared" si="3"/>
        <v>7.422992694896019E-3</v>
      </c>
      <c r="O30" s="596">
        <f>IF(N30="Løype",Poengsammendrag!$F$2,IF(N30="Arr",Poengsammendrag!$F$3,IF(N30="Brutt",50,IF(N30="Disk",50,ROUND(MAXA(100*(MIN(N$10:N$92)/N30),50),0)))))</f>
        <v>64</v>
      </c>
      <c r="Q30" s="672"/>
      <c r="R30" s="672"/>
      <c r="S30" s="803" t="s">
        <v>350</v>
      </c>
      <c r="T30" s="736">
        <v>1.297348484848485E-2</v>
      </c>
      <c r="U30" s="752">
        <v>67</v>
      </c>
      <c r="V30" s="781"/>
      <c r="W30" s="776" t="s">
        <v>90</v>
      </c>
      <c r="X30" s="740">
        <v>64</v>
      </c>
      <c r="AB30" s="828">
        <f t="shared" si="5"/>
        <v>75</v>
      </c>
      <c r="AC30" s="829">
        <f t="shared" si="4"/>
        <v>5</v>
      </c>
    </row>
    <row r="31" spans="2:29" ht="21" customHeight="1" thickBot="1" x14ac:dyDescent="0.3">
      <c r="B31" s="16">
        <f t="shared" si="0"/>
        <v>22</v>
      </c>
      <c r="C31" s="106" t="s">
        <v>68</v>
      </c>
      <c r="D31" s="107" t="s">
        <v>69</v>
      </c>
      <c r="E31" s="599" t="str">
        <f t="shared" si="1"/>
        <v>JanBøhle</v>
      </c>
      <c r="F31" s="192">
        <f>YEAR(I$5)-_xlfn.XLOOKUP(E31,Deltakerliste!E$5:E$98,Deltakerliste!I$5:I$98)</f>
        <v>74</v>
      </c>
      <c r="G31" s="192">
        <f>_xlfn.XLOOKUP(E31,Deltakerliste!E$5:E$98,Deltakerliste!H$5:H$98)</f>
        <v>2</v>
      </c>
      <c r="H31" s="592">
        <f>VLOOKUP(F31,Deltakerliste!P$6:T$84,G31,FALSE)</f>
        <v>1.569</v>
      </c>
      <c r="I31" s="86"/>
      <c r="J31" s="86">
        <v>3.8993055555555559E-2</v>
      </c>
      <c r="K31" s="13"/>
      <c r="L31" s="600">
        <f t="shared" si="2"/>
        <v>1.1816077441077443E-2</v>
      </c>
      <c r="M31" s="594">
        <f>IF(L31="Løype",Poengsammendrag!$F$2,IF(L31="Arr",Poengsammendrag!$F$3,IF(L31="Brutt",50,IF(L31="Disk",50,ROUND(MAXA(100*(MIN(L$10:L$92)/L31),50),0)))))</f>
        <v>73</v>
      </c>
      <c r="N31" s="724">
        <f t="shared" si="3"/>
        <v>7.5309607655050627E-3</v>
      </c>
      <c r="O31" s="596">
        <f>IF(N31="Løype",Poengsammendrag!$F$2,IF(N31="Arr",Poengsammendrag!$F$3,IF(N31="Brutt",50,IF(N31="Disk",50,ROUND(MAXA(100*(MIN(N$10:N$92)/N31),50),0)))))</f>
        <v>63</v>
      </c>
      <c r="Q31" s="672"/>
      <c r="R31" s="672"/>
      <c r="S31" s="803" t="s">
        <v>124</v>
      </c>
      <c r="T31" s="736">
        <v>1.3398368606701939E-2</v>
      </c>
      <c r="U31" s="752">
        <v>64</v>
      </c>
      <c r="V31" s="781"/>
      <c r="W31" s="776" t="s">
        <v>68</v>
      </c>
      <c r="X31" s="740">
        <v>63</v>
      </c>
      <c r="AB31" s="828">
        <f t="shared" si="5"/>
        <v>76</v>
      </c>
      <c r="AC31" s="829">
        <f t="shared" si="4"/>
        <v>1</v>
      </c>
    </row>
    <row r="32" spans="2:29" ht="21" customHeight="1" thickBot="1" x14ac:dyDescent="0.3">
      <c r="B32" s="16">
        <f t="shared" si="0"/>
        <v>23</v>
      </c>
      <c r="C32" s="106" t="s">
        <v>299</v>
      </c>
      <c r="D32" s="107" t="s">
        <v>300</v>
      </c>
      <c r="E32" s="599" t="str">
        <f t="shared" si="1"/>
        <v>OlavKvittem</v>
      </c>
      <c r="F32" s="192">
        <f>YEAR(I$5)-_xlfn.XLOOKUP(E32,Deltakerliste!E$5:E$98,Deltakerliste!I$5:I$98)</f>
        <v>71</v>
      </c>
      <c r="G32" s="192">
        <f>_xlfn.XLOOKUP(E32,Deltakerliste!E$5:E$98,Deltakerliste!H$5:H$98)</f>
        <v>2</v>
      </c>
      <c r="H32" s="592">
        <f>VLOOKUP(F32,Deltakerliste!P$6:T$84,G32,FALSE)</f>
        <v>1.4609999999999999</v>
      </c>
      <c r="I32" s="86"/>
      <c r="J32" s="86">
        <v>3.6539351851851851E-2</v>
      </c>
      <c r="K32" s="13"/>
      <c r="L32" s="600">
        <f t="shared" si="2"/>
        <v>1.1072530864197532E-2</v>
      </c>
      <c r="M32" s="594">
        <f>IF(L32="Løype",Poengsammendrag!$F$2,IF(L32="Arr",Poengsammendrag!$F$3,IF(L32="Brutt",50,IF(L32="Disk",50,ROUND(MAXA(100*(MIN(L$10:L$92)/L32),50),0)))))</f>
        <v>78</v>
      </c>
      <c r="N32" s="724">
        <f t="shared" si="3"/>
        <v>7.5787343355219255E-3</v>
      </c>
      <c r="O32" s="596">
        <f>IF(N32="Løype",Poengsammendrag!$F$2,IF(N32="Arr",Poengsammendrag!$F$3,IF(N32="Brutt",50,IF(N32="Disk",50,ROUND(MAXA(100*(MIN(N$10:N$92)/N32),50),0)))))</f>
        <v>63</v>
      </c>
      <c r="S32" s="803" t="s">
        <v>269</v>
      </c>
      <c r="T32" s="736">
        <v>1.3701499118165785E-2</v>
      </c>
      <c r="U32" s="752">
        <v>63</v>
      </c>
      <c r="V32" s="781"/>
      <c r="W32" s="776" t="s">
        <v>299</v>
      </c>
      <c r="X32" s="740">
        <v>63</v>
      </c>
      <c r="AB32" s="828">
        <f t="shared" si="5"/>
        <v>77</v>
      </c>
      <c r="AC32" s="829">
        <f t="shared" si="4"/>
        <v>2</v>
      </c>
    </row>
    <row r="33" spans="2:29" ht="21" customHeight="1" thickBot="1" x14ac:dyDescent="0.3">
      <c r="B33" s="16">
        <f t="shared" si="0"/>
        <v>24</v>
      </c>
      <c r="C33" s="106" t="s">
        <v>103</v>
      </c>
      <c r="D33" s="107" t="s">
        <v>104</v>
      </c>
      <c r="E33" s="599" t="str">
        <f t="shared" si="1"/>
        <v>SveinHove</v>
      </c>
      <c r="F33" s="192">
        <f>YEAR(I$5)-_xlfn.XLOOKUP(E33,Deltakerliste!E$5:E$98,Deltakerliste!I$5:I$98)</f>
        <v>79</v>
      </c>
      <c r="G33" s="192">
        <f>_xlfn.XLOOKUP(E33,Deltakerliste!E$5:E$98,Deltakerliste!H$5:H$98)</f>
        <v>2</v>
      </c>
      <c r="H33" s="592">
        <f>VLOOKUP(F33,Deltakerliste!P$6:T$84,G33,FALSE)</f>
        <v>1.8050000000000002</v>
      </c>
      <c r="I33" s="86">
        <v>2.8877314814814814E-2</v>
      </c>
      <c r="J33" s="86"/>
      <c r="K33" s="17"/>
      <c r="L33" s="600">
        <f t="shared" si="2"/>
        <v>1.3751102292768958E-2</v>
      </c>
      <c r="M33" s="594">
        <f>IF(L33="Løype",Poengsammendrag!$F$2,IF(L33="Arr",Poengsammendrag!$F$3,IF(L33="Brutt",50,IF(L33="Disk",50,ROUND(MAXA(100*(MIN(L$10:L$92)/L33),50),0)))))</f>
        <v>63</v>
      </c>
      <c r="N33" s="724">
        <f t="shared" si="3"/>
        <v>7.6183392203706133E-3</v>
      </c>
      <c r="O33" s="596">
        <f>IF(N33="Løype",Poengsammendrag!$F$2,IF(N33="Arr",Poengsammendrag!$F$3,IF(N33="Brutt",50,IF(N33="Disk",50,ROUND(MAXA(100*(MIN(N$10:N$92)/N33),50),0)))))</f>
        <v>63</v>
      </c>
      <c r="S33" s="803" t="s">
        <v>103</v>
      </c>
      <c r="T33" s="736">
        <v>1.3751102292768958E-2</v>
      </c>
      <c r="U33" s="752">
        <v>63</v>
      </c>
      <c r="V33" s="781"/>
      <c r="W33" s="776" t="s">
        <v>103</v>
      </c>
      <c r="X33" s="740">
        <v>63</v>
      </c>
      <c r="AB33" s="828">
        <f t="shared" si="5"/>
        <v>78</v>
      </c>
      <c r="AC33" s="829">
        <f t="shared" si="4"/>
        <v>3</v>
      </c>
    </row>
    <row r="34" spans="2:29" ht="21" customHeight="1" thickBot="1" x14ac:dyDescent="0.3">
      <c r="B34" s="16">
        <f t="shared" si="0"/>
        <v>25</v>
      </c>
      <c r="C34" s="106" t="s">
        <v>72</v>
      </c>
      <c r="D34" s="107" t="s">
        <v>73</v>
      </c>
      <c r="E34" s="599" t="str">
        <f t="shared" si="1"/>
        <v>KåreEggereide</v>
      </c>
      <c r="F34" s="192">
        <f>YEAR(I$5)-_xlfn.XLOOKUP(E34,Deltakerliste!E$5:E$98,Deltakerliste!I$5:I$98)</f>
        <v>75</v>
      </c>
      <c r="G34" s="192">
        <f>_xlfn.XLOOKUP(E34,Deltakerliste!E$5:E$98,Deltakerliste!H$5:H$98)</f>
        <v>2</v>
      </c>
      <c r="H34" s="592">
        <f>VLOOKUP(F34,Deltakerliste!P$6:T$84,G34,FALSE)</f>
        <v>1.605</v>
      </c>
      <c r="I34" s="593"/>
      <c r="J34" s="13">
        <v>4.2812500000000003E-2</v>
      </c>
      <c r="K34" s="13"/>
      <c r="L34" s="600">
        <f t="shared" si="2"/>
        <v>1.297348484848485E-2</v>
      </c>
      <c r="M34" s="594">
        <f>IF(L34="Løype",Poengsammendrag!$F$2,IF(L34="Arr",Poengsammendrag!$F$3,IF(L34="Brutt",50,IF(L34="Disk",50,ROUND(MAXA(100*(MIN(L$10:L$92)/L34),50),0)))))</f>
        <v>67</v>
      </c>
      <c r="N34" s="724">
        <f t="shared" si="3"/>
        <v>8.0831681298971034E-3</v>
      </c>
      <c r="O34" s="596">
        <f>IF(N34="Løype",Poengsammendrag!$F$2,IF(N34="Arr",Poengsammendrag!$F$3,IF(N34="Brutt",50,IF(N34="Disk",50,ROUND(MAXA(100*(MIN(N$10:N$92)/N34),50),0)))))</f>
        <v>59</v>
      </c>
      <c r="S34" s="803" t="s">
        <v>122</v>
      </c>
      <c r="T34" s="736">
        <v>1.4550264550264549E-2</v>
      </c>
      <c r="U34" s="752">
        <v>59</v>
      </c>
      <c r="V34" s="781"/>
      <c r="W34" s="776" t="s">
        <v>350</v>
      </c>
      <c r="X34" s="740">
        <v>59</v>
      </c>
      <c r="AB34" s="828">
        <f t="shared" si="5"/>
        <v>79</v>
      </c>
      <c r="AC34" s="829">
        <f t="shared" si="4"/>
        <v>2</v>
      </c>
    </row>
    <row r="35" spans="2:29" ht="21" customHeight="1" thickBot="1" x14ac:dyDescent="0.3">
      <c r="B35" s="16">
        <f t="shared" si="0"/>
        <v>26</v>
      </c>
      <c r="C35" s="106" t="s">
        <v>96</v>
      </c>
      <c r="D35" s="107" t="s">
        <v>97</v>
      </c>
      <c r="E35" s="599" t="str">
        <f t="shared" si="1"/>
        <v>StigHaugskott</v>
      </c>
      <c r="F35" s="192">
        <f>YEAR(I$5)-_xlfn.XLOOKUP(E35,Deltakerliste!E$5:E$98,Deltakerliste!I$5:I$98)</f>
        <v>87</v>
      </c>
      <c r="G35" s="192">
        <f>_xlfn.XLOOKUP(E35,Deltakerliste!E$5:E$98,Deltakerliste!H$5:H$98)</f>
        <v>2</v>
      </c>
      <c r="H35" s="592">
        <f>VLOOKUP(F35,Deltakerliste!P$6:T$84,G35,FALSE)</f>
        <v>2.3929999999999998</v>
      </c>
      <c r="I35" s="86">
        <v>4.1041666666666664E-2</v>
      </c>
      <c r="J35" s="86"/>
      <c r="K35" s="86"/>
      <c r="L35" s="600">
        <f t="shared" si="2"/>
        <v>1.954365079365079E-2</v>
      </c>
      <c r="M35" s="594">
        <f>IF(L35="Løype",Poengsammendrag!$F$2,IF(L35="Arr",Poengsammendrag!$F$3,IF(L35="Brutt",50,IF(L35="Disk",50,ROUND(MAXA(100*(MIN(L$10:L$92)/L35),50),0)))))</f>
        <v>50</v>
      </c>
      <c r="N35" s="724">
        <f t="shared" si="3"/>
        <v>8.167008271479646E-3</v>
      </c>
      <c r="O35" s="596">
        <f>IF(N35="Løype",Poengsammendrag!$F$2,IF(N35="Arr",Poengsammendrag!$F$3,IF(N35="Brutt",50,IF(N35="Disk",50,ROUND(MAXA(100*(MIN(N$10:N$92)/N35),50),0)))))</f>
        <v>59</v>
      </c>
      <c r="S35" s="803" t="s">
        <v>347</v>
      </c>
      <c r="T35" s="736">
        <v>1.5845458553791887E-2</v>
      </c>
      <c r="U35" s="752">
        <v>54</v>
      </c>
      <c r="V35" s="781"/>
      <c r="W35" s="776" t="s">
        <v>96</v>
      </c>
      <c r="X35" s="740">
        <v>59</v>
      </c>
      <c r="AB35" s="828">
        <f t="shared" si="5"/>
        <v>80</v>
      </c>
      <c r="AC35" s="829">
        <f t="shared" si="4"/>
        <v>2</v>
      </c>
    </row>
    <row r="36" spans="2:29" ht="21" thickBot="1" x14ac:dyDescent="0.3">
      <c r="B36" s="16">
        <f t="shared" si="0"/>
        <v>27</v>
      </c>
      <c r="C36" s="106" t="s">
        <v>170</v>
      </c>
      <c r="D36" s="107" t="s">
        <v>171</v>
      </c>
      <c r="E36" s="599" t="str">
        <f t="shared" si="1"/>
        <v>ØisteinÅsmul</v>
      </c>
      <c r="F36" s="192">
        <f>YEAR(I$5)-_xlfn.XLOOKUP(E36,Deltakerliste!E$5:E$98,Deltakerliste!I$5:I$98)</f>
        <v>81</v>
      </c>
      <c r="G36" s="192">
        <f>_xlfn.XLOOKUP(E36,Deltakerliste!E$5:E$98,Deltakerliste!H$5:H$98)</f>
        <v>2</v>
      </c>
      <c r="H36" s="592">
        <f>VLOOKUP(F36,Deltakerliste!P$6:T$84,G36,FALSE)</f>
        <v>1.9290000000000003</v>
      </c>
      <c r="I36" s="103">
        <v>3.3275462962962965E-2</v>
      </c>
      <c r="J36" s="132"/>
      <c r="K36" s="18"/>
      <c r="L36" s="600">
        <f t="shared" si="2"/>
        <v>1.5845458553791887E-2</v>
      </c>
      <c r="M36" s="594">
        <f>IF(L36="Løype",Poengsammendrag!$F$2,IF(L36="Arr",Poengsammendrag!$F$3,IF(L36="Brutt",50,IF(L36="Disk",50,ROUND(MAXA(100*(MIN(L$10:L$92)/L36),50),0)))))</f>
        <v>54</v>
      </c>
      <c r="N36" s="724">
        <f t="shared" si="3"/>
        <v>8.2143382860507437E-3</v>
      </c>
      <c r="O36" s="596">
        <f>IF(N36="Løype",Poengsammendrag!$F$2,IF(N36="Arr",Poengsammendrag!$F$3,IF(N36="Brutt",50,IF(N36="Disk",50,ROUND(MAXA(100*(MIN(N$10:N$92)/N36),50),0)))))</f>
        <v>58</v>
      </c>
      <c r="S36" s="803" t="s">
        <v>357</v>
      </c>
      <c r="T36" s="736">
        <v>1.6060405643738979E-2</v>
      </c>
      <c r="U36" s="752">
        <v>54</v>
      </c>
      <c r="V36" s="781"/>
      <c r="W36" s="776" t="s">
        <v>347</v>
      </c>
      <c r="X36" s="740">
        <v>58</v>
      </c>
      <c r="AB36" s="828">
        <f t="shared" si="5"/>
        <v>81</v>
      </c>
      <c r="AC36" s="829">
        <f t="shared" si="4"/>
        <v>1</v>
      </c>
    </row>
    <row r="37" spans="2:29" ht="21" customHeight="1" thickBot="1" x14ac:dyDescent="0.3">
      <c r="B37" s="16">
        <f t="shared" si="0"/>
        <v>28</v>
      </c>
      <c r="C37" s="106" t="s">
        <v>161</v>
      </c>
      <c r="D37" s="107" t="s">
        <v>162</v>
      </c>
      <c r="E37" s="599" t="str">
        <f t="shared" si="1"/>
        <v>Nils OlavVennevik</v>
      </c>
      <c r="F37" s="192">
        <f>YEAR(I$5)-_xlfn.XLOOKUP(E37,Deltakerliste!E$5:E$98,Deltakerliste!I$5:I$98)</f>
        <v>78</v>
      </c>
      <c r="G37" s="192">
        <f>_xlfn.XLOOKUP(E37,Deltakerliste!E$5:E$98,Deltakerliste!H$5:H$98)</f>
        <v>2</v>
      </c>
      <c r="H37" s="592">
        <f>VLOOKUP(F37,Deltakerliste!P$6:T$84,G37,FALSE)</f>
        <v>1.7550000000000001</v>
      </c>
      <c r="I37" s="132">
        <v>3.4143518518518517E-2</v>
      </c>
      <c r="J37" s="18"/>
      <c r="K37" s="18"/>
      <c r="L37" s="600">
        <f t="shared" si="2"/>
        <v>1.6258818342151673E-2</v>
      </c>
      <c r="M37" s="594">
        <f>IF(L37="Løype",Poengsammendrag!$F$2,IF(L37="Arr",Poengsammendrag!$F$3,IF(L37="Brutt",50,IF(L37="Disk",50,ROUND(MAXA(100*(MIN(L$10:L$92)/L37),50),0)))))</f>
        <v>53</v>
      </c>
      <c r="N37" s="724">
        <f t="shared" si="3"/>
        <v>9.2642839556419786E-3</v>
      </c>
      <c r="O37" s="596">
        <f>IF(N37="Løype",Poengsammendrag!$F$2,IF(N37="Arr",Poengsammendrag!$F$3,IF(N37="Brutt",50,IF(N37="Disk",50,ROUND(MAXA(100*(MIN(N$10:N$92)/N37),50),0)))))</f>
        <v>52</v>
      </c>
      <c r="S37" s="803" t="s">
        <v>373</v>
      </c>
      <c r="T37" s="736">
        <v>1.6082451499118165E-2</v>
      </c>
      <c r="U37" s="752">
        <v>54</v>
      </c>
      <c r="V37" s="781"/>
      <c r="W37" s="776" t="s">
        <v>161</v>
      </c>
      <c r="X37" s="740">
        <v>52</v>
      </c>
      <c r="AB37" s="828">
        <f t="shared" si="5"/>
        <v>82</v>
      </c>
      <c r="AC37" s="829">
        <f t="shared" si="4"/>
        <v>2</v>
      </c>
    </row>
    <row r="38" spans="2:29" ht="21" customHeight="1" thickBot="1" x14ac:dyDescent="0.3">
      <c r="B38" s="16">
        <f t="shared" si="0"/>
        <v>29</v>
      </c>
      <c r="C38" s="106" t="s">
        <v>72</v>
      </c>
      <c r="D38" s="107" t="s">
        <v>139</v>
      </c>
      <c r="E38" s="599" t="str">
        <f t="shared" si="1"/>
        <v>KåreOnsøyen</v>
      </c>
      <c r="F38" s="192">
        <f>YEAR(I$5)-_xlfn.XLOOKUP(E38,Deltakerliste!E$5:E$98,Deltakerliste!I$5:I$98)</f>
        <v>78</v>
      </c>
      <c r="G38" s="192">
        <f>_xlfn.XLOOKUP(E38,Deltakerliste!E$5:E$98,Deltakerliste!H$5:H$98)</f>
        <v>2</v>
      </c>
      <c r="H38" s="592">
        <f>VLOOKUP(F38,Deltakerliste!P$6:T$84,G38,FALSE)</f>
        <v>1.7550000000000001</v>
      </c>
      <c r="I38" s="13">
        <v>3.4583333333333334E-2</v>
      </c>
      <c r="J38" s="13"/>
      <c r="K38" s="13"/>
      <c r="L38" s="600">
        <f t="shared" si="2"/>
        <v>1.6468253968253969E-2</v>
      </c>
      <c r="M38" s="594">
        <f>IF(L38="Løype",Poengsammendrag!$F$2,IF(L38="Arr",Poengsammendrag!$F$3,IF(L38="Brutt",50,IF(L38="Disk",50,ROUND(MAXA(100*(MIN(L$10:L$92)/L38),50),0)))))</f>
        <v>52</v>
      </c>
      <c r="N38" s="724">
        <f t="shared" si="3"/>
        <v>9.3836204947316051E-3</v>
      </c>
      <c r="O38" s="596">
        <f>IF(N38="Løype",Poengsammendrag!$F$2,IF(N38="Arr",Poengsammendrag!$F$3,IF(N38="Brutt",50,IF(N38="Disk",50,ROUND(MAXA(100*(MIN(N$10:N$92)/N38),50),0)))))</f>
        <v>51</v>
      </c>
      <c r="S38" s="803" t="s">
        <v>161</v>
      </c>
      <c r="T38" s="736">
        <v>1.6258818342151673E-2</v>
      </c>
      <c r="U38" s="752">
        <v>53</v>
      </c>
      <c r="V38" s="781"/>
      <c r="W38" s="776" t="s">
        <v>349</v>
      </c>
      <c r="X38" s="740">
        <v>51</v>
      </c>
      <c r="AB38" s="828">
        <f t="shared" si="5"/>
        <v>83</v>
      </c>
      <c r="AC38" s="829">
        <f t="shared" si="4"/>
        <v>1</v>
      </c>
    </row>
    <row r="39" spans="2:29" ht="21" customHeight="1" thickBot="1" x14ac:dyDescent="0.3">
      <c r="B39" s="16">
        <f t="shared" si="0"/>
        <v>30</v>
      </c>
      <c r="C39" s="106" t="s">
        <v>269</v>
      </c>
      <c r="D39" s="107" t="s">
        <v>270</v>
      </c>
      <c r="E39" s="599" t="str">
        <f t="shared" si="1"/>
        <v>Per OlavJohansen</v>
      </c>
      <c r="F39" s="192">
        <f>YEAR(I$5)-_xlfn.XLOOKUP(E39,Deltakerliste!E$5:E$98,Deltakerliste!I$5:I$98)</f>
        <v>68</v>
      </c>
      <c r="G39" s="192">
        <f>_xlfn.XLOOKUP(E39,Deltakerliste!E$5:E$98,Deltakerliste!H$5:H$98)</f>
        <v>2</v>
      </c>
      <c r="H39" s="592">
        <f>VLOOKUP(F39,Deltakerliste!P$6:T$84,G39,FALSE)</f>
        <v>1.3729999999999998</v>
      </c>
      <c r="I39" s="132">
        <v>2.8773148148148148E-2</v>
      </c>
      <c r="J39" s="132"/>
      <c r="K39" s="134"/>
      <c r="L39" s="600">
        <f t="shared" si="2"/>
        <v>1.3701499118165785E-2</v>
      </c>
      <c r="M39" s="594">
        <f>IF(L39="Løype",Poengsammendrag!$F$2,IF(L39="Arr",Poengsammendrag!$F$3,IF(L39="Brutt",50,IF(L39="Disk",50,ROUND(MAXA(100*(MIN(L$10:L$92)/L39),50),0)))))</f>
        <v>63</v>
      </c>
      <c r="N39" s="724">
        <f t="shared" si="3"/>
        <v>9.9792418923275953E-3</v>
      </c>
      <c r="O39" s="596">
        <f>IF(N39="Løype",Poengsammendrag!$F$2,IF(N39="Arr",Poengsammendrag!$F$3,IF(N39="Brutt",50,IF(N39="Disk",50,ROUND(MAXA(100*(MIN(N$10:N$92)/N39),50),0)))))</f>
        <v>50</v>
      </c>
      <c r="S39" s="803" t="s">
        <v>349</v>
      </c>
      <c r="T39" s="736">
        <v>1.6468253968253969E-2</v>
      </c>
      <c r="U39" s="752">
        <v>52</v>
      </c>
      <c r="V39" s="781"/>
      <c r="W39" s="776" t="s">
        <v>269</v>
      </c>
      <c r="X39" s="740">
        <v>50</v>
      </c>
      <c r="AB39" s="828">
        <f t="shared" si="5"/>
        <v>84</v>
      </c>
      <c r="AC39" s="829">
        <f t="shared" si="4"/>
        <v>0</v>
      </c>
    </row>
    <row r="40" spans="2:29" ht="21" thickBot="1" x14ac:dyDescent="0.3">
      <c r="B40" s="16">
        <f t="shared" si="0"/>
        <v>31</v>
      </c>
      <c r="C40" s="106" t="s">
        <v>60</v>
      </c>
      <c r="D40" s="107" t="s">
        <v>372</v>
      </c>
      <c r="E40" s="599" t="str">
        <f t="shared" si="1"/>
        <v>JosteinGrepstad</v>
      </c>
      <c r="F40" s="192">
        <f>YEAR(I$5)-_xlfn.XLOOKUP(E40,Deltakerliste!E$5:E$98,Deltakerliste!I$5:I$98)</f>
        <v>75</v>
      </c>
      <c r="G40" s="192">
        <f>_xlfn.XLOOKUP(E40,Deltakerliste!E$5:E$98,Deltakerliste!H$5:H$98)</f>
        <v>2</v>
      </c>
      <c r="H40" s="592">
        <f>VLOOKUP(F40,Deltakerliste!P$6:T$84,G40,FALSE)</f>
        <v>1.605</v>
      </c>
      <c r="I40" s="14">
        <v>3.3773148148148149E-2</v>
      </c>
      <c r="J40" s="14"/>
      <c r="K40" s="18"/>
      <c r="L40" s="600">
        <f t="shared" si="2"/>
        <v>1.6082451499118165E-2</v>
      </c>
      <c r="M40" s="594">
        <f>IF(L40="Løype",Poengsammendrag!$F$2,IF(L40="Arr",Poengsammendrag!$F$3,IF(L40="Brutt",50,IF(L40="Disk",50,ROUND(MAXA(100*(MIN(L$10:L$92)/L40),50),0)))))</f>
        <v>54</v>
      </c>
      <c r="N40" s="724">
        <f t="shared" si="3"/>
        <v>1.0020219002565835E-2</v>
      </c>
      <c r="O40" s="596">
        <f>IF(N40="Løype",Poengsammendrag!$F$2,IF(N40="Arr",Poengsammendrag!$F$3,IF(N40="Brutt",50,IF(N40="Disk",50,ROUND(MAXA(100*(MIN(N$10:N$92)/N40),50),0)))))</f>
        <v>50</v>
      </c>
      <c r="S40" s="803" t="s">
        <v>130</v>
      </c>
      <c r="T40" s="736">
        <v>1.8132716049382717E-2</v>
      </c>
      <c r="U40" s="752">
        <v>50</v>
      </c>
      <c r="V40" s="781"/>
      <c r="W40" s="776" t="s">
        <v>373</v>
      </c>
      <c r="X40" s="740">
        <v>50</v>
      </c>
      <c r="AB40" s="828">
        <f t="shared" si="5"/>
        <v>85</v>
      </c>
      <c r="AC40" s="829">
        <f t="shared" si="4"/>
        <v>1</v>
      </c>
    </row>
    <row r="41" spans="2:29" ht="21" thickBot="1" x14ac:dyDescent="0.3">
      <c r="B41" s="16">
        <f t="shared" si="0"/>
        <v>32</v>
      </c>
      <c r="C41" s="106" t="s">
        <v>130</v>
      </c>
      <c r="D41" s="107" t="s">
        <v>131</v>
      </c>
      <c r="E41" s="599" t="str">
        <f t="shared" si="1"/>
        <v>AtleMørk</v>
      </c>
      <c r="F41" s="192">
        <f>YEAR(I$5)-_xlfn.XLOOKUP(E41,Deltakerliste!E$5:E$98,Deltakerliste!I$5:I$98)</f>
        <v>77</v>
      </c>
      <c r="G41" s="192">
        <f>_xlfn.XLOOKUP(E41,Deltakerliste!E$5:E$98,Deltakerliste!H$5:H$98)</f>
        <v>2</v>
      </c>
      <c r="H41" s="592">
        <f>VLOOKUP(F41,Deltakerliste!P$6:T$84,G41,FALSE)</f>
        <v>1.7050000000000001</v>
      </c>
      <c r="I41" s="132">
        <v>3.8078703703703705E-2</v>
      </c>
      <c r="J41" s="132"/>
      <c r="K41" s="132"/>
      <c r="L41" s="600">
        <f t="shared" si="2"/>
        <v>1.8132716049382717E-2</v>
      </c>
      <c r="M41" s="594">
        <f>IF(L41="Løype",Poengsammendrag!$F$2,IF(L41="Arr",Poengsammendrag!$F$3,IF(L41="Brutt",50,IF(L41="Disk",50,ROUND(MAXA(100*(MIN(L$10:L$92)/L41),50),0)))))</f>
        <v>50</v>
      </c>
      <c r="N41" s="724">
        <f t="shared" si="3"/>
        <v>1.0635024075884292E-2</v>
      </c>
      <c r="O41" s="596">
        <f>IF(N41="Løype",Poengsammendrag!$F$2,IF(N41="Arr",Poengsammendrag!$F$3,IF(N41="Brutt",50,IF(N41="Disk",50,ROUND(MAXA(100*(MIN(N$10:N$92)/N41),50),0)))))</f>
        <v>50</v>
      </c>
      <c r="S41" s="803" t="s">
        <v>96</v>
      </c>
      <c r="T41" s="736">
        <v>1.954365079365079E-2</v>
      </c>
      <c r="U41" s="752">
        <v>50</v>
      </c>
      <c r="V41" s="781"/>
      <c r="W41" s="776" t="s">
        <v>130</v>
      </c>
      <c r="X41" s="740">
        <v>50</v>
      </c>
      <c r="AB41" s="828">
        <f t="shared" si="5"/>
        <v>86</v>
      </c>
      <c r="AC41" s="829">
        <f t="shared" si="4"/>
        <v>1</v>
      </c>
    </row>
    <row r="42" spans="2:29" ht="21" customHeight="1" thickBot="1" x14ac:dyDescent="0.3">
      <c r="B42" s="16">
        <f t="shared" si="0"/>
        <v>33</v>
      </c>
      <c r="C42" s="106" t="s">
        <v>263</v>
      </c>
      <c r="D42" s="107" t="s">
        <v>264</v>
      </c>
      <c r="E42" s="599" t="str">
        <f t="shared" ref="E42:E73" si="6">_xlfn.CONCAT(C42:D42)</f>
        <v>RuneHolt</v>
      </c>
      <c r="F42" s="192">
        <f>YEAR(I$5)-_xlfn.XLOOKUP(E42,Deltakerliste!E$5:E$98,Deltakerliste!I$5:I$98)</f>
        <v>73</v>
      </c>
      <c r="G42" s="192">
        <f>_xlfn.XLOOKUP(E42,Deltakerliste!E$5:E$98,Deltakerliste!H$5:H$98)</f>
        <v>2</v>
      </c>
      <c r="H42" s="592">
        <f>VLOOKUP(F42,Deltakerliste!P$6:T$84,G42,FALSE)</f>
        <v>1.5329999999999999</v>
      </c>
      <c r="I42" s="86">
        <v>4.1122685185185186E-2</v>
      </c>
      <c r="J42" s="134"/>
      <c r="K42" s="17"/>
      <c r="L42" s="600">
        <f t="shared" si="2"/>
        <v>1.9582231040564373E-2</v>
      </c>
      <c r="M42" s="594">
        <f>IF(L42="Løype",Poengsammendrag!$F$2,IF(L42="Arr",Poengsammendrag!$F$3,IF(L42="Brutt",50,IF(L42="Disk",50,ROUND(MAXA(100*(MIN(L$10:L$92)/L42),50),0)))))</f>
        <v>50</v>
      </c>
      <c r="N42" s="724">
        <f t="shared" si="3"/>
        <v>1.2773797156271607E-2</v>
      </c>
      <c r="O42" s="596">
        <f>IF(N42="Løype",Poengsammendrag!$F$2,IF(N42="Arr",Poengsammendrag!$F$3,IF(N42="Brutt",50,IF(N42="Disk",50,ROUND(MAXA(100*(MIN(N$10:N$92)/N42),50),0)))))</f>
        <v>50</v>
      </c>
      <c r="S42" s="803" t="s">
        <v>263</v>
      </c>
      <c r="T42" s="796">
        <v>1.9582231040564373E-2</v>
      </c>
      <c r="U42" s="765">
        <v>50</v>
      </c>
      <c r="V42" s="782"/>
      <c r="W42" s="777" t="s">
        <v>263</v>
      </c>
      <c r="X42" s="762">
        <v>50</v>
      </c>
      <c r="AB42" s="828">
        <f t="shared" si="5"/>
        <v>87</v>
      </c>
      <c r="AC42" s="829">
        <f t="shared" si="4"/>
        <v>1</v>
      </c>
    </row>
    <row r="43" spans="2:29" ht="21" thickBot="1" x14ac:dyDescent="0.3">
      <c r="B43" s="16">
        <f t="shared" si="0"/>
        <v>34</v>
      </c>
      <c r="C43" s="106" t="s">
        <v>80</v>
      </c>
      <c r="D43" s="107" t="s">
        <v>81</v>
      </c>
      <c r="E43" s="599" t="str">
        <f t="shared" si="6"/>
        <v>HalvorFlatberg</v>
      </c>
      <c r="F43" s="192">
        <f>YEAR(I$5)-_xlfn.XLOOKUP(E43,Deltakerliste!E$5:E$98,Deltakerliste!I$5:I$98)</f>
        <v>80</v>
      </c>
      <c r="G43" s="192">
        <f>_xlfn.XLOOKUP(E43,Deltakerliste!E$5:E$98,Deltakerliste!H$5:H$98)</f>
        <v>2</v>
      </c>
      <c r="H43" s="592">
        <f>VLOOKUP(F43,Deltakerliste!P$6:T$84,G43,FALSE)</f>
        <v>1.8550000000000002</v>
      </c>
      <c r="I43" s="86"/>
      <c r="J43" s="86" t="s">
        <v>7</v>
      </c>
      <c r="K43" s="13"/>
      <c r="L43" s="600" t="str">
        <f t="shared" si="2"/>
        <v>Arr</v>
      </c>
      <c r="M43" s="594">
        <f>IF(L43="Løype",Poengsammendrag!$F$2,IF(L43="Arr",Poengsammendrag!$F$3,IF(L43="Brutt",50,IF(L43="Disk",50,ROUND(MAXA(100*(MIN(L$10:L$92)/L43),50),0)))))</f>
        <v>94</v>
      </c>
      <c r="N43" s="724" t="str">
        <f t="shared" si="3"/>
        <v>Arr</v>
      </c>
      <c r="O43" s="596">
        <f>IF(N43="Løype",Poengsammendrag!$F$2,IF(N43="Arr",Poengsammendrag!$F$3,IF(N43="Brutt",50,IF(N43="Disk",50,ROUND(MAXA(100*(MIN(N$10:N$92)/N43),50),0)))))</f>
        <v>94</v>
      </c>
      <c r="S43" s="803" t="s">
        <v>80</v>
      </c>
      <c r="T43" s="797" t="s">
        <v>7</v>
      </c>
      <c r="U43" s="770">
        <v>94</v>
      </c>
      <c r="V43" s="778"/>
      <c r="W43" s="783" t="s">
        <v>80</v>
      </c>
      <c r="X43" s="740">
        <v>94</v>
      </c>
      <c r="AB43" s="828">
        <f t="shared" si="5"/>
        <v>88</v>
      </c>
      <c r="AC43" s="829">
        <f t="shared" si="4"/>
        <v>0</v>
      </c>
    </row>
    <row r="44" spans="2:29" ht="21" customHeight="1" thickBot="1" x14ac:dyDescent="0.3">
      <c r="B44" s="16">
        <f t="shared" si="0"/>
        <v>35</v>
      </c>
      <c r="C44" s="106" t="s">
        <v>116</v>
      </c>
      <c r="D44" s="107" t="s">
        <v>165</v>
      </c>
      <c r="E44" s="599" t="str">
        <f t="shared" si="6"/>
        <v>AndersWaage</v>
      </c>
      <c r="F44" s="192">
        <f>YEAR(I$5)-_xlfn.XLOOKUP(E44,Deltakerliste!E$5:E$98,Deltakerliste!I$5:I$98)</f>
        <v>78</v>
      </c>
      <c r="G44" s="192">
        <f>_xlfn.XLOOKUP(E44,Deltakerliste!E$5:E$98,Deltakerliste!H$5:H$98)</f>
        <v>2</v>
      </c>
      <c r="H44" s="592">
        <f>VLOOKUP(F44,Deltakerliste!P$6:T$84,G44,FALSE)</f>
        <v>1.7550000000000001</v>
      </c>
      <c r="I44" s="18"/>
      <c r="J44" s="132" t="s">
        <v>306</v>
      </c>
      <c r="K44" s="18"/>
      <c r="L44" s="600" t="str">
        <f t="shared" si="2"/>
        <v>Brutt</v>
      </c>
      <c r="M44" s="594">
        <f>IF(L44="Løype",Poengsammendrag!$F$2,IF(L44="Arr",Poengsammendrag!$F$3,IF(L44="Brutt",50,IF(L44="Disk",50,ROUND(MAXA(100*(MIN(L$10:L$92)/L44),50),0)))))</f>
        <v>50</v>
      </c>
      <c r="N44" s="724" t="str">
        <f t="shared" si="3"/>
        <v>Brutt</v>
      </c>
      <c r="O44" s="596">
        <f>IF(N44="Løype",Poengsammendrag!$F$2,IF(N44="Arr",Poengsammendrag!$F$3,IF(N44="Brutt",50,IF(N44="Disk",50,ROUND(MAXA(100*(MIN(N$10:N$92)/N44),50),0)))))</f>
        <v>50</v>
      </c>
      <c r="S44" s="803" t="s">
        <v>314</v>
      </c>
      <c r="T44" s="797" t="s">
        <v>306</v>
      </c>
      <c r="U44" s="770">
        <v>50</v>
      </c>
      <c r="V44" s="772"/>
      <c r="W44" s="783" t="s">
        <v>314</v>
      </c>
      <c r="X44" s="740">
        <v>50</v>
      </c>
      <c r="AB44" s="828">
        <f t="shared" si="5"/>
        <v>89</v>
      </c>
      <c r="AC44" s="829">
        <f t="shared" si="4"/>
        <v>0</v>
      </c>
    </row>
    <row r="45" spans="2:29" ht="21" thickBot="1" x14ac:dyDescent="0.3">
      <c r="B45" s="16">
        <f t="shared" si="0"/>
        <v>36</v>
      </c>
      <c r="C45" s="106" t="s">
        <v>78</v>
      </c>
      <c r="D45" s="107" t="s">
        <v>79</v>
      </c>
      <c r="E45" s="599" t="str">
        <f t="shared" si="6"/>
        <v>LeifEngen</v>
      </c>
      <c r="F45" s="192">
        <f>YEAR(I$5)-_xlfn.XLOOKUP(E45,Deltakerliste!E$5:E$98,Deltakerliste!I$5:I$98)</f>
        <v>85</v>
      </c>
      <c r="G45" s="192">
        <f>_xlfn.XLOOKUP(E45,Deltakerliste!E$5:E$98,Deltakerliste!H$5:H$98)</f>
        <v>2</v>
      </c>
      <c r="H45" s="592">
        <f>VLOOKUP(F45,Deltakerliste!P$6:T$84,G45,FALSE)</f>
        <v>2.2249999999999996</v>
      </c>
      <c r="I45" s="86" t="s">
        <v>306</v>
      </c>
      <c r="J45" s="86"/>
      <c r="K45" s="13"/>
      <c r="L45" s="600" t="str">
        <f t="shared" si="2"/>
        <v>Brutt</v>
      </c>
      <c r="M45" s="594">
        <f>IF(L45="Løype",Poengsammendrag!$F$2,IF(L45="Arr",Poengsammendrag!$F$3,IF(L45="Brutt",50,IF(L45="Disk",50,ROUND(MAXA(100*(MIN(L$10:L$92)/L45),50),0)))))</f>
        <v>50</v>
      </c>
      <c r="N45" s="724" t="str">
        <f t="shared" si="3"/>
        <v>Brutt</v>
      </c>
      <c r="O45" s="596">
        <f>IF(N45="Løype",Poengsammendrag!$F$2,IF(N45="Arr",Poengsammendrag!$F$3,IF(N45="Brutt",50,IF(N45="Disk",50,ROUND(MAXA(100*(MIN(N$10:N$92)/N45),50),0)))))</f>
        <v>50</v>
      </c>
      <c r="S45" s="803" t="s">
        <v>338</v>
      </c>
      <c r="T45" s="797" t="s">
        <v>306</v>
      </c>
      <c r="U45" s="770">
        <v>50</v>
      </c>
      <c r="V45" s="772"/>
      <c r="W45" s="783" t="s">
        <v>338</v>
      </c>
      <c r="X45" s="740">
        <v>50</v>
      </c>
      <c r="AB45" s="828">
        <f t="shared" si="5"/>
        <v>90</v>
      </c>
      <c r="AC45" s="829">
        <f t="shared" si="4"/>
        <v>0</v>
      </c>
    </row>
    <row r="46" spans="2:29" ht="21" thickBot="1" x14ac:dyDescent="0.3">
      <c r="B46" s="16">
        <f t="shared" si="0"/>
        <v>37</v>
      </c>
      <c r="C46" s="106" t="s">
        <v>142</v>
      </c>
      <c r="D46" s="107" t="s">
        <v>143</v>
      </c>
      <c r="E46" s="599" t="str">
        <f t="shared" si="6"/>
        <v>EgilRepvik</v>
      </c>
      <c r="F46" s="192">
        <f>YEAR(I$5)-_xlfn.XLOOKUP(E46,Deltakerliste!E$5:E$98,Deltakerliste!I$5:I$98)</f>
        <v>80</v>
      </c>
      <c r="G46" s="192">
        <f>_xlfn.XLOOKUP(E46,Deltakerliste!E$5:E$98,Deltakerliste!H$5:H$98)</f>
        <v>2</v>
      </c>
      <c r="H46" s="592">
        <f>VLOOKUP(F46,Deltakerliste!P$6:T$84,G46,FALSE)</f>
        <v>1.8550000000000002</v>
      </c>
      <c r="I46" s="132" t="s">
        <v>306</v>
      </c>
      <c r="J46" s="208"/>
      <c r="K46" s="18"/>
      <c r="L46" s="600" t="str">
        <f t="shared" si="2"/>
        <v>Brutt</v>
      </c>
      <c r="M46" s="594">
        <f>IF(L46="Løype",Poengsammendrag!$F$2,IF(L46="Arr",Poengsammendrag!$F$3,IF(L46="Brutt",50,IF(L46="Disk",50,ROUND(MAXA(100*(MIN(L$10:L$92)/L46),50),0)))))</f>
        <v>50</v>
      </c>
      <c r="N46" s="724" t="str">
        <f t="shared" si="3"/>
        <v>Brutt</v>
      </c>
      <c r="O46" s="596">
        <f>IF(N46="Løype",Poengsammendrag!$F$2,IF(N46="Arr",Poengsammendrag!$F$3,IF(N46="Brutt",50,IF(N46="Disk",50,ROUND(MAXA(100*(MIN(N$10:N$92)/N46),50),0)))))</f>
        <v>50</v>
      </c>
      <c r="S46" s="803" t="s">
        <v>356</v>
      </c>
      <c r="T46" s="797" t="s">
        <v>306</v>
      </c>
      <c r="U46" s="770">
        <v>50</v>
      </c>
      <c r="V46" s="772"/>
      <c r="W46" s="783" t="s">
        <v>356</v>
      </c>
      <c r="X46" s="740">
        <v>50</v>
      </c>
      <c r="AB46" s="828">
        <f t="shared" si="5"/>
        <v>91</v>
      </c>
      <c r="AC46" s="829">
        <f t="shared" si="4"/>
        <v>0</v>
      </c>
    </row>
    <row r="47" spans="2:29" ht="21" customHeight="1" thickBot="1" x14ac:dyDescent="0.3">
      <c r="B47" s="16">
        <f t="shared" si="0"/>
        <v>38</v>
      </c>
      <c r="C47" s="106" t="s">
        <v>78</v>
      </c>
      <c r="D47" s="107" t="s">
        <v>146</v>
      </c>
      <c r="E47" s="599" t="str">
        <f t="shared" si="6"/>
        <v>LeifRøhjell</v>
      </c>
      <c r="F47" s="192">
        <f>YEAR(I$5)-_xlfn.XLOOKUP(E47,Deltakerliste!E$5:E$98,Deltakerliste!I$5:I$98)</f>
        <v>82</v>
      </c>
      <c r="G47" s="192">
        <f>_xlfn.XLOOKUP(E47,Deltakerliste!E$5:E$98,Deltakerliste!H$5:H$98)</f>
        <v>2</v>
      </c>
      <c r="H47" s="592">
        <f>VLOOKUP(F47,Deltakerliste!P$6:T$84,G47,FALSE)</f>
        <v>2.0030000000000001</v>
      </c>
      <c r="I47" s="132" t="s">
        <v>306</v>
      </c>
      <c r="J47" s="18"/>
      <c r="K47" s="18"/>
      <c r="L47" s="600" t="str">
        <f t="shared" si="2"/>
        <v>Brutt</v>
      </c>
      <c r="M47" s="594">
        <f>IF(L47="Løype",Poengsammendrag!$F$2,IF(L47="Arr",Poengsammendrag!$F$3,IF(L47="Brutt",50,IF(L47="Disk",50,ROUND(MAXA(100*(MIN(L$10:L$92)/L47),50),0)))))</f>
        <v>50</v>
      </c>
      <c r="N47" s="724" t="str">
        <f t="shared" si="3"/>
        <v>Brutt</v>
      </c>
      <c r="O47" s="596">
        <f>IF(N47="Løype",Poengsammendrag!$F$2,IF(N47="Arr",Poengsammendrag!$F$3,IF(N47="Brutt",50,IF(N47="Disk",50,ROUND(MAXA(100*(MIN(N$10:N$92)/N47),50),0)))))</f>
        <v>50</v>
      </c>
      <c r="S47" s="803" t="s">
        <v>337</v>
      </c>
      <c r="T47" s="797" t="s">
        <v>306</v>
      </c>
      <c r="U47" s="770">
        <v>50</v>
      </c>
      <c r="V47" s="772"/>
      <c r="W47" s="783" t="s">
        <v>337</v>
      </c>
      <c r="X47" s="740">
        <v>50</v>
      </c>
      <c r="AB47" s="828">
        <f t="shared" si="5"/>
        <v>92</v>
      </c>
      <c r="AC47" s="829">
        <f t="shared" si="4"/>
        <v>0</v>
      </c>
    </row>
    <row r="48" spans="2:29" ht="21" customHeight="1" thickBot="1" x14ac:dyDescent="0.3">
      <c r="B48" s="16">
        <f t="shared" si="0"/>
        <v>39</v>
      </c>
      <c r="C48" s="106" t="s">
        <v>63</v>
      </c>
      <c r="D48" s="107" t="s">
        <v>336</v>
      </c>
      <c r="E48" s="599" t="str">
        <f t="shared" si="6"/>
        <v>ToreFornes</v>
      </c>
      <c r="F48" s="192">
        <f>YEAR(I$5)-_xlfn.XLOOKUP(E48,Deltakerliste!E$5:E$98,Deltakerliste!I$5:I$98)</f>
        <v>67</v>
      </c>
      <c r="G48" s="192">
        <f>_xlfn.XLOOKUP(E48,Deltakerliste!E$5:E$98,Deltakerliste!H$5:H$98)</f>
        <v>2</v>
      </c>
      <c r="H48" s="592">
        <f>VLOOKUP(F48,Deltakerliste!P$6:T$84,G48,FALSE)</f>
        <v>1.3469999999999998</v>
      </c>
      <c r="I48" s="86"/>
      <c r="J48" s="86" t="s">
        <v>62</v>
      </c>
      <c r="K48" s="13"/>
      <c r="L48" s="600" t="str">
        <f t="shared" si="2"/>
        <v>Løype</v>
      </c>
      <c r="M48" s="594">
        <f>IF(L48="Løype",Poengsammendrag!$F$2,IF(L48="Arr",Poengsammendrag!$F$3,IF(L48="Brutt",50,IF(L48="Disk",50,ROUND(MAXA(100*(MIN(L$10:L$92)/L48),50),0)))))</f>
        <v>100</v>
      </c>
      <c r="N48" s="724" t="str">
        <f t="shared" si="3"/>
        <v>Løype</v>
      </c>
      <c r="O48" s="596">
        <f>IF(N48="Løype",Poengsammendrag!$F$2,IF(N48="Arr",Poengsammendrag!$F$3,IF(N48="Brutt",50,IF(N48="Disk",50,ROUND(MAXA(100*(MIN(N$10:N$92)/N48),50),0)))))</f>
        <v>100</v>
      </c>
      <c r="S48" s="803" t="s">
        <v>346</v>
      </c>
      <c r="T48" s="797" t="s">
        <v>62</v>
      </c>
      <c r="U48" s="770">
        <v>100</v>
      </c>
      <c r="V48" s="772"/>
      <c r="W48" s="783" t="s">
        <v>346</v>
      </c>
      <c r="X48" s="740">
        <v>100</v>
      </c>
      <c r="AB48" s="828">
        <f t="shared" si="5"/>
        <v>93</v>
      </c>
      <c r="AC48" s="829">
        <f t="shared" si="4"/>
        <v>0</v>
      </c>
    </row>
    <row r="49" spans="2:29" ht="21" customHeight="1" thickBot="1" x14ac:dyDescent="0.3">
      <c r="B49" s="16">
        <f t="shared" si="0"/>
        <v>40</v>
      </c>
      <c r="C49" s="106" t="s">
        <v>60</v>
      </c>
      <c r="D49" s="107" t="s">
        <v>61</v>
      </c>
      <c r="E49" s="599" t="str">
        <f t="shared" si="6"/>
        <v>JosteinAlvestad</v>
      </c>
      <c r="F49" s="192">
        <f>YEAR(I$5)-_xlfn.XLOOKUP(E49,Deltakerliste!E$5:E$98,Deltakerliste!I$5:I$98)</f>
        <v>71</v>
      </c>
      <c r="G49" s="192">
        <f>_xlfn.XLOOKUP(E49,Deltakerliste!E$5:E$98,Deltakerliste!H$5:H$98)</f>
        <v>2</v>
      </c>
      <c r="H49" s="592">
        <f>VLOOKUP(F49,Deltakerliste!P$6:T$84,G49,FALSE)</f>
        <v>1.4609999999999999</v>
      </c>
      <c r="I49" s="13"/>
      <c r="J49" s="13"/>
      <c r="K49" s="17"/>
      <c r="L49" s="600"/>
      <c r="M49" s="594"/>
      <c r="N49" s="724"/>
      <c r="O49" s="596"/>
      <c r="S49" s="803"/>
      <c r="T49" s="796"/>
      <c r="U49" s="793"/>
      <c r="V49" s="794"/>
      <c r="W49" s="795"/>
      <c r="X49" s="762"/>
      <c r="AB49" s="828">
        <f t="shared" si="5"/>
        <v>94</v>
      </c>
      <c r="AC49" s="829">
        <f t="shared" si="4"/>
        <v>0</v>
      </c>
    </row>
    <row r="50" spans="2:29" ht="21" thickBot="1" x14ac:dyDescent="0.3">
      <c r="B50" s="16">
        <f t="shared" si="0"/>
        <v>41</v>
      </c>
      <c r="C50" s="106" t="s">
        <v>66</v>
      </c>
      <c r="D50" s="107" t="s">
        <v>67</v>
      </c>
      <c r="E50" s="599" t="str">
        <f t="shared" si="6"/>
        <v>FrankBjarkø</v>
      </c>
      <c r="F50" s="192">
        <f>YEAR(I$5)-_xlfn.XLOOKUP(E50,Deltakerliste!E$5:E$98,Deltakerliste!I$5:I$98)</f>
        <v>74</v>
      </c>
      <c r="G50" s="192">
        <f>_xlfn.XLOOKUP(E50,Deltakerliste!E$5:E$98,Deltakerliste!H$5:H$98)</f>
        <v>2</v>
      </c>
      <c r="H50" s="592">
        <f>VLOOKUP(F50,Deltakerliste!P$6:T$84,G50,FALSE)</f>
        <v>1.569</v>
      </c>
      <c r="I50" s="13"/>
      <c r="J50" s="13"/>
      <c r="K50" s="13"/>
      <c r="L50" s="600"/>
      <c r="M50" s="594"/>
      <c r="N50" s="724"/>
      <c r="O50" s="596"/>
      <c r="S50" s="803"/>
      <c r="T50" s="851"/>
      <c r="U50" s="770"/>
      <c r="V50" s="772"/>
      <c r="W50" s="783"/>
      <c r="X50" s="740"/>
      <c r="AB50" s="830">
        <f t="shared" si="5"/>
        <v>95</v>
      </c>
      <c r="AC50" s="831">
        <f t="shared" si="4"/>
        <v>0</v>
      </c>
    </row>
    <row r="51" spans="2:29" ht="21" customHeight="1" thickBot="1" x14ac:dyDescent="0.3">
      <c r="B51" s="16">
        <f t="shared" si="0"/>
        <v>42</v>
      </c>
      <c r="C51" s="106" t="s">
        <v>364</v>
      </c>
      <c r="D51" s="107" t="s">
        <v>365</v>
      </c>
      <c r="E51" s="599" t="str">
        <f t="shared" si="6"/>
        <v>GerdBjørset</v>
      </c>
      <c r="F51" s="192">
        <f>YEAR(I$5)-_xlfn.XLOOKUP(E51,Deltakerliste!E$5:E$98,Deltakerliste!I$5:I$98)</f>
        <v>72</v>
      </c>
      <c r="G51" s="192">
        <f>_xlfn.XLOOKUP(E51,Deltakerliste!E$5:E$98,Deltakerliste!H$5:H$98)</f>
        <v>4</v>
      </c>
      <c r="H51" s="592">
        <f>VLOOKUP(F51,Deltakerliste!P$6:T$84,G51,FALSE)</f>
        <v>2.0362000000000013</v>
      </c>
      <c r="I51" s="13"/>
      <c r="J51" s="13"/>
      <c r="K51" s="13"/>
      <c r="L51" s="600"/>
      <c r="M51" s="594"/>
      <c r="N51" s="724"/>
      <c r="O51" s="596"/>
      <c r="S51" s="803"/>
      <c r="T51" s="797"/>
      <c r="U51" s="770"/>
      <c r="V51" s="772"/>
      <c r="W51" s="783"/>
      <c r="X51" s="740"/>
    </row>
    <row r="52" spans="2:29" ht="21" thickBot="1" x14ac:dyDescent="0.3">
      <c r="B52" s="16">
        <f t="shared" si="0"/>
        <v>43</v>
      </c>
      <c r="C52" s="106" t="s">
        <v>64</v>
      </c>
      <c r="D52" s="107" t="s">
        <v>267</v>
      </c>
      <c r="E52" s="599" t="str">
        <f t="shared" si="6"/>
        <v>BjørnBrenne</v>
      </c>
      <c r="F52" s="192">
        <f>YEAR(I$5)-_xlfn.XLOOKUP(E52,Deltakerliste!E$5:E$98,Deltakerliste!I$5:I$98)</f>
        <v>81</v>
      </c>
      <c r="G52" s="192">
        <f>_xlfn.XLOOKUP(E52,Deltakerliste!E$5:E$98,Deltakerliste!H$5:H$98)</f>
        <v>2</v>
      </c>
      <c r="H52" s="592">
        <f>VLOOKUP(F52,Deltakerliste!P$6:T$84,G52,FALSE)</f>
        <v>1.9290000000000003</v>
      </c>
      <c r="I52" s="86"/>
      <c r="J52" s="86"/>
      <c r="K52" s="13"/>
      <c r="L52" s="600"/>
      <c r="M52" s="594"/>
      <c r="N52" s="724"/>
      <c r="O52" s="596"/>
      <c r="S52" s="803"/>
      <c r="T52" s="798"/>
      <c r="U52" s="770"/>
      <c r="V52" s="772"/>
      <c r="W52" s="783"/>
      <c r="X52" s="740"/>
      <c r="AC52" s="651">
        <f>SUM(AC10:AC50)</f>
        <v>39</v>
      </c>
    </row>
    <row r="53" spans="2:29" ht="21" thickBot="1" x14ac:dyDescent="0.3">
      <c r="B53" s="16">
        <f t="shared" si="0"/>
        <v>44</v>
      </c>
      <c r="C53" s="106" t="s">
        <v>342</v>
      </c>
      <c r="D53" s="107" t="s">
        <v>388</v>
      </c>
      <c r="E53" s="599" t="str">
        <f t="shared" si="6"/>
        <v>ArildClausen</v>
      </c>
      <c r="F53" s="192">
        <f>YEAR(I$5)-_xlfn.XLOOKUP(E53,Deltakerliste!E$5:E$98,Deltakerliste!I$5:I$98)</f>
        <v>58</v>
      </c>
      <c r="G53" s="192">
        <f>_xlfn.XLOOKUP(E53,Deltakerliste!E$5:E$98,Deltakerliste!H$5:H$98)</f>
        <v>2</v>
      </c>
      <c r="H53" s="592">
        <f>VLOOKUP(F53,Deltakerliste!P$6:T$84,G53,FALSE)</f>
        <v>1.1720000000000002</v>
      </c>
      <c r="I53" s="86"/>
      <c r="J53" s="86"/>
      <c r="K53" s="13"/>
      <c r="L53" s="600"/>
      <c r="M53" s="594"/>
      <c r="N53" s="724"/>
      <c r="O53" s="596"/>
      <c r="S53" s="803"/>
      <c r="T53" s="798"/>
      <c r="U53" s="770"/>
      <c r="V53" s="772"/>
      <c r="W53" s="783"/>
      <c r="X53" s="740"/>
    </row>
    <row r="54" spans="2:29" ht="21" thickBot="1" x14ac:dyDescent="0.3">
      <c r="B54" s="16">
        <f t="shared" si="0"/>
        <v>45</v>
      </c>
      <c r="C54" s="106" t="s">
        <v>70</v>
      </c>
      <c r="D54" s="107" t="s">
        <v>71</v>
      </c>
      <c r="E54" s="599" t="str">
        <f t="shared" si="6"/>
        <v>TrondDamås</v>
      </c>
      <c r="F54" s="192">
        <f>YEAR(I$5)-_xlfn.XLOOKUP(E54,Deltakerliste!E$5:E$98,Deltakerliste!I$5:I$98)</f>
        <v>76</v>
      </c>
      <c r="G54" s="192">
        <f>_xlfn.XLOOKUP(E54,Deltakerliste!E$5:E$98,Deltakerliste!H$5:H$98)</f>
        <v>2</v>
      </c>
      <c r="H54" s="592">
        <f>VLOOKUP(F54,Deltakerliste!P$6:T$84,G54,FALSE)</f>
        <v>1.655</v>
      </c>
      <c r="I54" s="13"/>
      <c r="J54" s="13"/>
      <c r="K54" s="13"/>
      <c r="L54" s="600"/>
      <c r="M54" s="594"/>
      <c r="N54" s="724"/>
      <c r="O54" s="596"/>
      <c r="S54" s="846"/>
      <c r="T54" s="847"/>
      <c r="U54" s="848"/>
      <c r="V54" s="778"/>
      <c r="W54" s="849"/>
      <c r="X54" s="850"/>
    </row>
    <row r="55" spans="2:29" ht="21" customHeight="1" thickBot="1" x14ac:dyDescent="0.3">
      <c r="B55" s="16">
        <f t="shared" si="0"/>
        <v>46</v>
      </c>
      <c r="C55" s="106" t="s">
        <v>74</v>
      </c>
      <c r="D55" s="107" t="s">
        <v>75</v>
      </c>
      <c r="E55" s="599" t="str">
        <f t="shared" si="6"/>
        <v>StinaElfving</v>
      </c>
      <c r="F55" s="192">
        <f>YEAR(I$5)-_xlfn.XLOOKUP(E55,Deltakerliste!E$5:E$98,Deltakerliste!I$5:I$98)</f>
        <v>76</v>
      </c>
      <c r="G55" s="192">
        <f>_xlfn.XLOOKUP(E55,Deltakerliste!E$5:E$98,Deltakerliste!H$5:H$98)</f>
        <v>4</v>
      </c>
      <c r="H55" s="592">
        <f>VLOOKUP(F55,Deltakerliste!P$6:T$84,G55,FALSE)</f>
        <v>2.2246000000000015</v>
      </c>
      <c r="I55" s="13"/>
      <c r="J55" s="13"/>
      <c r="K55" s="17"/>
      <c r="L55" s="600"/>
      <c r="M55" s="594"/>
      <c r="N55" s="724"/>
      <c r="O55" s="596"/>
      <c r="S55" s="803"/>
      <c r="T55" s="798"/>
      <c r="U55" s="770"/>
      <c r="V55" s="772"/>
      <c r="W55" s="783"/>
      <c r="X55" s="740"/>
    </row>
    <row r="56" spans="2:29" ht="21" thickBot="1" x14ac:dyDescent="0.3">
      <c r="B56" s="16">
        <f t="shared" si="0"/>
        <v>47</v>
      </c>
      <c r="C56" s="106" t="s">
        <v>216</v>
      </c>
      <c r="D56" s="107" t="s">
        <v>77</v>
      </c>
      <c r="E56" s="599" t="str">
        <f t="shared" si="6"/>
        <v>Åse RitaEllingsen</v>
      </c>
      <c r="F56" s="192">
        <f>YEAR(I$5)-_xlfn.XLOOKUP(E56,Deltakerliste!E$5:E$98,Deltakerliste!I$5:I$98)</f>
        <v>62</v>
      </c>
      <c r="G56" s="192">
        <f>_xlfn.XLOOKUP(E56,Deltakerliste!E$5:E$98,Deltakerliste!H$5:H$98)</f>
        <v>4</v>
      </c>
      <c r="H56" s="592">
        <f>VLOOKUP(F56,Deltakerliste!P$6:T$84,G56,FALSE)</f>
        <v>1.6834000000000005</v>
      </c>
      <c r="I56" s="86"/>
      <c r="J56" s="14"/>
      <c r="K56" s="13"/>
      <c r="L56" s="600"/>
      <c r="M56" s="594"/>
      <c r="N56" s="724"/>
      <c r="O56" s="596"/>
      <c r="S56" s="803"/>
      <c r="T56" s="798"/>
      <c r="U56" s="770"/>
      <c r="V56" s="772"/>
      <c r="W56" s="783"/>
      <c r="X56" s="740"/>
    </row>
    <row r="57" spans="2:29" ht="21" thickBot="1" x14ac:dyDescent="0.3">
      <c r="B57" s="16">
        <f t="shared" si="0"/>
        <v>48</v>
      </c>
      <c r="C57" s="106" t="s">
        <v>76</v>
      </c>
      <c r="D57" s="107" t="s">
        <v>77</v>
      </c>
      <c r="E57" s="599" t="str">
        <f t="shared" si="6"/>
        <v>ReinoldEllingsen</v>
      </c>
      <c r="F57" s="192">
        <f>YEAR(I$5)-_xlfn.XLOOKUP(E57,Deltakerliste!E$5:E$98,Deltakerliste!I$5:I$98)</f>
        <v>75</v>
      </c>
      <c r="G57" s="192">
        <f>_xlfn.XLOOKUP(E57,Deltakerliste!E$5:E$98,Deltakerliste!H$5:H$98)</f>
        <v>2</v>
      </c>
      <c r="H57" s="592">
        <f>VLOOKUP(F57,Deltakerliste!P$6:T$84,G57,FALSE)</f>
        <v>1.605</v>
      </c>
      <c r="I57" s="13"/>
      <c r="J57" s="13"/>
      <c r="K57" s="13"/>
      <c r="L57" s="600"/>
      <c r="M57" s="594"/>
      <c r="N57" s="724"/>
      <c r="O57" s="596"/>
      <c r="S57" s="804"/>
      <c r="T57" s="801"/>
      <c r="U57" s="771"/>
      <c r="V57" s="773"/>
      <c r="W57" s="784"/>
      <c r="X57" s="741"/>
    </row>
    <row r="58" spans="2:29" ht="20" customHeight="1" thickBot="1" x14ac:dyDescent="0.3">
      <c r="B58" s="16">
        <f t="shared" si="0"/>
        <v>49</v>
      </c>
      <c r="C58" s="106" t="s">
        <v>271</v>
      </c>
      <c r="D58" s="107" t="s">
        <v>272</v>
      </c>
      <c r="E58" s="599" t="str">
        <f t="shared" si="6"/>
        <v>Arne KjellFoldvik</v>
      </c>
      <c r="F58" s="192">
        <f>YEAR(I$5)-_xlfn.XLOOKUP(E58,Deltakerliste!E$5:E$98,Deltakerliste!I$5:I$98)</f>
        <v>92</v>
      </c>
      <c r="G58" s="192">
        <f>_xlfn.XLOOKUP(E58,Deltakerliste!E$5:E$98,Deltakerliste!H$5:H$98)</f>
        <v>2</v>
      </c>
      <c r="H58" s="592">
        <f>VLOOKUP(F58,Deltakerliste!P$6:T$84,G58,FALSE)</f>
        <v>2.8130000000000002</v>
      </c>
      <c r="I58" s="14"/>
      <c r="J58" s="14"/>
      <c r="K58" s="13"/>
      <c r="L58" s="600"/>
      <c r="M58" s="594"/>
      <c r="N58" s="724"/>
      <c r="O58" s="596"/>
    </row>
    <row r="59" spans="2:29" ht="21" thickBot="1" x14ac:dyDescent="0.3">
      <c r="B59" s="16">
        <f t="shared" si="0"/>
        <v>50</v>
      </c>
      <c r="C59" s="106" t="s">
        <v>82</v>
      </c>
      <c r="D59" s="107" t="s">
        <v>83</v>
      </c>
      <c r="E59" s="599" t="str">
        <f t="shared" si="6"/>
        <v>RoarForbord</v>
      </c>
      <c r="F59" s="192">
        <f>YEAR(I$5)-_xlfn.XLOOKUP(E59,Deltakerliste!E$5:E$98,Deltakerliste!I$5:I$98)</f>
        <v>83</v>
      </c>
      <c r="G59" s="192">
        <f>_xlfn.XLOOKUP(E59,Deltakerliste!E$5:E$98,Deltakerliste!H$5:H$98)</f>
        <v>2</v>
      </c>
      <c r="H59" s="592">
        <f>VLOOKUP(F59,Deltakerliste!P$6:T$84,G59,FALSE)</f>
        <v>2.077</v>
      </c>
      <c r="I59" s="86"/>
      <c r="J59" s="86"/>
      <c r="K59" s="13"/>
      <c r="L59" s="600"/>
      <c r="M59" s="594"/>
      <c r="N59" s="724"/>
      <c r="O59" s="596"/>
    </row>
    <row r="60" spans="2:29" ht="21" customHeight="1" thickBot="1" x14ac:dyDescent="0.3">
      <c r="B60" s="16">
        <f t="shared" si="0"/>
        <v>51</v>
      </c>
      <c r="C60" s="106" t="s">
        <v>377</v>
      </c>
      <c r="D60" s="107" t="s">
        <v>83</v>
      </c>
      <c r="E60" s="599" t="str">
        <f t="shared" si="6"/>
        <v>HildeForbord</v>
      </c>
      <c r="F60" s="192">
        <f>YEAR(I$5)-_xlfn.XLOOKUP(E60,Deltakerliste!E$5:E$98,Deltakerliste!I$5:I$98)</f>
        <v>60</v>
      </c>
      <c r="G60" s="192">
        <f>_xlfn.XLOOKUP(E60,Deltakerliste!E$5:E$98,Deltakerliste!H$5:H$98)</f>
        <v>4</v>
      </c>
      <c r="H60" s="592">
        <f>VLOOKUP(F60,Deltakerliste!P$6:T$84,G60,FALSE)</f>
        <v>1.6250000000000002</v>
      </c>
      <c r="I60" s="14"/>
      <c r="J60" s="14"/>
      <c r="K60" s="13"/>
      <c r="L60" s="600"/>
      <c r="M60" s="594"/>
      <c r="N60" s="724"/>
      <c r="O60" s="596"/>
    </row>
    <row r="61" spans="2:29" ht="21" customHeight="1" thickBot="1" x14ac:dyDescent="0.3">
      <c r="B61" s="16">
        <f t="shared" si="0"/>
        <v>52</v>
      </c>
      <c r="C61" s="106" t="s">
        <v>84</v>
      </c>
      <c r="D61" s="107" t="s">
        <v>85</v>
      </c>
      <c r="E61" s="599" t="str">
        <f t="shared" si="6"/>
        <v>PaulForseth</v>
      </c>
      <c r="F61" s="192">
        <f>YEAR(I$5)-_xlfn.XLOOKUP(E61,Deltakerliste!E$5:E$98,Deltakerliste!I$5:I$98)</f>
        <v>94</v>
      </c>
      <c r="G61" s="192">
        <f>_xlfn.XLOOKUP(E61,Deltakerliste!E$5:E$98,Deltakerliste!H$5:H$98)</f>
        <v>2</v>
      </c>
      <c r="H61" s="592">
        <f>VLOOKUP(F61,Deltakerliste!P$6:T$84,G61,FALSE)</f>
        <v>2.9810000000000003</v>
      </c>
      <c r="I61" s="86"/>
      <c r="J61" s="86"/>
      <c r="K61" s="17"/>
      <c r="L61" s="600"/>
      <c r="M61" s="594"/>
      <c r="N61" s="724"/>
      <c r="O61" s="596"/>
    </row>
    <row r="62" spans="2:29" ht="21" customHeight="1" thickBot="1" x14ac:dyDescent="0.3">
      <c r="B62" s="16">
        <f t="shared" si="0"/>
        <v>53</v>
      </c>
      <c r="C62" s="106" t="s">
        <v>86</v>
      </c>
      <c r="D62" s="107" t="s">
        <v>87</v>
      </c>
      <c r="E62" s="599" t="str">
        <f t="shared" si="6"/>
        <v>KristianFougner</v>
      </c>
      <c r="F62" s="192">
        <f>YEAR(I$5)-_xlfn.XLOOKUP(E62,Deltakerliste!E$5:E$98,Deltakerliste!I$5:I$98)</f>
        <v>76</v>
      </c>
      <c r="G62" s="192">
        <f>_xlfn.XLOOKUP(E62,Deltakerliste!E$5:E$98,Deltakerliste!H$5:H$98)</f>
        <v>2</v>
      </c>
      <c r="H62" s="592">
        <f>VLOOKUP(F62,Deltakerliste!P$6:T$84,G62,FALSE)</f>
        <v>1.655</v>
      </c>
      <c r="I62" s="86"/>
      <c r="J62" s="86"/>
      <c r="K62" s="13"/>
      <c r="L62" s="600"/>
      <c r="M62" s="594"/>
      <c r="N62" s="724"/>
      <c r="O62" s="596"/>
    </row>
    <row r="63" spans="2:29" ht="21" thickBot="1" x14ac:dyDescent="0.3">
      <c r="B63" s="16">
        <f t="shared" si="0"/>
        <v>54</v>
      </c>
      <c r="C63" s="106" t="s">
        <v>207</v>
      </c>
      <c r="D63" s="107" t="s">
        <v>89</v>
      </c>
      <c r="E63" s="599" t="str">
        <f t="shared" si="6"/>
        <v>AnneFuruholt</v>
      </c>
      <c r="F63" s="192">
        <f>YEAR(I$5)-_xlfn.XLOOKUP(E63,Deltakerliste!E$5:E$98,Deltakerliste!I$5:I$98)</f>
        <v>79</v>
      </c>
      <c r="G63" s="192">
        <f>_xlfn.XLOOKUP(E63,Deltakerliste!E$5:E$98,Deltakerliste!H$5:H$98)</f>
        <v>4</v>
      </c>
      <c r="H63" s="592">
        <f>VLOOKUP(F63,Deltakerliste!P$6:T$84,G63,FALSE)</f>
        <v>2.3974000000000011</v>
      </c>
      <c r="I63" s="13"/>
      <c r="J63" s="13"/>
      <c r="K63" s="13"/>
      <c r="L63" s="600"/>
      <c r="M63" s="594"/>
      <c r="N63" s="724"/>
      <c r="O63" s="596"/>
    </row>
    <row r="64" spans="2:29" ht="21" thickBot="1" x14ac:dyDescent="0.3">
      <c r="B64" s="16">
        <f t="shared" si="0"/>
        <v>55</v>
      </c>
      <c r="C64" s="106" t="s">
        <v>116</v>
      </c>
      <c r="D64" s="107" t="s">
        <v>353</v>
      </c>
      <c r="E64" s="599" t="str">
        <f t="shared" si="6"/>
        <v>AndersGjermo</v>
      </c>
      <c r="F64" s="192">
        <f>YEAR(I$5)-_xlfn.XLOOKUP(E64,Deltakerliste!E$5:E$98,Deltakerliste!I$5:I$98)</f>
        <v>68</v>
      </c>
      <c r="G64" s="192">
        <f>_xlfn.XLOOKUP(E64,Deltakerliste!E$5:E$98,Deltakerliste!H$5:H$98)</f>
        <v>2</v>
      </c>
      <c r="H64" s="592">
        <f>VLOOKUP(F64,Deltakerliste!P$6:T$84,G64,FALSE)</f>
        <v>1.3729999999999998</v>
      </c>
      <c r="I64" s="132"/>
      <c r="J64" s="132"/>
      <c r="K64" s="18"/>
      <c r="L64" s="600"/>
      <c r="M64" s="594"/>
      <c r="N64" s="724"/>
      <c r="O64" s="596"/>
    </row>
    <row r="65" spans="2:17" ht="21" thickBot="1" x14ac:dyDescent="0.3">
      <c r="B65" s="16">
        <f t="shared" si="0"/>
        <v>56</v>
      </c>
      <c r="C65" s="106" t="s">
        <v>92</v>
      </c>
      <c r="D65" s="107" t="s">
        <v>93</v>
      </c>
      <c r="E65" s="599" t="str">
        <f t="shared" si="6"/>
        <v>Jens ØysteinGjersvold</v>
      </c>
      <c r="F65" s="192">
        <f>YEAR(I$5)-_xlfn.XLOOKUP(E65,Deltakerliste!E$5:E$98,Deltakerliste!I$5:I$98)</f>
        <v>74</v>
      </c>
      <c r="G65" s="192">
        <f>_xlfn.XLOOKUP(E65,Deltakerliste!E$5:E$98,Deltakerliste!H$5:H$98)</f>
        <v>2</v>
      </c>
      <c r="H65" s="592">
        <f>VLOOKUP(F65,Deltakerliste!P$6:T$84,G65,FALSE)</f>
        <v>1.569</v>
      </c>
      <c r="I65" s="14"/>
      <c r="J65" s="14"/>
      <c r="K65" s="18"/>
      <c r="L65" s="600"/>
      <c r="M65" s="594"/>
      <c r="N65" s="724"/>
      <c r="O65" s="596"/>
    </row>
    <row r="66" spans="2:17" ht="21" thickBot="1" x14ac:dyDescent="0.3">
      <c r="B66" s="16">
        <f t="shared" si="0"/>
        <v>57</v>
      </c>
      <c r="C66" s="106" t="s">
        <v>64</v>
      </c>
      <c r="D66" s="107" t="s">
        <v>366</v>
      </c>
      <c r="E66" s="599" t="str">
        <f t="shared" si="6"/>
        <v>BjørnHafskjold</v>
      </c>
      <c r="F66" s="192">
        <f>YEAR(I$5)-_xlfn.XLOOKUP(E66,Deltakerliste!E$5:E$98,Deltakerliste!I$5:I$98)</f>
        <v>79</v>
      </c>
      <c r="G66" s="192">
        <f>_xlfn.XLOOKUP(E66,Deltakerliste!E$5:E$98,Deltakerliste!H$5:H$98)</f>
        <v>2</v>
      </c>
      <c r="H66" s="592">
        <f>VLOOKUP(F66,Deltakerliste!P$6:T$84,G66,FALSE)</f>
        <v>1.8050000000000002</v>
      </c>
      <c r="I66" s="14"/>
      <c r="J66" s="14"/>
      <c r="K66" s="18"/>
      <c r="L66" s="600"/>
      <c r="M66" s="594"/>
      <c r="N66" s="724"/>
      <c r="O66" s="596"/>
    </row>
    <row r="67" spans="2:17" ht="21" thickBot="1" x14ac:dyDescent="0.3">
      <c r="B67" s="16">
        <f t="shared" si="0"/>
        <v>58</v>
      </c>
      <c r="C67" s="106" t="s">
        <v>94</v>
      </c>
      <c r="D67" s="107" t="s">
        <v>95</v>
      </c>
      <c r="E67" s="599" t="str">
        <f t="shared" si="6"/>
        <v>TerjeHanssen</v>
      </c>
      <c r="F67" s="192">
        <f>YEAR(I$5)-_xlfn.XLOOKUP(E67,Deltakerliste!E$5:E$98,Deltakerliste!I$5:I$98)</f>
        <v>78</v>
      </c>
      <c r="G67" s="192">
        <f>_xlfn.XLOOKUP(E67,Deltakerliste!E$5:E$98,Deltakerliste!H$5:H$98)</f>
        <v>2</v>
      </c>
      <c r="H67" s="592">
        <f>VLOOKUP(F67,Deltakerliste!P$6:T$84,G67,FALSE)</f>
        <v>1.7550000000000001</v>
      </c>
      <c r="I67" s="86"/>
      <c r="J67" s="86"/>
      <c r="K67" s="17"/>
      <c r="L67" s="600"/>
      <c r="M67" s="594"/>
      <c r="N67" s="724"/>
      <c r="O67" s="596"/>
    </row>
    <row r="68" spans="2:17" ht="21" thickBot="1" x14ac:dyDescent="0.3">
      <c r="B68" s="16">
        <f t="shared" si="0"/>
        <v>59</v>
      </c>
      <c r="C68" s="106" t="s">
        <v>63</v>
      </c>
      <c r="D68" s="107" t="s">
        <v>98</v>
      </c>
      <c r="E68" s="599" t="str">
        <f t="shared" si="6"/>
        <v>ToreHeggem</v>
      </c>
      <c r="F68" s="192">
        <f>YEAR(I$5)-_xlfn.XLOOKUP(E68,Deltakerliste!E$5:E$98,Deltakerliste!I$5:I$98)</f>
        <v>73</v>
      </c>
      <c r="G68" s="192">
        <f>_xlfn.XLOOKUP(E68,Deltakerliste!E$5:E$98,Deltakerliste!H$5:H$98)</f>
        <v>2</v>
      </c>
      <c r="H68" s="592">
        <f>VLOOKUP(F68,Deltakerliste!P$6:T$84,G68,FALSE)</f>
        <v>1.5329999999999999</v>
      </c>
      <c r="I68" s="86"/>
      <c r="J68" s="86"/>
      <c r="K68" s="13"/>
      <c r="L68" s="600"/>
      <c r="M68" s="594"/>
      <c r="N68" s="724"/>
      <c r="O68" s="596"/>
    </row>
    <row r="69" spans="2:17" ht="21" thickBot="1" x14ac:dyDescent="0.3">
      <c r="B69" s="16">
        <f t="shared" si="0"/>
        <v>60</v>
      </c>
      <c r="C69" s="106" t="s">
        <v>342</v>
      </c>
      <c r="D69" s="107" t="s">
        <v>343</v>
      </c>
      <c r="E69" s="599" t="str">
        <f t="shared" si="6"/>
        <v>ArildHeggeset</v>
      </c>
      <c r="F69" s="192">
        <f>YEAR(I$5)-_xlfn.XLOOKUP(E69,Deltakerliste!E$5:E$98,Deltakerliste!I$5:I$98)</f>
        <v>59</v>
      </c>
      <c r="G69" s="192">
        <f>_xlfn.XLOOKUP(E69,Deltakerliste!E$5:E$98,Deltakerliste!H$5:H$98)</f>
        <v>2</v>
      </c>
      <c r="H69" s="592">
        <f>VLOOKUP(F69,Deltakerliste!P$6:T$84,G69,FALSE)</f>
        <v>1.1860000000000002</v>
      </c>
      <c r="I69" s="86"/>
      <c r="J69" s="86"/>
      <c r="K69" s="13"/>
      <c r="L69" s="600"/>
      <c r="M69" s="594"/>
      <c r="N69" s="724"/>
      <c r="O69" s="596"/>
    </row>
    <row r="70" spans="2:17" ht="21" thickBot="1" x14ac:dyDescent="0.3">
      <c r="B70" s="16">
        <f t="shared" si="0"/>
        <v>61</v>
      </c>
      <c r="C70" s="106" t="s">
        <v>309</v>
      </c>
      <c r="D70" s="107" t="s">
        <v>310</v>
      </c>
      <c r="E70" s="599" t="str">
        <f t="shared" si="6"/>
        <v>VigdisHeimly</v>
      </c>
      <c r="F70" s="192">
        <f>YEAR(I$5)-_xlfn.XLOOKUP(E70,Deltakerliste!E$5:E$98,Deltakerliste!I$5:I$98)</f>
        <v>67</v>
      </c>
      <c r="G70" s="192">
        <f>_xlfn.XLOOKUP(E70,Deltakerliste!E$5:E$98,Deltakerliste!H$5:H$98)</f>
        <v>4</v>
      </c>
      <c r="H70" s="592">
        <f>VLOOKUP(F70,Deltakerliste!P$6:T$84,G70,FALSE)</f>
        <v>1.8422000000000009</v>
      </c>
      <c r="I70" s="86"/>
      <c r="J70" s="86"/>
      <c r="K70" s="17"/>
      <c r="L70" s="600"/>
      <c r="M70" s="594"/>
      <c r="N70" s="724"/>
      <c r="O70" s="596"/>
    </row>
    <row r="71" spans="2:17" ht="21" thickBot="1" x14ac:dyDescent="0.3">
      <c r="B71" s="16">
        <f t="shared" si="0"/>
        <v>62</v>
      </c>
      <c r="C71" s="106" t="s">
        <v>118</v>
      </c>
      <c r="D71" s="107" t="s">
        <v>383</v>
      </c>
      <c r="E71" s="599" t="str">
        <f t="shared" si="6"/>
        <v>KnutHelland</v>
      </c>
      <c r="F71" s="192">
        <f>YEAR(I$5)-_xlfn.XLOOKUP(E71,Deltakerliste!E$5:E$98,Deltakerliste!I$5:I$98)</f>
        <v>64</v>
      </c>
      <c r="G71" s="192">
        <f>_xlfn.XLOOKUP(E71,Deltakerliste!E$5:E$98,Deltakerliste!H$5:H$98)</f>
        <v>2</v>
      </c>
      <c r="H71" s="592">
        <f>VLOOKUP(F71,Deltakerliste!P$6:T$84,G71,FALSE)</f>
        <v>1.2759999999999998</v>
      </c>
      <c r="I71" s="86"/>
      <c r="J71" s="86"/>
      <c r="K71" s="17"/>
      <c r="L71" s="600"/>
      <c r="M71" s="594"/>
      <c r="N71" s="724"/>
      <c r="O71" s="596"/>
    </row>
    <row r="72" spans="2:17" ht="21" thickBot="1" x14ac:dyDescent="0.3">
      <c r="B72" s="16">
        <f t="shared" si="0"/>
        <v>63</v>
      </c>
      <c r="C72" s="106" t="s">
        <v>63</v>
      </c>
      <c r="D72" s="107" t="s">
        <v>105</v>
      </c>
      <c r="E72" s="599" t="str">
        <f t="shared" si="6"/>
        <v>ToreKiste</v>
      </c>
      <c r="F72" s="192">
        <f>YEAR(I$5)-_xlfn.XLOOKUP(E72,Deltakerliste!E$5:E$98,Deltakerliste!I$5:I$98)</f>
        <v>81</v>
      </c>
      <c r="G72" s="192">
        <f>_xlfn.XLOOKUP(E72,Deltakerliste!E$5:E$98,Deltakerliste!H$5:H$98)</f>
        <v>2</v>
      </c>
      <c r="H72" s="592">
        <f>VLOOKUP(F72,Deltakerliste!P$6:T$84,G72,FALSE)</f>
        <v>1.9290000000000003</v>
      </c>
      <c r="I72" s="86"/>
      <c r="J72" s="86"/>
      <c r="K72" s="13"/>
      <c r="L72" s="600"/>
      <c r="M72" s="594"/>
      <c r="N72" s="724"/>
      <c r="O72" s="596"/>
    </row>
    <row r="73" spans="2:17" ht="21" thickBot="1" x14ac:dyDescent="0.3">
      <c r="B73" s="16">
        <f t="shared" si="0"/>
        <v>64</v>
      </c>
      <c r="C73" s="106" t="s">
        <v>106</v>
      </c>
      <c r="D73" s="107" t="s">
        <v>107</v>
      </c>
      <c r="E73" s="599" t="str">
        <f t="shared" si="6"/>
        <v>Jon ArneKlemetsaune</v>
      </c>
      <c r="F73" s="192">
        <f>YEAR(I$5)-_xlfn.XLOOKUP(E73,Deltakerliste!E$5:E$98,Deltakerliste!I$5:I$98)</f>
        <v>77</v>
      </c>
      <c r="G73" s="192">
        <f>_xlfn.XLOOKUP(E73,Deltakerliste!E$5:E$98,Deltakerliste!H$5:H$98)</f>
        <v>2</v>
      </c>
      <c r="H73" s="592">
        <f>VLOOKUP(F73,Deltakerliste!P$6:T$84,G73,FALSE)</f>
        <v>1.7050000000000001</v>
      </c>
      <c r="I73" s="86"/>
      <c r="J73" s="86"/>
      <c r="K73" s="17"/>
      <c r="L73" s="600"/>
      <c r="M73" s="594"/>
      <c r="N73" s="724"/>
      <c r="O73" s="596"/>
    </row>
    <row r="74" spans="2:17" ht="21" thickBot="1" x14ac:dyDescent="0.3">
      <c r="B74" s="16">
        <f t="shared" ref="B74:B94" si="7">B73+1</f>
        <v>65</v>
      </c>
      <c r="C74" s="106" t="s">
        <v>108</v>
      </c>
      <c r="D74" s="107" t="s">
        <v>109</v>
      </c>
      <c r="E74" s="599" t="str">
        <f t="shared" ref="E74:E94" si="8">_xlfn.CONCAT(C74:D74)</f>
        <v>Finn FayeKnudsen</v>
      </c>
      <c r="F74" s="192">
        <f>YEAR(I$5)-_xlfn.XLOOKUP(E74,Deltakerliste!E$5:E$98,Deltakerliste!I$5:I$98)</f>
        <v>84</v>
      </c>
      <c r="G74" s="192">
        <f>_xlfn.XLOOKUP(E74,Deltakerliste!E$5:E$98,Deltakerliste!H$5:H$98)</f>
        <v>2</v>
      </c>
      <c r="H74" s="592">
        <f>VLOOKUP(F74,Deltakerliste!P$6:T$84,G74,FALSE)</f>
        <v>2.1509999999999998</v>
      </c>
      <c r="I74" s="86"/>
      <c r="J74" s="86"/>
      <c r="K74" s="13"/>
      <c r="L74" s="600"/>
      <c r="M74" s="594"/>
      <c r="N74" s="724"/>
      <c r="O74" s="596"/>
    </row>
    <row r="75" spans="2:17" ht="21" thickBot="1" x14ac:dyDescent="0.3">
      <c r="B75" s="16">
        <f t="shared" si="7"/>
        <v>66</v>
      </c>
      <c r="C75" s="106" t="s">
        <v>110</v>
      </c>
      <c r="D75" s="107" t="s">
        <v>111</v>
      </c>
      <c r="E75" s="599" t="str">
        <f t="shared" si="8"/>
        <v>Jan ErikKofoed</v>
      </c>
      <c r="F75" s="192">
        <f>YEAR(I$5)-_xlfn.XLOOKUP(E75,Deltakerliste!E$5:E$98,Deltakerliste!I$5:I$98)</f>
        <v>72</v>
      </c>
      <c r="G75" s="192">
        <f>_xlfn.XLOOKUP(E75,Deltakerliste!E$5:E$98,Deltakerliste!H$5:H$98)</f>
        <v>2</v>
      </c>
      <c r="H75" s="592">
        <f>VLOOKUP(F75,Deltakerliste!P$6:T$84,G75,FALSE)</f>
        <v>1.4969999999999999</v>
      </c>
      <c r="I75" s="86"/>
      <c r="J75" s="86"/>
      <c r="K75" s="13"/>
      <c r="L75" s="600"/>
      <c r="M75" s="594"/>
      <c r="N75" s="724"/>
      <c r="O75" s="596"/>
      <c r="Q75" s="112"/>
    </row>
    <row r="76" spans="2:17" ht="21" thickBot="1" x14ac:dyDescent="0.3">
      <c r="B76" s="16">
        <f t="shared" si="7"/>
        <v>67</v>
      </c>
      <c r="C76" s="106" t="s">
        <v>251</v>
      </c>
      <c r="D76" s="107" t="s">
        <v>252</v>
      </c>
      <c r="E76" s="599" t="str">
        <f t="shared" si="8"/>
        <v>OttarKristiansen</v>
      </c>
      <c r="F76" s="192">
        <f>YEAR(I$5)-_xlfn.XLOOKUP(E76,Deltakerliste!E$5:E$98,Deltakerliste!I$5:I$98)</f>
        <v>77</v>
      </c>
      <c r="G76" s="192">
        <f>_xlfn.XLOOKUP(E76,Deltakerliste!E$5:E$98,Deltakerliste!H$5:H$98)</f>
        <v>2</v>
      </c>
      <c r="H76" s="592">
        <f>VLOOKUP(F76,Deltakerliste!P$6:T$84,G76,FALSE)</f>
        <v>1.7050000000000001</v>
      </c>
      <c r="I76" s="86"/>
      <c r="J76" s="86"/>
      <c r="K76" s="17"/>
      <c r="L76" s="600"/>
      <c r="M76" s="594"/>
      <c r="N76" s="724"/>
      <c r="O76" s="596"/>
    </row>
    <row r="77" spans="2:17" ht="21" thickBot="1" x14ac:dyDescent="0.3">
      <c r="B77" s="16">
        <f t="shared" si="7"/>
        <v>68</v>
      </c>
      <c r="C77" s="106" t="s">
        <v>112</v>
      </c>
      <c r="D77" s="107" t="s">
        <v>113</v>
      </c>
      <c r="E77" s="599" t="str">
        <f t="shared" si="8"/>
        <v>ToridKvaal</v>
      </c>
      <c r="F77" s="192">
        <f>YEAR(I$5)-_xlfn.XLOOKUP(E77,Deltakerliste!E$5:E$98,Deltakerliste!I$5:I$98)</f>
        <v>84</v>
      </c>
      <c r="G77" s="192">
        <f>_xlfn.XLOOKUP(E77,Deltakerliste!E$5:E$98,Deltakerliste!H$5:H$98)</f>
        <v>4</v>
      </c>
      <c r="H77" s="592">
        <f>VLOOKUP(F77,Deltakerliste!P$6:T$84,G77,FALSE)</f>
        <v>2.7814000000000005</v>
      </c>
      <c r="I77" s="86"/>
      <c r="J77" s="86"/>
      <c r="K77" s="13"/>
      <c r="L77" s="600"/>
      <c r="M77" s="594"/>
      <c r="N77" s="724"/>
      <c r="O77" s="596"/>
    </row>
    <row r="78" spans="2:17" ht="21" thickBot="1" x14ac:dyDescent="0.3">
      <c r="B78" s="16">
        <f t="shared" si="7"/>
        <v>69</v>
      </c>
      <c r="C78" s="106" t="s">
        <v>254</v>
      </c>
      <c r="D78" s="107" t="s">
        <v>255</v>
      </c>
      <c r="E78" s="599" t="str">
        <f t="shared" si="8"/>
        <v>ArnfinnLangeland</v>
      </c>
      <c r="F78" s="192">
        <f>YEAR(I$5)-_xlfn.XLOOKUP(E78,Deltakerliste!E$5:E$98,Deltakerliste!I$5:I$98)</f>
        <v>90</v>
      </c>
      <c r="G78" s="192">
        <f>_xlfn.XLOOKUP(E78,Deltakerliste!E$5:E$98,Deltakerliste!H$5:H$98)</f>
        <v>2</v>
      </c>
      <c r="H78" s="592">
        <f>VLOOKUP(F78,Deltakerliste!P$6:T$84,G78,FALSE)</f>
        <v>2.645</v>
      </c>
      <c r="I78" s="86"/>
      <c r="J78" s="86"/>
      <c r="K78" s="13"/>
      <c r="L78" s="600"/>
      <c r="M78" s="594"/>
      <c r="N78" s="724"/>
      <c r="O78" s="596"/>
    </row>
    <row r="79" spans="2:17" ht="21" thickBot="1" x14ac:dyDescent="0.3">
      <c r="B79" s="16">
        <f t="shared" si="7"/>
        <v>70</v>
      </c>
      <c r="C79" s="106" t="s">
        <v>116</v>
      </c>
      <c r="D79" s="107" t="s">
        <v>117</v>
      </c>
      <c r="E79" s="599" t="str">
        <f t="shared" si="8"/>
        <v>AndersLauglo</v>
      </c>
      <c r="F79" s="192">
        <f>YEAR(I$5)-_xlfn.XLOOKUP(E79,Deltakerliste!E$5:E$98,Deltakerliste!I$5:I$98)</f>
        <v>87</v>
      </c>
      <c r="G79" s="192">
        <f>_xlfn.XLOOKUP(E79,Deltakerliste!E$5:E$98,Deltakerliste!H$5:H$98)</f>
        <v>2</v>
      </c>
      <c r="H79" s="592">
        <f>VLOOKUP(F79,Deltakerliste!P$6:T$84,G79,FALSE)</f>
        <v>2.3929999999999998</v>
      </c>
      <c r="I79" s="13"/>
      <c r="J79" s="13"/>
      <c r="K79" s="86"/>
      <c r="L79" s="600"/>
      <c r="M79" s="594"/>
      <c r="N79" s="724"/>
      <c r="O79" s="596"/>
    </row>
    <row r="80" spans="2:17" ht="21" thickBot="1" x14ac:dyDescent="0.3">
      <c r="B80" s="16">
        <f t="shared" si="7"/>
        <v>71</v>
      </c>
      <c r="C80" s="106" t="s">
        <v>120</v>
      </c>
      <c r="D80" s="107" t="s">
        <v>121</v>
      </c>
      <c r="E80" s="599" t="str">
        <f t="shared" si="8"/>
        <v>KlausLivik</v>
      </c>
      <c r="F80" s="192">
        <f>YEAR(I$5)-_xlfn.XLOOKUP(E80,Deltakerliste!E$5:E$98,Deltakerliste!I$5:I$98)</f>
        <v>72</v>
      </c>
      <c r="G80" s="192">
        <f>_xlfn.XLOOKUP(E80,Deltakerliste!E$5:E$98,Deltakerliste!H$5:H$98)</f>
        <v>2</v>
      </c>
      <c r="H80" s="592">
        <f>VLOOKUP(F80,Deltakerliste!P$6:T$84,G80,FALSE)</f>
        <v>1.4969999999999999</v>
      </c>
      <c r="I80" s="13"/>
      <c r="J80" s="13"/>
      <c r="K80" s="17"/>
      <c r="L80" s="600"/>
      <c r="M80" s="594"/>
      <c r="N80" s="724"/>
      <c r="O80" s="596"/>
    </row>
    <row r="81" spans="2:15" ht="21" thickBot="1" x14ac:dyDescent="0.3">
      <c r="B81" s="16">
        <f t="shared" si="7"/>
        <v>72</v>
      </c>
      <c r="C81" s="106" t="s">
        <v>248</v>
      </c>
      <c r="D81" s="107" t="s">
        <v>249</v>
      </c>
      <c r="E81" s="599" t="str">
        <f t="shared" si="8"/>
        <v>ErikLund</v>
      </c>
      <c r="F81" s="192">
        <f>YEAR(I$5)-_xlfn.XLOOKUP(E81,Deltakerliste!E$5:E$98,Deltakerliste!I$5:I$98)</f>
        <v>79</v>
      </c>
      <c r="G81" s="192">
        <f>_xlfn.XLOOKUP(E81,Deltakerliste!E$5:E$98,Deltakerliste!H$5:H$98)</f>
        <v>2</v>
      </c>
      <c r="H81" s="592">
        <f>VLOOKUP(F81,Deltakerliste!P$6:T$84,G81,FALSE)</f>
        <v>1.8050000000000002</v>
      </c>
      <c r="I81" s="13"/>
      <c r="J81" s="13"/>
      <c r="K81" s="17"/>
      <c r="L81" s="600"/>
      <c r="M81" s="594"/>
      <c r="N81" s="724"/>
      <c r="O81" s="596"/>
    </row>
    <row r="82" spans="2:15" ht="21" thickBot="1" x14ac:dyDescent="0.3">
      <c r="B82" s="16">
        <f t="shared" si="7"/>
        <v>73</v>
      </c>
      <c r="C82" s="106" t="s">
        <v>128</v>
      </c>
      <c r="D82" s="107" t="s">
        <v>129</v>
      </c>
      <c r="E82" s="599" t="str">
        <f t="shared" si="8"/>
        <v>OddMusum</v>
      </c>
      <c r="F82" s="192">
        <f>YEAR(I$5)-_xlfn.XLOOKUP(E82,Deltakerliste!E$5:E$98,Deltakerliste!I$5:I$98)</f>
        <v>84</v>
      </c>
      <c r="G82" s="192">
        <f>_xlfn.XLOOKUP(E82,Deltakerliste!E$5:E$98,Deltakerliste!H$5:H$98)</f>
        <v>2</v>
      </c>
      <c r="H82" s="592">
        <f>VLOOKUP(F82,Deltakerliste!P$6:T$84,G82,FALSE)</f>
        <v>2.1509999999999998</v>
      </c>
      <c r="I82" s="13"/>
      <c r="J82" s="13"/>
      <c r="K82" s="13"/>
      <c r="L82" s="600"/>
      <c r="M82" s="594"/>
      <c r="N82" s="724"/>
      <c r="O82" s="596"/>
    </row>
    <row r="83" spans="2:15" ht="21" thickBot="1" x14ac:dyDescent="0.3">
      <c r="B83" s="16">
        <f t="shared" si="7"/>
        <v>74</v>
      </c>
      <c r="C83" s="111" t="s">
        <v>132</v>
      </c>
      <c r="D83" s="193" t="s">
        <v>133</v>
      </c>
      <c r="E83" s="599" t="str">
        <f t="shared" si="8"/>
        <v>JarleNestvold</v>
      </c>
      <c r="F83" s="192">
        <f>YEAR(I$5)-_xlfn.XLOOKUP(E83,Deltakerliste!E$5:E$98,Deltakerliste!I$5:I$98)</f>
        <v>89</v>
      </c>
      <c r="G83" s="192">
        <f>_xlfn.XLOOKUP(E83,Deltakerliste!E$5:E$98,Deltakerliste!H$5:H$98)</f>
        <v>2</v>
      </c>
      <c r="H83" s="592">
        <f>VLOOKUP(F83,Deltakerliste!P$6:T$84,G83,FALSE)</f>
        <v>2.5609999999999999</v>
      </c>
      <c r="I83" s="132"/>
      <c r="J83" s="18"/>
      <c r="K83" s="18"/>
      <c r="L83" s="600"/>
      <c r="M83" s="594"/>
      <c r="N83" s="724"/>
      <c r="O83" s="596"/>
    </row>
    <row r="84" spans="2:15" ht="21" thickBot="1" x14ac:dyDescent="0.3">
      <c r="B84" s="16">
        <f t="shared" si="7"/>
        <v>75</v>
      </c>
      <c r="C84" s="111" t="s">
        <v>265</v>
      </c>
      <c r="D84" s="193" t="s">
        <v>344</v>
      </c>
      <c r="E84" s="599" t="str">
        <f t="shared" si="8"/>
        <v>ØysteinNytrø</v>
      </c>
      <c r="F84" s="192">
        <f>YEAR(I$5)-_xlfn.XLOOKUP(E84,Deltakerliste!E$5:E$98,Deltakerliste!I$5:I$98)</f>
        <v>66</v>
      </c>
      <c r="G84" s="192">
        <f>_xlfn.XLOOKUP(E84,Deltakerliste!E$5:E$98,Deltakerliste!H$5:H$98)</f>
        <v>2</v>
      </c>
      <c r="H84" s="592">
        <f>VLOOKUP(F84,Deltakerliste!P$6:T$84,G84,FALSE)</f>
        <v>1.3209999999999997</v>
      </c>
      <c r="I84" s="18"/>
      <c r="J84" s="132"/>
      <c r="K84" s="18"/>
      <c r="L84" s="600"/>
      <c r="M84" s="594"/>
      <c r="N84" s="724"/>
      <c r="O84" s="596"/>
    </row>
    <row r="85" spans="2:15" ht="21" thickBot="1" x14ac:dyDescent="0.3">
      <c r="B85" s="16">
        <f t="shared" si="7"/>
        <v>76</v>
      </c>
      <c r="C85" s="111" t="s">
        <v>140</v>
      </c>
      <c r="D85" s="108" t="s">
        <v>141</v>
      </c>
      <c r="E85" s="599" t="str">
        <f t="shared" si="8"/>
        <v>Grete BergeOwren</v>
      </c>
      <c r="F85" s="192">
        <f>YEAR(I$5)-_xlfn.XLOOKUP(E85,Deltakerliste!E$5:E$98,Deltakerliste!I$5:I$98)</f>
        <v>68</v>
      </c>
      <c r="G85" s="192">
        <f>_xlfn.XLOOKUP(E85,Deltakerliste!E$5:E$98,Deltakerliste!H$5:H$98)</f>
        <v>4</v>
      </c>
      <c r="H85" s="592">
        <f>VLOOKUP(F85,Deltakerliste!P$6:T$84,G85,FALSE)</f>
        <v>1.877800000000001</v>
      </c>
      <c r="I85" s="18"/>
      <c r="J85" s="18"/>
      <c r="K85" s="18"/>
      <c r="L85" s="600"/>
      <c r="M85" s="594"/>
      <c r="N85" s="724"/>
      <c r="O85" s="596"/>
    </row>
    <row r="86" spans="2:15" ht="21" thickBot="1" x14ac:dyDescent="0.3">
      <c r="B86" s="16">
        <f t="shared" si="7"/>
        <v>77</v>
      </c>
      <c r="C86" s="111" t="s">
        <v>144</v>
      </c>
      <c r="D86" s="193" t="s">
        <v>145</v>
      </c>
      <c r="E86" s="599" t="str">
        <f t="shared" si="8"/>
        <v>Bjørn Rindstad</v>
      </c>
      <c r="F86" s="192">
        <f>YEAR(I$5)-_xlfn.XLOOKUP(E86,Deltakerliste!E$5:E$98,Deltakerliste!I$5:I$98)</f>
        <v>75</v>
      </c>
      <c r="G86" s="192">
        <f>_xlfn.XLOOKUP(E86,Deltakerliste!E$5:E$98,Deltakerliste!H$5:H$98)</f>
        <v>2</v>
      </c>
      <c r="H86" s="592">
        <f>VLOOKUP(F86,Deltakerliste!P$6:T$84,G86,FALSE)</f>
        <v>1.605</v>
      </c>
      <c r="I86" s="18"/>
      <c r="J86" s="18"/>
      <c r="K86" s="18"/>
      <c r="L86" s="600"/>
      <c r="M86" s="594"/>
      <c r="N86" s="724"/>
      <c r="O86" s="596"/>
    </row>
    <row r="87" spans="2:15" ht="21" thickBot="1" x14ac:dyDescent="0.3">
      <c r="B87" s="16">
        <f t="shared" si="7"/>
        <v>78</v>
      </c>
      <c r="C87" s="111" t="s">
        <v>228</v>
      </c>
      <c r="D87" s="193" t="s">
        <v>229</v>
      </c>
      <c r="E87" s="599" t="str">
        <f t="shared" si="8"/>
        <v>May-LisRønning</v>
      </c>
      <c r="F87" s="192">
        <f>YEAR(I$5)-_xlfn.XLOOKUP(E87,Deltakerliste!E$5:E$98,Deltakerliste!I$5:I$98)</f>
        <v>56</v>
      </c>
      <c r="G87" s="192">
        <f>_xlfn.XLOOKUP(E87,Deltakerliste!E$5:E$98,Deltakerliste!H$5:H$98)</f>
        <v>4</v>
      </c>
      <c r="H87" s="592">
        <f>VLOOKUP(F87,Deltakerliste!P$6:T$84,G87,FALSE)</f>
        <v>1.5329999999999997</v>
      </c>
      <c r="I87" s="18"/>
      <c r="J87" s="18"/>
      <c r="K87" s="18"/>
      <c r="L87" s="600"/>
      <c r="M87" s="594"/>
      <c r="N87" s="724"/>
      <c r="O87" s="596"/>
    </row>
    <row r="88" spans="2:15" ht="21" thickBot="1" x14ac:dyDescent="0.3">
      <c r="B88" s="16">
        <f t="shared" si="7"/>
        <v>79</v>
      </c>
      <c r="C88" s="111" t="s">
        <v>147</v>
      </c>
      <c r="D88" s="108" t="s">
        <v>148</v>
      </c>
      <c r="E88" s="599" t="str">
        <f t="shared" si="8"/>
        <v>ViggoSchei</v>
      </c>
      <c r="F88" s="192">
        <f>YEAR(I$5)-_xlfn.XLOOKUP(E88,Deltakerliste!E$5:E$98,Deltakerliste!I$5:I$98)</f>
        <v>75</v>
      </c>
      <c r="G88" s="192">
        <f>_xlfn.XLOOKUP(E88,Deltakerliste!E$5:E$98,Deltakerliste!H$5:H$98)</f>
        <v>2</v>
      </c>
      <c r="H88" s="592">
        <f>VLOOKUP(F88,Deltakerliste!P$6:T$84,G88,FALSE)</f>
        <v>1.605</v>
      </c>
      <c r="I88" s="18"/>
      <c r="J88" s="132"/>
      <c r="K88" s="18"/>
      <c r="L88" s="600"/>
      <c r="M88" s="594"/>
      <c r="N88" s="724"/>
      <c r="O88" s="596"/>
    </row>
    <row r="89" spans="2:15" ht="21" thickBot="1" x14ac:dyDescent="0.3">
      <c r="B89" s="16">
        <f t="shared" si="7"/>
        <v>80</v>
      </c>
      <c r="C89" s="111" t="s">
        <v>298</v>
      </c>
      <c r="D89" s="108" t="s">
        <v>297</v>
      </c>
      <c r="E89" s="599" t="str">
        <f t="shared" si="8"/>
        <v>ØyvindSchjelderup</v>
      </c>
      <c r="F89" s="192">
        <f>YEAR(I$5)-_xlfn.XLOOKUP(E89,Deltakerliste!E$5:E$98,Deltakerliste!I$5:I$98)</f>
        <v>61</v>
      </c>
      <c r="G89" s="192">
        <f>_xlfn.XLOOKUP(E89,Deltakerliste!E$5:E$98,Deltakerliste!H$5:H$98)</f>
        <v>2</v>
      </c>
      <c r="H89" s="592">
        <f>VLOOKUP(F89,Deltakerliste!P$6:T$84,G89,FALSE)</f>
        <v>1.2190000000000001</v>
      </c>
      <c r="I89" s="18"/>
      <c r="J89" s="18"/>
      <c r="K89" s="18"/>
      <c r="L89" s="600"/>
      <c r="M89" s="594"/>
      <c r="N89" s="724"/>
      <c r="O89" s="596"/>
    </row>
    <row r="90" spans="2:15" ht="21" thickBot="1" x14ac:dyDescent="0.3">
      <c r="B90" s="16">
        <f t="shared" si="7"/>
        <v>81</v>
      </c>
      <c r="C90" s="193" t="s">
        <v>153</v>
      </c>
      <c r="D90" s="108" t="s">
        <v>154</v>
      </c>
      <c r="E90" s="599" t="str">
        <f t="shared" si="8"/>
        <v>ReidunSmaavik</v>
      </c>
      <c r="F90" s="192">
        <f>YEAR(I$5)-_xlfn.XLOOKUP(E90,Deltakerliste!E$5:E$98,Deltakerliste!I$5:I$98)</f>
        <v>71</v>
      </c>
      <c r="G90" s="192">
        <f>_xlfn.XLOOKUP(E90,Deltakerliste!E$5:E$98,Deltakerliste!H$5:H$98)</f>
        <v>4</v>
      </c>
      <c r="H90" s="592">
        <f>VLOOKUP(F90,Deltakerliste!P$6:T$84,G90,FALSE)</f>
        <v>1.9926000000000013</v>
      </c>
      <c r="I90" s="132"/>
      <c r="J90" s="18"/>
      <c r="K90" s="18"/>
      <c r="L90" s="600"/>
      <c r="M90" s="594"/>
      <c r="N90" s="724"/>
      <c r="O90" s="596"/>
    </row>
    <row r="91" spans="2:15" ht="21" thickBot="1" x14ac:dyDescent="0.3">
      <c r="B91" s="16">
        <f t="shared" si="7"/>
        <v>82</v>
      </c>
      <c r="C91" s="193" t="s">
        <v>155</v>
      </c>
      <c r="D91" s="108" t="s">
        <v>156</v>
      </c>
      <c r="E91" s="599" t="str">
        <f t="shared" si="8"/>
        <v>KjellrunSporild</v>
      </c>
      <c r="F91" s="192">
        <f>YEAR(I$5)-_xlfn.XLOOKUP(E91,Deltakerliste!E$5:E$98,Deltakerliste!I$5:I$98)</f>
        <v>71</v>
      </c>
      <c r="G91" s="192">
        <f>_xlfn.XLOOKUP(E91,Deltakerliste!E$5:E$98,Deltakerliste!H$5:H$98)</f>
        <v>4</v>
      </c>
      <c r="H91" s="592">
        <f>VLOOKUP(F91,Deltakerliste!P$6:T$84,G91,FALSE)</f>
        <v>1.9926000000000013</v>
      </c>
      <c r="I91" s="18"/>
      <c r="J91" s="132"/>
      <c r="K91" s="18"/>
      <c r="L91" s="600"/>
      <c r="M91" s="594"/>
      <c r="N91" s="724"/>
      <c r="O91" s="596"/>
    </row>
    <row r="92" spans="2:15" ht="21" thickBot="1" x14ac:dyDescent="0.3">
      <c r="B92" s="16">
        <f t="shared" si="7"/>
        <v>83</v>
      </c>
      <c r="C92" s="193" t="s">
        <v>232</v>
      </c>
      <c r="D92" s="133" t="s">
        <v>231</v>
      </c>
      <c r="E92" s="599" t="str">
        <f t="shared" si="8"/>
        <v>BeritSunnset</v>
      </c>
      <c r="F92" s="192">
        <f>YEAR(I$5)-_xlfn.XLOOKUP(E92,Deltakerliste!E$5:E$98,Deltakerliste!I$5:I$98)</f>
        <v>63</v>
      </c>
      <c r="G92" s="192">
        <f>_xlfn.XLOOKUP(E92,Deltakerliste!E$5:E$98,Deltakerliste!H$5:H$98)</f>
        <v>4</v>
      </c>
      <c r="H92" s="592">
        <f>VLOOKUP(F92,Deltakerliste!P$6:T$84,G92,FALSE)</f>
        <v>1.7126000000000006</v>
      </c>
      <c r="I92" s="18"/>
      <c r="J92" s="18"/>
      <c r="K92" s="18"/>
      <c r="L92" s="790"/>
      <c r="M92" s="594"/>
      <c r="N92" s="724"/>
      <c r="O92" s="596"/>
    </row>
    <row r="93" spans="2:15" ht="21" thickBot="1" x14ac:dyDescent="0.3">
      <c r="B93" s="16">
        <f t="shared" si="7"/>
        <v>84</v>
      </c>
      <c r="C93" s="193" t="s">
        <v>230</v>
      </c>
      <c r="D93" s="108" t="s">
        <v>231</v>
      </c>
      <c r="E93" s="599" t="str">
        <f t="shared" si="8"/>
        <v>TrineSunnset</v>
      </c>
      <c r="F93" s="192">
        <f>YEAR(I$5)-_xlfn.XLOOKUP(E93,Deltakerliste!E$5:E$98,Deltakerliste!I$5:I$98)</f>
        <v>63</v>
      </c>
      <c r="G93" s="192">
        <f>_xlfn.XLOOKUP(E93,Deltakerliste!E$5:E$98,Deltakerliste!H$5:H$98)</f>
        <v>4</v>
      </c>
      <c r="H93" s="592">
        <f>VLOOKUP(F93,Deltakerliste!P$6:T$84,G93,FALSE)</f>
        <v>1.7126000000000006</v>
      </c>
      <c r="I93" s="18"/>
      <c r="J93" s="18"/>
      <c r="K93" s="18"/>
      <c r="L93" s="791"/>
      <c r="M93" s="594"/>
      <c r="N93" s="792"/>
      <c r="O93" s="596"/>
    </row>
    <row r="94" spans="2:15" ht="21" thickBot="1" x14ac:dyDescent="0.3">
      <c r="B94" s="16">
        <f t="shared" si="7"/>
        <v>85</v>
      </c>
      <c r="C94" s="193" t="s">
        <v>166</v>
      </c>
      <c r="D94" s="108" t="s">
        <v>167</v>
      </c>
      <c r="E94" s="599" t="str">
        <f t="shared" si="8"/>
        <v>GunnarØsterbø</v>
      </c>
      <c r="F94" s="192">
        <f>YEAR(I$5)-_xlfn.XLOOKUP(E94,Deltakerliste!E$5:E$98,Deltakerliste!I$5:I$98)</f>
        <v>87</v>
      </c>
      <c r="G94" s="192">
        <f>_xlfn.XLOOKUP(E94,Deltakerliste!E$5:E$98,Deltakerliste!H$5:H$98)</f>
        <v>2</v>
      </c>
      <c r="H94" s="592">
        <f>VLOOKUP(F94,Deltakerliste!P$6:T$84,G94,FALSE)</f>
        <v>2.3929999999999998</v>
      </c>
      <c r="I94" s="18"/>
      <c r="J94" s="132"/>
      <c r="K94" s="18"/>
      <c r="L94" s="725"/>
      <c r="M94" s="717"/>
      <c r="N94" s="726"/>
      <c r="O94" s="719"/>
    </row>
    <row r="100" spans="4:11" ht="17" thickBot="1" x14ac:dyDescent="0.25"/>
    <row r="101" spans="4:11" ht="21" thickTop="1" thickBot="1" x14ac:dyDescent="0.3">
      <c r="D101" s="646" t="s">
        <v>288</v>
      </c>
      <c r="E101" s="647"/>
      <c r="F101" s="666"/>
      <c r="G101" s="666"/>
      <c r="H101" s="666"/>
      <c r="I101" s="648" t="s">
        <v>195</v>
      </c>
      <c r="J101" s="648" t="s">
        <v>196</v>
      </c>
      <c r="K101" s="649" t="s">
        <v>197</v>
      </c>
    </row>
    <row r="102" spans="4:11" ht="20" x14ac:dyDescent="0.25">
      <c r="D102" s="634" t="s">
        <v>172</v>
      </c>
      <c r="E102" s="320"/>
      <c r="F102" s="208"/>
      <c r="G102" s="208"/>
      <c r="H102" s="208"/>
      <c r="I102" s="635">
        <f>COUNT(I10:I96)+COUNTIF(I10:I96,"Brutt")+COUNTIF(I10:I96,"(*)")</f>
        <v>17</v>
      </c>
      <c r="J102" s="635">
        <f>COUNT(J10:J96)+COUNTIF(J10:J96,"Brutt")+COUNTIF(J10:J96,"(*)")</f>
        <v>20</v>
      </c>
      <c r="K102" s="636">
        <f>I102+J102</f>
        <v>37</v>
      </c>
    </row>
    <row r="103" spans="4:11" ht="19" x14ac:dyDescent="0.25">
      <c r="D103" s="637" t="s">
        <v>174</v>
      </c>
      <c r="E103" s="320"/>
      <c r="F103" s="208"/>
      <c r="G103" s="208"/>
      <c r="H103" s="208"/>
      <c r="I103" s="635">
        <f>COUNT(I10:I96)</f>
        <v>14</v>
      </c>
      <c r="J103" s="635">
        <f>COUNT(J10:J96)</f>
        <v>19</v>
      </c>
      <c r="K103" s="636">
        <f t="shared" ref="K103" si="9">I103+J103</f>
        <v>33</v>
      </c>
    </row>
    <row r="104" spans="4:11" ht="19" x14ac:dyDescent="0.25">
      <c r="D104" s="637" t="s">
        <v>173</v>
      </c>
      <c r="E104" s="320"/>
      <c r="F104" s="208"/>
      <c r="G104" s="208"/>
      <c r="H104" s="208"/>
      <c r="I104" s="208"/>
      <c r="J104" s="208"/>
      <c r="K104" s="636">
        <f>K102+COUNTIF(L10:L96,"Arr")+COUNTIF(L10:L96,"Løype")</f>
        <v>39</v>
      </c>
    </row>
    <row r="105" spans="4:11" ht="19" x14ac:dyDescent="0.25">
      <c r="D105" s="637" t="s">
        <v>341</v>
      </c>
      <c r="E105" s="320"/>
      <c r="F105" s="208"/>
      <c r="G105" s="208"/>
      <c r="H105" s="208"/>
      <c r="I105" s="208"/>
      <c r="J105" s="208"/>
      <c r="K105" s="638">
        <f>IF(SUM(L10:L96)=0," ",AVERAGEIF(M10:M96,"&gt;0",F10:F96))</f>
        <v>75.102564102564102</v>
      </c>
    </row>
    <row r="106" spans="4:11" ht="19" x14ac:dyDescent="0.25">
      <c r="D106" s="637" t="s">
        <v>296</v>
      </c>
      <c r="E106" s="320"/>
      <c r="F106" s="208"/>
      <c r="G106" s="208"/>
      <c r="H106" s="208"/>
      <c r="I106" s="208"/>
      <c r="J106" s="208"/>
      <c r="K106" s="638">
        <f>AVERAGE(I8:J8)</f>
        <v>2.7</v>
      </c>
    </row>
    <row r="107" spans="4:11" ht="19" x14ac:dyDescent="0.25">
      <c r="D107" s="637" t="s">
        <v>176</v>
      </c>
      <c r="E107" s="320"/>
      <c r="F107" s="208"/>
      <c r="G107" s="208"/>
      <c r="H107" s="208"/>
      <c r="I107" s="112">
        <f>I8*I103</f>
        <v>29.400000000000002</v>
      </c>
      <c r="J107" s="112">
        <f>J8*J103</f>
        <v>62.699999999999996</v>
      </c>
      <c r="K107" s="638">
        <f>I107+J107</f>
        <v>92.1</v>
      </c>
    </row>
    <row r="108" spans="4:11" ht="19" x14ac:dyDescent="0.25">
      <c r="D108" s="639" t="s">
        <v>286</v>
      </c>
      <c r="E108" s="320"/>
      <c r="F108" s="208"/>
      <c r="G108" s="208"/>
      <c r="H108" s="208"/>
      <c r="I108" s="103">
        <f>IF(SUM(I10:I96)=0," ",AVERAGE(I10:I96))</f>
        <v>3.2444609788359786E-2</v>
      </c>
      <c r="J108" s="103">
        <f>IF(SUM(J10:J96)=0," ",AVERAGE(J10:J96))</f>
        <v>3.4010112085769983E-2</v>
      </c>
      <c r="K108" s="640">
        <f>IF(SUM(I10:J96)=0," ",AVERAGE(I10:J96))</f>
        <v>3.3345959595959603E-2</v>
      </c>
    </row>
    <row r="109" spans="4:11" ht="20" thickBot="1" x14ac:dyDescent="0.3">
      <c r="D109" s="641" t="s">
        <v>287</v>
      </c>
      <c r="E109" s="642"/>
      <c r="F109" s="644"/>
      <c r="G109" s="644"/>
      <c r="H109" s="644"/>
      <c r="I109" s="643"/>
      <c r="J109" s="644"/>
      <c r="K109" s="645">
        <f>MIN(L10:L96)</f>
        <v>8.6279461279461286E-3</v>
      </c>
    </row>
    <row r="110" spans="4:11" ht="17" thickTop="1" x14ac:dyDescent="0.2"/>
  </sheetData>
  <autoFilter ref="C9:O94" xr:uid="{A88F5551-D1F1-E740-A5B8-84D405E5F421}">
    <sortState xmlns:xlrd2="http://schemas.microsoft.com/office/spreadsheetml/2017/richdata2" ref="C10:O94">
      <sortCondition ref="N9:N94"/>
    </sortState>
  </autoFilter>
  <mergeCells count="3">
    <mergeCell ref="W7:X7"/>
    <mergeCell ref="S8:U8"/>
    <mergeCell ref="W8:X8"/>
  </mergeCells>
  <pageMargins left="0.7" right="0.7" top="0.75" bottom="0.75" header="0.3" footer="0.3"/>
  <pageSetup paperSize="9" orientation="portrait" horizontalDpi="0" verticalDpi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09BFE-4FBB-3644-84B2-9F0064D72ECF}">
  <dimension ref="B1:AC110"/>
  <sheetViews>
    <sheetView topLeftCell="A80" workbookViewId="0">
      <selection activeCell="AO26" sqref="AO26"/>
    </sheetView>
  </sheetViews>
  <sheetFormatPr baseColWidth="10" defaultColWidth="10.83203125" defaultRowHeight="16" x14ac:dyDescent="0.2"/>
  <cols>
    <col min="3" max="3" width="14.5" customWidth="1"/>
    <col min="4" max="4" width="20.1640625" customWidth="1"/>
    <col min="5" max="5" width="20.1640625" hidden="1" customWidth="1"/>
    <col min="6" max="6" width="14.5" style="15" customWidth="1"/>
    <col min="7" max="7" width="14.5" style="15" hidden="1" customWidth="1"/>
    <col min="8" max="8" width="14" style="15" customWidth="1"/>
    <col min="9" max="10" width="19.1640625" style="15" customWidth="1"/>
    <col min="11" max="11" width="17.6640625" style="15" customWidth="1"/>
    <col min="12" max="12" width="10.83203125" style="15"/>
    <col min="14" max="14" width="10.83203125" style="15"/>
    <col min="18" max="18" width="12.5" customWidth="1"/>
    <col min="19" max="19" width="13.5" customWidth="1"/>
    <col min="22" max="22" width="1.83203125" customWidth="1"/>
    <col min="23" max="23" width="15.83203125" customWidth="1"/>
    <col min="24" max="24" width="11" customWidth="1"/>
  </cols>
  <sheetData>
    <row r="1" spans="2:29" ht="8" customHeight="1" x14ac:dyDescent="0.2"/>
    <row r="2" spans="2:29" ht="8" customHeight="1" x14ac:dyDescent="0.2"/>
    <row r="5" spans="2:29" ht="26" x14ac:dyDescent="0.3">
      <c r="B5" s="21" t="s">
        <v>324</v>
      </c>
      <c r="C5" s="245" t="s">
        <v>393</v>
      </c>
      <c r="F5" s="667"/>
      <c r="G5" s="667"/>
      <c r="H5" s="671" t="s">
        <v>189</v>
      </c>
      <c r="I5" s="670">
        <f>'Løp 15'!I5+7</f>
        <v>46042</v>
      </c>
    </row>
    <row r="6" spans="2:29" ht="17" thickBot="1" x14ac:dyDescent="0.25">
      <c r="B6" s="15"/>
    </row>
    <row r="7" spans="2:29" ht="59" customHeight="1" thickBot="1" x14ac:dyDescent="0.35">
      <c r="B7" s="12" t="s">
        <v>194</v>
      </c>
      <c r="C7" s="662" t="s">
        <v>57</v>
      </c>
      <c r="D7" s="391" t="s">
        <v>58</v>
      </c>
      <c r="E7" s="663"/>
      <c r="F7" s="663" t="s">
        <v>234</v>
      </c>
      <c r="G7" s="391" t="s">
        <v>280</v>
      </c>
      <c r="H7" s="391" t="s">
        <v>235</v>
      </c>
      <c r="I7" s="391" t="s">
        <v>302</v>
      </c>
      <c r="J7" s="391" t="s">
        <v>303</v>
      </c>
      <c r="K7" s="391" t="s">
        <v>192</v>
      </c>
      <c r="L7" s="194" t="s">
        <v>209</v>
      </c>
      <c r="M7" s="392" t="s">
        <v>55</v>
      </c>
      <c r="N7" s="393" t="s">
        <v>242</v>
      </c>
      <c r="O7" s="393" t="s">
        <v>240</v>
      </c>
      <c r="Q7" s="319"/>
      <c r="R7" s="319"/>
      <c r="S7" s="755" t="str">
        <f>B5</f>
        <v>Løp 16</v>
      </c>
      <c r="T7" s="754" t="str">
        <f>C5</f>
        <v>Havstein</v>
      </c>
      <c r="U7" s="730"/>
      <c r="V7" s="730"/>
      <c r="W7" s="941"/>
      <c r="X7" s="941"/>
    </row>
    <row r="8" spans="2:29" ht="23" customHeight="1" thickTop="1" thickBot="1" x14ac:dyDescent="0.35">
      <c r="B8" s="22"/>
      <c r="C8" s="394"/>
      <c r="D8" s="395"/>
      <c r="E8" s="597"/>
      <c r="F8" s="668"/>
      <c r="G8" s="668"/>
      <c r="H8" s="664"/>
      <c r="I8" s="789">
        <v>2.2999999999999998</v>
      </c>
      <c r="J8" s="789">
        <v>3.7</v>
      </c>
      <c r="K8" s="391"/>
      <c r="N8" s="720"/>
      <c r="O8" s="390"/>
      <c r="S8" s="942" t="s">
        <v>312</v>
      </c>
      <c r="T8" s="943"/>
      <c r="U8" s="944"/>
      <c r="V8" s="779"/>
      <c r="W8" s="945" t="s">
        <v>313</v>
      </c>
      <c r="X8" s="940"/>
      <c r="AB8" s="836" t="s">
        <v>361</v>
      </c>
      <c r="AC8" s="827"/>
    </row>
    <row r="9" spans="2:29" ht="21" thickBot="1" x14ac:dyDescent="0.3">
      <c r="B9" s="22"/>
      <c r="C9" s="109"/>
      <c r="D9" s="105"/>
      <c r="E9" s="598"/>
      <c r="F9" s="669"/>
      <c r="G9" s="669"/>
      <c r="H9" s="665"/>
      <c r="I9" s="12"/>
      <c r="J9" s="12"/>
      <c r="K9" s="12"/>
      <c r="N9" s="722"/>
      <c r="O9" s="200"/>
      <c r="Q9" s="110"/>
      <c r="S9" s="731"/>
      <c r="T9" s="727" t="s">
        <v>311</v>
      </c>
      <c r="U9" s="750" t="s">
        <v>55</v>
      </c>
      <c r="V9" s="780"/>
      <c r="W9" s="774"/>
      <c r="X9" s="732" t="s">
        <v>55</v>
      </c>
      <c r="AB9" s="834" t="s">
        <v>234</v>
      </c>
      <c r="AC9" s="835" t="s">
        <v>362</v>
      </c>
    </row>
    <row r="10" spans="2:29" ht="21" thickBot="1" x14ac:dyDescent="0.3">
      <c r="B10" s="16">
        <f t="shared" ref="B10:B41" si="0">B9+1</f>
        <v>1</v>
      </c>
      <c r="C10" s="106" t="s">
        <v>138</v>
      </c>
      <c r="D10" s="107" t="s">
        <v>137</v>
      </c>
      <c r="E10" s="599" t="str">
        <f t="shared" ref="E10:E41" si="1">_xlfn.CONCAT(C10:D10)</f>
        <v>GunnhildOftedal</v>
      </c>
      <c r="F10" s="192">
        <f>YEAR(I$5)-_xlfn.XLOOKUP(E10,Deltakerliste!E$5:E$98,Deltakerliste!I$5:I$98)</f>
        <v>73</v>
      </c>
      <c r="G10" s="192">
        <f>_xlfn.XLOOKUP(E10,Deltakerliste!E$5:E$98,Deltakerliste!H$5:H$98)</f>
        <v>4</v>
      </c>
      <c r="H10" s="592">
        <f>VLOOKUP(F10,Deltakerliste!P$6:T$84,G10,FALSE)</f>
        <v>2.0798000000000014</v>
      </c>
      <c r="I10" s="13"/>
      <c r="J10" s="13">
        <v>3.3750000000000002E-2</v>
      </c>
      <c r="K10" s="13"/>
      <c r="L10" s="600">
        <f t="shared" ref="L10:L48" si="2">IF(OR(I10="Arr",J10="Arr",K10="Arr"),"Arr",IF(OR(I10="Brutt",J10="Brutt",K10="Brutt"),"Brutt",IF(OR(I10="Disk",J10="Disk",K10="Disk"),"Disk",IF(OR(I10="Løype",J10="Løype",K10="Løype"),"Løype",IF(I10&gt;0,I10/I$8,J10/J$8)))))</f>
        <v>9.1216216216216221E-3</v>
      </c>
      <c r="M10" s="594">
        <f>IF(L10="Løype",Poengsammendrag!$F$2,IF(L10="Arr",Poengsammendrag!$F$3,IF(L10="Brutt",50,IF(L10="Disk",50,ROUND(MAXA(100*(MIN(L$10:L$92)/L10),50),0)))))</f>
        <v>75</v>
      </c>
      <c r="N10" s="724">
        <f t="shared" ref="N10:N48" si="3">IF(L10="Arr","Arr",IF(L10="Brutt","Brutt",IF(L10="Disk","Disk",IF(L10="Løype","Løype",L10/H10))))</f>
        <v>4.3858167235415017E-3</v>
      </c>
      <c r="O10" s="596">
        <f>IF(N10="Løype",Poengsammendrag!$F$2,IF(N10="Arr",Poengsammendrag!$F$3,IF(N10="Brutt",50,IF(N10="Disk",50,ROUND(MAXA(100*(MIN(N$10:N$92)/N10),50),0)))))</f>
        <v>100</v>
      </c>
      <c r="Q10" s="672"/>
      <c r="R10" s="672"/>
      <c r="S10" s="802" t="s">
        <v>386</v>
      </c>
      <c r="T10" s="734">
        <v>6.8380880880880872E-3</v>
      </c>
      <c r="U10" s="751">
        <v>100</v>
      </c>
      <c r="V10" s="781"/>
      <c r="W10" s="775" t="s">
        <v>138</v>
      </c>
      <c r="X10" s="739">
        <v>100</v>
      </c>
      <c r="AB10" s="832">
        <v>55</v>
      </c>
      <c r="AC10" s="833">
        <f t="shared" ref="AC10:AC50" si="4">COUNTIFS(F$10:F$96,AB10,M$10:M$96,"&gt;0")</f>
        <v>0</v>
      </c>
    </row>
    <row r="11" spans="2:29" ht="21" customHeight="1" thickBot="1" x14ac:dyDescent="0.3">
      <c r="B11" s="16">
        <f t="shared" si="0"/>
        <v>2</v>
      </c>
      <c r="C11" s="106" t="s">
        <v>64</v>
      </c>
      <c r="D11" s="107" t="s">
        <v>65</v>
      </c>
      <c r="E11" s="599" t="str">
        <f t="shared" si="1"/>
        <v>BjørnBerger</v>
      </c>
      <c r="F11" s="192">
        <f>YEAR(I$5)-_xlfn.XLOOKUP(E11,Deltakerliste!E$5:E$98,Deltakerliste!I$5:I$98)</f>
        <v>75</v>
      </c>
      <c r="G11" s="192">
        <f>_xlfn.XLOOKUP(E11,Deltakerliste!E$5:E$98,Deltakerliste!H$5:H$98)</f>
        <v>2</v>
      </c>
      <c r="H11" s="592">
        <f>VLOOKUP(F11,Deltakerliste!P$6:T$84,G11,FALSE)</f>
        <v>1.605</v>
      </c>
      <c r="I11" s="13"/>
      <c r="J11" s="13">
        <v>2.6296296296296297E-2</v>
      </c>
      <c r="K11" s="19"/>
      <c r="L11" s="600">
        <f t="shared" si="2"/>
        <v>7.1071071071071067E-3</v>
      </c>
      <c r="M11" s="594">
        <f>IF(L11="Løype",Poengsammendrag!$F$2,IF(L11="Arr",Poengsammendrag!$F$3,IF(L11="Brutt",50,IF(L11="Disk",50,ROUND(MAXA(100*(MIN(L$10:L$92)/L11),50),0)))))</f>
        <v>96</v>
      </c>
      <c r="N11" s="724">
        <f t="shared" si="3"/>
        <v>4.4281041165776368E-3</v>
      </c>
      <c r="O11" s="596">
        <f>IF(N11="Løype",Poengsammendrag!$F$2,IF(N11="Arr",Poengsammendrag!$F$3,IF(N11="Brutt",50,IF(N11="Disk",50,ROUND(MAXA(100*(MIN(N$10:N$92)/N11),50),0)))))</f>
        <v>99</v>
      </c>
      <c r="Q11" s="672"/>
      <c r="R11" s="672"/>
      <c r="S11" s="803" t="s">
        <v>380</v>
      </c>
      <c r="T11" s="736">
        <v>7.1071071071071067E-3</v>
      </c>
      <c r="U11" s="752">
        <v>96</v>
      </c>
      <c r="V11" s="781"/>
      <c r="W11" s="776" t="s">
        <v>380</v>
      </c>
      <c r="X11" s="740">
        <v>99</v>
      </c>
      <c r="AB11" s="828">
        <f>AB10+1</f>
        <v>56</v>
      </c>
      <c r="AC11" s="829">
        <f t="shared" si="4"/>
        <v>0</v>
      </c>
    </row>
    <row r="12" spans="2:29" ht="21" customHeight="1" thickBot="1" x14ac:dyDescent="0.3">
      <c r="B12" s="16">
        <f t="shared" si="0"/>
        <v>3</v>
      </c>
      <c r="C12" s="106" t="s">
        <v>126</v>
      </c>
      <c r="D12" s="107" t="s">
        <v>127</v>
      </c>
      <c r="E12" s="599" t="str">
        <f t="shared" si="1"/>
        <v>ArneMikkelsen</v>
      </c>
      <c r="F12" s="192">
        <f>YEAR(I$5)-_xlfn.XLOOKUP(E12,Deltakerliste!E$5:E$98,Deltakerliste!I$5:I$98)</f>
        <v>73</v>
      </c>
      <c r="G12" s="192">
        <f>_xlfn.XLOOKUP(E12,Deltakerliste!E$5:E$98,Deltakerliste!H$5:H$98)</f>
        <v>2</v>
      </c>
      <c r="H12" s="592">
        <f>VLOOKUP(F12,Deltakerliste!P$6:T$84,G12,FALSE)</f>
        <v>1.5329999999999999</v>
      </c>
      <c r="I12" s="13"/>
      <c r="J12" s="13">
        <v>2.5300925925925925E-2</v>
      </c>
      <c r="K12" s="13"/>
      <c r="L12" s="600">
        <f t="shared" si="2"/>
        <v>6.8380880880880872E-3</v>
      </c>
      <c r="M12" s="594">
        <f>IF(L12="Løype",Poengsammendrag!$F$2,IF(L12="Arr",Poengsammendrag!$F$3,IF(L12="Brutt",50,IF(L12="Disk",50,ROUND(MAXA(100*(MIN(L$10:L$92)/L12),50),0)))))</f>
        <v>100</v>
      </c>
      <c r="N12" s="724">
        <f t="shared" si="3"/>
        <v>4.4605923601357391E-3</v>
      </c>
      <c r="O12" s="596">
        <f>IF(N12="Løype",Poengsammendrag!$F$2,IF(N12="Arr",Poengsammendrag!$F$3,IF(N12="Brutt",50,IF(N12="Disk",50,ROUND(MAXA(100*(MIN(N$10:N$92)/N12),50),0)))))</f>
        <v>98</v>
      </c>
      <c r="Q12" s="672"/>
      <c r="R12" s="672"/>
      <c r="S12" s="803" t="s">
        <v>134</v>
      </c>
      <c r="T12" s="736">
        <v>7.3855105105105102E-3</v>
      </c>
      <c r="U12" s="752">
        <v>93</v>
      </c>
      <c r="V12" s="781"/>
      <c r="W12" s="776" t="s">
        <v>386</v>
      </c>
      <c r="X12" s="740">
        <v>98</v>
      </c>
      <c r="AB12" s="828">
        <f t="shared" ref="AB12:AB50" si="5">AB11+1</f>
        <v>57</v>
      </c>
      <c r="AC12" s="829">
        <f t="shared" si="4"/>
        <v>0</v>
      </c>
    </row>
    <row r="13" spans="2:29" ht="21" customHeight="1" thickBot="1" x14ac:dyDescent="0.3">
      <c r="B13" s="16">
        <f t="shared" si="0"/>
        <v>4</v>
      </c>
      <c r="C13" s="106" t="s">
        <v>88</v>
      </c>
      <c r="D13" s="107" t="s">
        <v>89</v>
      </c>
      <c r="E13" s="599" t="str">
        <f t="shared" si="1"/>
        <v>EdgarFuruholt</v>
      </c>
      <c r="F13" s="192">
        <f>YEAR(I$5)-_xlfn.XLOOKUP(E13,Deltakerliste!E$5:E$98,Deltakerliste!I$5:I$98)</f>
        <v>79</v>
      </c>
      <c r="G13" s="192">
        <f>_xlfn.XLOOKUP(E13,Deltakerliste!E$5:E$98,Deltakerliste!H$5:H$98)</f>
        <v>2</v>
      </c>
      <c r="H13" s="592">
        <f>VLOOKUP(F13,Deltakerliste!P$6:T$84,G13,FALSE)</f>
        <v>1.8050000000000002</v>
      </c>
      <c r="I13" s="18"/>
      <c r="J13" s="132">
        <v>3.0138888888888889E-2</v>
      </c>
      <c r="K13" s="18"/>
      <c r="L13" s="600">
        <f t="shared" si="2"/>
        <v>8.1456456456456446E-3</v>
      </c>
      <c r="M13" s="594">
        <f>IF(L13="Løype",Poengsammendrag!$F$2,IF(L13="Arr",Poengsammendrag!$F$3,IF(L13="Brutt",50,IF(L13="Disk",50,ROUND(MAXA(100*(MIN(L$10:L$92)/L13),50),0)))))</f>
        <v>84</v>
      </c>
      <c r="N13" s="724">
        <f t="shared" si="3"/>
        <v>4.5128230723798582E-3</v>
      </c>
      <c r="O13" s="596">
        <f>IF(N13="Løype",Poengsammendrag!$F$2,IF(N13="Arr",Poengsammendrag!$F$3,IF(N13="Brutt",50,IF(N13="Disk",50,ROUND(MAXA(100*(MIN(N$10:N$92)/N13),50),0)))))</f>
        <v>97</v>
      </c>
      <c r="Q13" s="672"/>
      <c r="R13" s="672"/>
      <c r="S13" s="803" t="s">
        <v>136</v>
      </c>
      <c r="T13" s="736">
        <v>7.8547297297297293E-3</v>
      </c>
      <c r="U13" s="752">
        <v>87</v>
      </c>
      <c r="V13" s="781"/>
      <c r="W13" s="776" t="s">
        <v>88</v>
      </c>
      <c r="X13" s="740">
        <v>97</v>
      </c>
      <c r="AB13" s="828">
        <f t="shared" si="5"/>
        <v>58</v>
      </c>
      <c r="AC13" s="829">
        <f t="shared" si="4"/>
        <v>0</v>
      </c>
    </row>
    <row r="14" spans="2:29" ht="21" customHeight="1" thickBot="1" x14ac:dyDescent="0.3">
      <c r="B14" s="16">
        <f t="shared" si="0"/>
        <v>5</v>
      </c>
      <c r="C14" s="106" t="s">
        <v>149</v>
      </c>
      <c r="D14" s="107" t="s">
        <v>150</v>
      </c>
      <c r="E14" s="599" t="str">
        <f t="shared" si="1"/>
        <v>BenteSkorge</v>
      </c>
      <c r="F14" s="192">
        <f>YEAR(I$5)-_xlfn.XLOOKUP(E14,Deltakerliste!E$5:E$98,Deltakerliste!I$5:I$98)</f>
        <v>67</v>
      </c>
      <c r="G14" s="192">
        <f>_xlfn.XLOOKUP(E14,Deltakerliste!E$5:E$98,Deltakerliste!H$5:H$98)</f>
        <v>4</v>
      </c>
      <c r="H14" s="592">
        <f>VLOOKUP(F14,Deltakerliste!P$6:T$84,G14,FALSE)</f>
        <v>1.8422000000000009</v>
      </c>
      <c r="I14" s="132"/>
      <c r="J14" s="132">
        <v>3.1805555555555552E-2</v>
      </c>
      <c r="K14" s="18"/>
      <c r="L14" s="600">
        <f t="shared" si="2"/>
        <v>8.5960960960960956E-3</v>
      </c>
      <c r="M14" s="594">
        <f>IF(L14="Løype",Poengsammendrag!$F$2,IF(L14="Arr",Poengsammendrag!$F$3,IF(L14="Brutt",50,IF(L14="Disk",50,ROUND(MAXA(100*(MIN(L$10:L$92)/L14),50),0)))))</f>
        <v>80</v>
      </c>
      <c r="N14" s="724">
        <f t="shared" si="3"/>
        <v>4.6662121898252583E-3</v>
      </c>
      <c r="O14" s="596">
        <f>IF(N14="Løype",Poengsammendrag!$F$2,IF(N14="Arr",Poengsammendrag!$F$3,IF(N14="Brutt",50,IF(N14="Disk",50,ROUND(MAXA(100*(MIN(N$10:N$92)/N14),50),0)))))</f>
        <v>94</v>
      </c>
      <c r="Q14" s="672"/>
      <c r="R14" s="672"/>
      <c r="S14" s="803" t="s">
        <v>88</v>
      </c>
      <c r="T14" s="736">
        <v>8.1456456456456446E-3</v>
      </c>
      <c r="U14" s="752">
        <v>84</v>
      </c>
      <c r="V14" s="781"/>
      <c r="W14" s="776" t="s">
        <v>149</v>
      </c>
      <c r="X14" s="740">
        <v>94</v>
      </c>
      <c r="AB14" s="828">
        <f t="shared" si="5"/>
        <v>59</v>
      </c>
      <c r="AC14" s="829">
        <f t="shared" si="4"/>
        <v>0</v>
      </c>
    </row>
    <row r="15" spans="2:29" ht="21" customHeight="1" thickBot="1" x14ac:dyDescent="0.3">
      <c r="B15" s="16">
        <f t="shared" si="0"/>
        <v>6</v>
      </c>
      <c r="C15" s="106" t="s">
        <v>124</v>
      </c>
      <c r="D15" s="107" t="s">
        <v>125</v>
      </c>
      <c r="E15" s="599" t="str">
        <f t="shared" si="1"/>
        <v>Heidi Midttun</v>
      </c>
      <c r="F15" s="192">
        <f>YEAR(I$5)-_xlfn.XLOOKUP(E15,Deltakerliste!E$5:E$98,Deltakerliste!I$5:I$98)</f>
        <v>71</v>
      </c>
      <c r="G15" s="192">
        <f>_xlfn.XLOOKUP(E15,Deltakerliste!E$5:E$98,Deltakerliste!H$5:H$98)</f>
        <v>4</v>
      </c>
      <c r="H15" s="592">
        <f>VLOOKUP(F15,Deltakerliste!P$6:T$84,G15,FALSE)</f>
        <v>1.9926000000000013</v>
      </c>
      <c r="I15" s="13">
        <v>2.2719907407407407E-2</v>
      </c>
      <c r="J15" s="13"/>
      <c r="K15" s="13"/>
      <c r="L15" s="600">
        <f t="shared" si="2"/>
        <v>9.8782206119162642E-3</v>
      </c>
      <c r="M15" s="594">
        <f>IF(L15="Løype",Poengsammendrag!$F$2,IF(L15="Arr",Poengsammendrag!$F$3,IF(L15="Brutt",50,IF(L15="Disk",50,ROUND(MAXA(100*(MIN(L$10:L$92)/L15),50),0)))))</f>
        <v>69</v>
      </c>
      <c r="N15" s="724">
        <f t="shared" si="3"/>
        <v>4.9574528816201235E-3</v>
      </c>
      <c r="O15" s="596">
        <f>IF(N15="Løype",Poengsammendrag!$F$2,IF(N15="Arr",Poengsammendrag!$F$3,IF(N15="Brutt",50,IF(N15="Disk",50,ROUND(MAXA(100*(MIN(N$10:N$92)/N15),50),0)))))</f>
        <v>88</v>
      </c>
      <c r="Q15" s="672"/>
      <c r="R15" s="672"/>
      <c r="S15" s="803" t="s">
        <v>163</v>
      </c>
      <c r="T15" s="736">
        <v>8.5804554554554553E-3</v>
      </c>
      <c r="U15" s="752">
        <v>80</v>
      </c>
      <c r="V15" s="781"/>
      <c r="W15" s="776" t="s">
        <v>124</v>
      </c>
      <c r="X15" s="740">
        <v>88</v>
      </c>
      <c r="AB15" s="828">
        <f t="shared" si="5"/>
        <v>60</v>
      </c>
      <c r="AC15" s="829">
        <f t="shared" si="4"/>
        <v>0</v>
      </c>
    </row>
    <row r="16" spans="2:29" ht="21" customHeight="1" thickBot="1" x14ac:dyDescent="0.3">
      <c r="B16" s="16">
        <f t="shared" si="0"/>
        <v>7</v>
      </c>
      <c r="C16" s="106" t="s">
        <v>136</v>
      </c>
      <c r="D16" s="107" t="s">
        <v>137</v>
      </c>
      <c r="E16" s="599" t="str">
        <f t="shared" si="1"/>
        <v>HaraldOftedal</v>
      </c>
      <c r="F16" s="192">
        <f>YEAR(I$5)-_xlfn.XLOOKUP(E16,Deltakerliste!E$5:E$98,Deltakerliste!I$5:I$98)</f>
        <v>74</v>
      </c>
      <c r="G16" s="192">
        <f>_xlfn.XLOOKUP(E16,Deltakerliste!E$5:E$98,Deltakerliste!H$5:H$98)</f>
        <v>2</v>
      </c>
      <c r="H16" s="592">
        <f>VLOOKUP(F16,Deltakerliste!P$6:T$84,G16,FALSE)</f>
        <v>1.569</v>
      </c>
      <c r="I16" s="132"/>
      <c r="J16" s="132">
        <v>2.9062500000000002E-2</v>
      </c>
      <c r="K16" s="134"/>
      <c r="L16" s="600">
        <f t="shared" si="2"/>
        <v>7.8547297297297293E-3</v>
      </c>
      <c r="M16" s="594">
        <f>IF(L16="Løype",Poengsammendrag!$F$2,IF(L16="Arr",Poengsammendrag!$F$3,IF(L16="Brutt",50,IF(L16="Disk",50,ROUND(MAXA(100*(MIN(L$10:L$92)/L16),50),0)))))</f>
        <v>87</v>
      </c>
      <c r="N16" s="724">
        <f t="shared" si="3"/>
        <v>5.0062012299105984E-3</v>
      </c>
      <c r="O16" s="596">
        <f>IF(N16="Løype",Poengsammendrag!$F$2,IF(N16="Arr",Poengsammendrag!$F$3,IF(N16="Brutt",50,IF(N16="Disk",50,ROUND(MAXA(100*(MIN(N$10:N$92)/N16),50),0)))))</f>
        <v>88</v>
      </c>
      <c r="Q16" s="672"/>
      <c r="R16" s="672"/>
      <c r="S16" s="803" t="s">
        <v>149</v>
      </c>
      <c r="T16" s="736">
        <v>8.5960960960960956E-3</v>
      </c>
      <c r="U16" s="752">
        <v>80</v>
      </c>
      <c r="V16" s="781"/>
      <c r="W16" s="776" t="s">
        <v>136</v>
      </c>
      <c r="X16" s="740">
        <v>88</v>
      </c>
      <c r="AB16" s="828">
        <f t="shared" si="5"/>
        <v>61</v>
      </c>
      <c r="AC16" s="829">
        <f t="shared" si="4"/>
        <v>0</v>
      </c>
    </row>
    <row r="17" spans="2:29" ht="21" customHeight="1" thickBot="1" x14ac:dyDescent="0.3">
      <c r="B17" s="16">
        <f t="shared" si="0"/>
        <v>8</v>
      </c>
      <c r="C17" s="106" t="s">
        <v>78</v>
      </c>
      <c r="D17" s="107" t="s">
        <v>79</v>
      </c>
      <c r="E17" s="599" t="str">
        <f t="shared" si="1"/>
        <v>LeifEngen</v>
      </c>
      <c r="F17" s="192">
        <f>YEAR(I$5)-_xlfn.XLOOKUP(E17,Deltakerliste!E$5:E$98,Deltakerliste!I$5:I$98)</f>
        <v>85</v>
      </c>
      <c r="G17" s="192">
        <f>_xlfn.XLOOKUP(E17,Deltakerliste!E$5:E$98,Deltakerliste!H$5:H$98)</f>
        <v>2</v>
      </c>
      <c r="H17" s="592">
        <f>VLOOKUP(F17,Deltakerliste!P$6:T$84,G17,FALSE)</f>
        <v>2.2249999999999996</v>
      </c>
      <c r="I17" s="86">
        <v>2.5891203703703704E-2</v>
      </c>
      <c r="J17" s="86"/>
      <c r="K17" s="13"/>
      <c r="L17" s="600">
        <f t="shared" si="2"/>
        <v>1.1257045088566829E-2</v>
      </c>
      <c r="M17" s="594">
        <f>IF(L17="Løype",Poengsammendrag!$F$2,IF(L17="Arr",Poengsammendrag!$F$3,IF(L17="Brutt",50,IF(L17="Disk",50,ROUND(MAXA(100*(MIN(L$10:L$92)/L17),50),0)))))</f>
        <v>61</v>
      </c>
      <c r="N17" s="724">
        <f t="shared" si="3"/>
        <v>5.0593461072210482E-3</v>
      </c>
      <c r="O17" s="596">
        <f>IF(N17="Løype",Poengsammendrag!$F$2,IF(N17="Arr",Poengsammendrag!$F$3,IF(N17="Brutt",50,IF(N17="Disk",50,ROUND(MAXA(100*(MIN(N$10:N$92)/N17),50),0)))))</f>
        <v>87</v>
      </c>
      <c r="Q17" s="672"/>
      <c r="R17" s="672"/>
      <c r="S17" s="803" t="s">
        <v>101</v>
      </c>
      <c r="T17" s="736">
        <v>8.9339339339339335E-3</v>
      </c>
      <c r="U17" s="752">
        <v>77</v>
      </c>
      <c r="V17" s="781"/>
      <c r="W17" s="776" t="s">
        <v>338</v>
      </c>
      <c r="X17" s="740">
        <v>87</v>
      </c>
      <c r="AB17" s="828">
        <f t="shared" si="5"/>
        <v>62</v>
      </c>
      <c r="AC17" s="829">
        <f t="shared" si="4"/>
        <v>0</v>
      </c>
    </row>
    <row r="18" spans="2:29" ht="21" customHeight="1" thickBot="1" x14ac:dyDescent="0.3">
      <c r="B18" s="16">
        <f t="shared" si="0"/>
        <v>9</v>
      </c>
      <c r="C18" s="106" t="s">
        <v>134</v>
      </c>
      <c r="D18" s="107" t="s">
        <v>135</v>
      </c>
      <c r="E18" s="599" t="str">
        <f t="shared" si="1"/>
        <v>IngeNørstebø</v>
      </c>
      <c r="F18" s="192">
        <f>YEAR(I$5)-_xlfn.XLOOKUP(E18,Deltakerliste!E$5:E$98,Deltakerliste!I$5:I$98)</f>
        <v>70</v>
      </c>
      <c r="G18" s="192">
        <f>_xlfn.XLOOKUP(E18,Deltakerliste!E$5:E$98,Deltakerliste!H$5:H$98)</f>
        <v>2</v>
      </c>
      <c r="H18" s="592">
        <f>VLOOKUP(F18,Deltakerliste!P$6:T$84,G18,FALSE)</f>
        <v>1.4249999999999998</v>
      </c>
      <c r="I18" s="13"/>
      <c r="J18" s="13">
        <v>2.732638888888889E-2</v>
      </c>
      <c r="K18" s="13"/>
      <c r="L18" s="600">
        <f t="shared" si="2"/>
        <v>7.3855105105105102E-3</v>
      </c>
      <c r="M18" s="594">
        <f>IF(L18="Løype",Poengsammendrag!$F$2,IF(L18="Arr",Poengsammendrag!$F$3,IF(L18="Brutt",50,IF(L18="Disk",50,ROUND(MAXA(100*(MIN(L$10:L$92)/L18),50),0)))))</f>
        <v>93</v>
      </c>
      <c r="N18" s="724">
        <f t="shared" si="3"/>
        <v>5.1828143933407098E-3</v>
      </c>
      <c r="O18" s="596">
        <f>IF(N18="Løype",Poengsammendrag!$F$2,IF(N18="Arr",Poengsammendrag!$F$3,IF(N18="Brutt",50,IF(N18="Disk",50,ROUND(MAXA(100*(MIN(N$10:N$92)/N18),50),0)))))</f>
        <v>85</v>
      </c>
      <c r="Q18" s="672"/>
      <c r="R18" s="672"/>
      <c r="S18" s="803" t="s">
        <v>299</v>
      </c>
      <c r="T18" s="736">
        <v>9.0121371371371366E-3</v>
      </c>
      <c r="U18" s="752">
        <v>76</v>
      </c>
      <c r="V18" s="781"/>
      <c r="W18" s="776" t="s">
        <v>134</v>
      </c>
      <c r="X18" s="740">
        <v>85</v>
      </c>
      <c r="AB18" s="828">
        <f t="shared" si="5"/>
        <v>63</v>
      </c>
      <c r="AC18" s="829">
        <f t="shared" si="4"/>
        <v>0</v>
      </c>
    </row>
    <row r="19" spans="2:29" ht="21" thickBot="1" x14ac:dyDescent="0.3">
      <c r="B19" s="16">
        <f t="shared" si="0"/>
        <v>10</v>
      </c>
      <c r="C19" s="106" t="s">
        <v>116</v>
      </c>
      <c r="D19" s="107" t="s">
        <v>165</v>
      </c>
      <c r="E19" s="599" t="str">
        <f t="shared" si="1"/>
        <v>AndersWaage</v>
      </c>
      <c r="F19" s="192">
        <f>YEAR(I$5)-_xlfn.XLOOKUP(E19,Deltakerliste!E$5:E$98,Deltakerliste!I$5:I$98)</f>
        <v>78</v>
      </c>
      <c r="G19" s="192">
        <f>_xlfn.XLOOKUP(E19,Deltakerliste!E$5:E$98,Deltakerliste!H$5:H$98)</f>
        <v>2</v>
      </c>
      <c r="H19" s="592">
        <f>VLOOKUP(F19,Deltakerliste!P$6:T$84,G19,FALSE)</f>
        <v>1.7550000000000001</v>
      </c>
      <c r="I19" s="18"/>
      <c r="J19" s="132">
        <v>3.4803240740740739E-2</v>
      </c>
      <c r="K19" s="18"/>
      <c r="L19" s="600">
        <f t="shared" si="2"/>
        <v>9.4062812812812802E-3</v>
      </c>
      <c r="M19" s="594">
        <f>IF(L19="Løype",Poengsammendrag!$F$2,IF(L19="Arr",Poengsammendrag!$F$3,IF(L19="Brutt",50,IF(L19="Disk",50,ROUND(MAXA(100*(MIN(L$10:L$92)/L19),50),0)))))</f>
        <v>73</v>
      </c>
      <c r="N19" s="724">
        <f t="shared" si="3"/>
        <v>5.3597044337785069E-3</v>
      </c>
      <c r="O19" s="596">
        <f>IF(N19="Løype",Poengsammendrag!$F$2,IF(N19="Arr",Poengsammendrag!$F$3,IF(N19="Brutt",50,IF(N19="Disk",50,ROUND(MAXA(100*(MIN(N$10:N$92)/N19),50),0)))))</f>
        <v>82</v>
      </c>
      <c r="Q19" s="672"/>
      <c r="R19" s="672"/>
      <c r="S19" s="803" t="s">
        <v>138</v>
      </c>
      <c r="T19" s="736">
        <v>9.1216216216216221E-3</v>
      </c>
      <c r="U19" s="752">
        <v>75</v>
      </c>
      <c r="V19" s="781"/>
      <c r="W19" s="776" t="s">
        <v>314</v>
      </c>
      <c r="X19" s="740">
        <v>82</v>
      </c>
      <c r="AB19" s="828">
        <f t="shared" si="5"/>
        <v>64</v>
      </c>
      <c r="AC19" s="829">
        <f t="shared" si="4"/>
        <v>0</v>
      </c>
    </row>
    <row r="20" spans="2:29" ht="21" thickBot="1" x14ac:dyDescent="0.3">
      <c r="B20" s="16">
        <f t="shared" si="0"/>
        <v>11</v>
      </c>
      <c r="C20" s="106" t="s">
        <v>207</v>
      </c>
      <c r="D20" s="107" t="s">
        <v>89</v>
      </c>
      <c r="E20" s="599" t="str">
        <f t="shared" si="1"/>
        <v>AnneFuruholt</v>
      </c>
      <c r="F20" s="192">
        <f>YEAR(I$5)-_xlfn.XLOOKUP(E20,Deltakerliste!E$5:E$98,Deltakerliste!I$5:I$98)</f>
        <v>79</v>
      </c>
      <c r="G20" s="192">
        <f>_xlfn.XLOOKUP(E20,Deltakerliste!E$5:E$98,Deltakerliste!H$5:H$98)</f>
        <v>4</v>
      </c>
      <c r="H20" s="592">
        <f>VLOOKUP(F20,Deltakerliste!P$6:T$84,G20,FALSE)</f>
        <v>2.3974000000000011</v>
      </c>
      <c r="I20" s="13">
        <v>3.0150462962962962E-2</v>
      </c>
      <c r="J20" s="13"/>
      <c r="K20" s="13"/>
      <c r="L20" s="600">
        <f t="shared" si="2"/>
        <v>1.3108896940418681E-2</v>
      </c>
      <c r="M20" s="594">
        <f>IF(L20="Løype",Poengsammendrag!$F$2,IF(L20="Arr",Poengsammendrag!$F$3,IF(L20="Brutt",50,IF(L20="Disk",50,ROUND(MAXA(100*(MIN(L$10:L$92)/L20),50),0)))))</f>
        <v>52</v>
      </c>
      <c r="N20" s="724">
        <f t="shared" si="3"/>
        <v>5.4679640195289371E-3</v>
      </c>
      <c r="O20" s="596">
        <f>IF(N20="Løype",Poengsammendrag!$F$2,IF(N20="Arr",Poengsammendrag!$F$3,IF(N20="Brutt",50,IF(N20="Disk",50,ROUND(MAXA(100*(MIN(N$10:N$92)/N20),50),0)))))</f>
        <v>80</v>
      </c>
      <c r="Q20" s="672"/>
      <c r="R20" s="672"/>
      <c r="S20" s="803" t="s">
        <v>346</v>
      </c>
      <c r="T20" s="736">
        <v>9.1935685685685681E-3</v>
      </c>
      <c r="U20" s="752">
        <v>74</v>
      </c>
      <c r="V20" s="781"/>
      <c r="W20" s="776" t="s">
        <v>207</v>
      </c>
      <c r="X20" s="740">
        <v>80</v>
      </c>
      <c r="AB20" s="828">
        <f t="shared" si="5"/>
        <v>65</v>
      </c>
      <c r="AC20" s="829">
        <f t="shared" si="4"/>
        <v>0</v>
      </c>
    </row>
    <row r="21" spans="2:29" ht="21" customHeight="1" thickBot="1" x14ac:dyDescent="0.3">
      <c r="B21" s="16">
        <f t="shared" si="0"/>
        <v>12</v>
      </c>
      <c r="C21" s="106" t="s">
        <v>170</v>
      </c>
      <c r="D21" s="107" t="s">
        <v>171</v>
      </c>
      <c r="E21" s="599" t="str">
        <f t="shared" si="1"/>
        <v>ØisteinÅsmul</v>
      </c>
      <c r="F21" s="192">
        <f>YEAR(I$5)-_xlfn.XLOOKUP(E21,Deltakerliste!E$5:E$98,Deltakerliste!I$5:I$98)</f>
        <v>81</v>
      </c>
      <c r="G21" s="192">
        <f>_xlfn.XLOOKUP(E21,Deltakerliste!E$5:E$98,Deltakerliste!H$5:H$98)</f>
        <v>2</v>
      </c>
      <c r="H21" s="592">
        <f>VLOOKUP(F21,Deltakerliste!P$6:T$84,G21,FALSE)</f>
        <v>1.9290000000000003</v>
      </c>
      <c r="I21" s="132">
        <v>2.4421296296296295E-2</v>
      </c>
      <c r="J21" s="132"/>
      <c r="K21" s="18"/>
      <c r="L21" s="600">
        <f t="shared" si="2"/>
        <v>1.0617954911433173E-2</v>
      </c>
      <c r="M21" s="594">
        <f>IF(L21="Løype",Poengsammendrag!$F$2,IF(L21="Arr",Poengsammendrag!$F$3,IF(L21="Brutt",50,IF(L21="Disk",50,ROUND(MAXA(100*(MIN(L$10:L$92)/L21),50),0)))))</f>
        <v>64</v>
      </c>
      <c r="N21" s="724">
        <f t="shared" si="3"/>
        <v>5.5043830541385026E-3</v>
      </c>
      <c r="O21" s="596">
        <f>IF(N21="Løype",Poengsammendrag!$F$2,IF(N21="Arr",Poengsammendrag!$F$3,IF(N21="Brutt",50,IF(N21="Disk",50,ROUND(MAXA(100*(MIN(N$10:N$92)/N21),50),0)))))</f>
        <v>80</v>
      </c>
      <c r="Q21" s="672"/>
      <c r="R21" s="672"/>
      <c r="S21" s="803" t="s">
        <v>314</v>
      </c>
      <c r="T21" s="736">
        <v>9.4062812812812802E-3</v>
      </c>
      <c r="U21" s="752">
        <v>73</v>
      </c>
      <c r="V21" s="781"/>
      <c r="W21" s="776" t="s">
        <v>347</v>
      </c>
      <c r="X21" s="740">
        <v>80</v>
      </c>
      <c r="AB21" s="828">
        <f t="shared" si="5"/>
        <v>66</v>
      </c>
      <c r="AC21" s="829">
        <f t="shared" si="4"/>
        <v>0</v>
      </c>
    </row>
    <row r="22" spans="2:29" ht="21" customHeight="1" thickBot="1" x14ac:dyDescent="0.3">
      <c r="B22" s="16">
        <f t="shared" si="0"/>
        <v>13</v>
      </c>
      <c r="C22" s="106" t="s">
        <v>163</v>
      </c>
      <c r="D22" s="107" t="s">
        <v>164</v>
      </c>
      <c r="E22" s="599" t="str">
        <f t="shared" si="1"/>
        <v>ArnulfVilmo</v>
      </c>
      <c r="F22" s="192">
        <f>YEAR(I$5)-_xlfn.XLOOKUP(E22,Deltakerliste!E$5:E$98,Deltakerliste!I$5:I$98)</f>
        <v>73</v>
      </c>
      <c r="G22" s="192">
        <f>_xlfn.XLOOKUP(E22,Deltakerliste!E$5:E$98,Deltakerliste!H$5:H$98)</f>
        <v>2</v>
      </c>
      <c r="H22" s="592">
        <f>VLOOKUP(F22,Deltakerliste!P$6:T$84,G22,FALSE)</f>
        <v>1.5329999999999999</v>
      </c>
      <c r="I22" s="18"/>
      <c r="J22" s="132">
        <v>3.1747685185185184E-2</v>
      </c>
      <c r="K22" s="18"/>
      <c r="L22" s="600">
        <f t="shared" si="2"/>
        <v>8.5804554554554553E-3</v>
      </c>
      <c r="M22" s="594">
        <f>IF(L22="Løype",Poengsammendrag!$F$2,IF(L22="Arr",Poengsammendrag!$F$3,IF(L22="Brutt",50,IF(L22="Disk",50,ROUND(MAXA(100*(MIN(L$10:L$92)/L22),50),0)))))</f>
        <v>80</v>
      </c>
      <c r="N22" s="724">
        <f t="shared" si="3"/>
        <v>5.597165985293839E-3</v>
      </c>
      <c r="O22" s="596">
        <f>IF(N22="Løype",Poengsammendrag!$F$2,IF(N22="Arr",Poengsammendrag!$F$3,IF(N22="Brutt",50,IF(N22="Disk",50,ROUND(MAXA(100*(MIN(N$10:N$92)/N22),50),0)))))</f>
        <v>78</v>
      </c>
      <c r="Q22" s="672"/>
      <c r="R22" s="672"/>
      <c r="S22" s="803" t="s">
        <v>350</v>
      </c>
      <c r="T22" s="736">
        <v>9.4219219219219223E-3</v>
      </c>
      <c r="U22" s="752">
        <v>73</v>
      </c>
      <c r="V22" s="781"/>
      <c r="W22" s="776" t="s">
        <v>163</v>
      </c>
      <c r="X22" s="740">
        <v>78</v>
      </c>
      <c r="AB22" s="828">
        <f t="shared" si="5"/>
        <v>67</v>
      </c>
      <c r="AC22" s="829">
        <f t="shared" si="4"/>
        <v>2</v>
      </c>
    </row>
    <row r="23" spans="2:29" ht="21" customHeight="1" thickBot="1" x14ac:dyDescent="0.3">
      <c r="B23" s="16">
        <f t="shared" si="0"/>
        <v>14</v>
      </c>
      <c r="C23" s="106" t="s">
        <v>118</v>
      </c>
      <c r="D23" s="107" t="s">
        <v>119</v>
      </c>
      <c r="E23" s="599" t="str">
        <f t="shared" si="1"/>
        <v>KnutLillealtern</v>
      </c>
      <c r="F23" s="192">
        <f>YEAR(I$5)-_xlfn.XLOOKUP(E23,Deltakerliste!E$5:E$98,Deltakerliste!I$5:I$98)</f>
        <v>77</v>
      </c>
      <c r="G23" s="192">
        <f>_xlfn.XLOOKUP(E23,Deltakerliste!E$5:E$98,Deltakerliste!H$5:H$98)</f>
        <v>2</v>
      </c>
      <c r="H23" s="592">
        <f>VLOOKUP(F23,Deltakerliste!P$6:T$84,G23,FALSE)</f>
        <v>1.7050000000000001</v>
      </c>
      <c r="I23" s="13"/>
      <c r="J23" s="13">
        <v>3.6469907407407409E-2</v>
      </c>
      <c r="K23" s="17"/>
      <c r="L23" s="600">
        <f t="shared" si="2"/>
        <v>9.8567317317317313E-3</v>
      </c>
      <c r="M23" s="594">
        <f>IF(L23="Løype",Poengsammendrag!$F$2,IF(L23="Arr",Poengsammendrag!$F$3,IF(L23="Brutt",50,IF(L23="Disk",50,ROUND(MAXA(100*(MIN(L$10:L$92)/L23),50),0)))))</f>
        <v>69</v>
      </c>
      <c r="N23" s="724">
        <f t="shared" si="3"/>
        <v>5.7810743294614258E-3</v>
      </c>
      <c r="O23" s="596">
        <f>IF(N23="Løype",Poengsammendrag!$F$2,IF(N23="Arr",Poengsammendrag!$F$3,IF(N23="Brutt",50,IF(N23="Disk",50,ROUND(MAXA(100*(MIN(N$10:N$92)/N23),50),0)))))</f>
        <v>76</v>
      </c>
      <c r="Q23" s="672"/>
      <c r="R23" s="672"/>
      <c r="S23" s="803" t="s">
        <v>340</v>
      </c>
      <c r="T23" s="736">
        <v>9.4907407407407406E-3</v>
      </c>
      <c r="U23" s="752">
        <v>72</v>
      </c>
      <c r="V23" s="781"/>
      <c r="W23" s="776" t="s">
        <v>118</v>
      </c>
      <c r="X23" s="740">
        <v>76</v>
      </c>
      <c r="AB23" s="828">
        <f t="shared" si="5"/>
        <v>68</v>
      </c>
      <c r="AC23" s="829">
        <f t="shared" si="4"/>
        <v>1</v>
      </c>
    </row>
    <row r="24" spans="2:29" ht="21" thickBot="1" x14ac:dyDescent="0.3">
      <c r="B24" s="16">
        <f t="shared" si="0"/>
        <v>15</v>
      </c>
      <c r="C24" s="106" t="s">
        <v>72</v>
      </c>
      <c r="D24" s="107" t="s">
        <v>73</v>
      </c>
      <c r="E24" s="599" t="str">
        <f t="shared" si="1"/>
        <v>KåreEggereide</v>
      </c>
      <c r="F24" s="192">
        <f>YEAR(I$5)-_xlfn.XLOOKUP(E24,Deltakerliste!E$5:E$98,Deltakerliste!I$5:I$98)</f>
        <v>75</v>
      </c>
      <c r="G24" s="192">
        <f>_xlfn.XLOOKUP(E24,Deltakerliste!E$5:E$98,Deltakerliste!H$5:H$98)</f>
        <v>2</v>
      </c>
      <c r="H24" s="592">
        <f>VLOOKUP(F24,Deltakerliste!P$6:T$84,G24,FALSE)</f>
        <v>1.605</v>
      </c>
      <c r="I24" s="593"/>
      <c r="J24" s="13">
        <v>3.4861111111111114E-2</v>
      </c>
      <c r="K24" s="13"/>
      <c r="L24" s="600">
        <f t="shared" si="2"/>
        <v>9.4219219219219223E-3</v>
      </c>
      <c r="M24" s="594">
        <f>IF(L24="Løype",Poengsammendrag!$F$2,IF(L24="Arr",Poengsammendrag!$F$3,IF(L24="Brutt",50,IF(L24="Disk",50,ROUND(MAXA(100*(MIN(L$10:L$92)/L24),50),0)))))</f>
        <v>73</v>
      </c>
      <c r="N24" s="724">
        <f t="shared" si="3"/>
        <v>5.8703563376460571E-3</v>
      </c>
      <c r="O24" s="596">
        <f>IF(N24="Løype",Poengsammendrag!$F$2,IF(N24="Arr",Poengsammendrag!$F$3,IF(N24="Brutt",50,IF(N24="Disk",50,ROUND(MAXA(100*(MIN(N$10:N$92)/N24),50),0)))))</f>
        <v>75</v>
      </c>
      <c r="Q24" s="672"/>
      <c r="R24" s="672"/>
      <c r="S24" s="803" t="s">
        <v>118</v>
      </c>
      <c r="T24" s="736">
        <v>9.8567317317317313E-3</v>
      </c>
      <c r="U24" s="752">
        <v>69</v>
      </c>
      <c r="V24" s="781"/>
      <c r="W24" s="776" t="s">
        <v>350</v>
      </c>
      <c r="X24" s="740">
        <v>75</v>
      </c>
      <c r="AB24" s="828">
        <f t="shared" si="5"/>
        <v>69</v>
      </c>
      <c r="AC24" s="829">
        <f t="shared" si="4"/>
        <v>0</v>
      </c>
    </row>
    <row r="25" spans="2:29" ht="21" thickBot="1" x14ac:dyDescent="0.3">
      <c r="B25" s="16">
        <f t="shared" si="0"/>
        <v>16</v>
      </c>
      <c r="C25" s="106" t="s">
        <v>101</v>
      </c>
      <c r="D25" s="107" t="s">
        <v>102</v>
      </c>
      <c r="E25" s="599" t="str">
        <f t="shared" si="1"/>
        <v>EvenHofstad</v>
      </c>
      <c r="F25" s="192">
        <f>YEAR(I$5)-_xlfn.XLOOKUP(E25,Deltakerliste!E$5:E$98,Deltakerliste!I$5:I$98)</f>
        <v>72</v>
      </c>
      <c r="G25" s="192">
        <f>_xlfn.XLOOKUP(E25,Deltakerliste!E$5:E$98,Deltakerliste!H$5:H$98)</f>
        <v>2</v>
      </c>
      <c r="H25" s="592">
        <f>VLOOKUP(F25,Deltakerliste!P$6:T$84,G25,FALSE)</f>
        <v>1.4969999999999999</v>
      </c>
      <c r="I25" s="86"/>
      <c r="J25" s="86">
        <v>3.3055555555555553E-2</v>
      </c>
      <c r="K25" s="13"/>
      <c r="L25" s="600">
        <f t="shared" si="2"/>
        <v>8.9339339339339335E-3</v>
      </c>
      <c r="M25" s="594">
        <f>IF(L25="Løype",Poengsammendrag!$F$2,IF(L25="Arr",Poengsammendrag!$F$3,IF(L25="Brutt",50,IF(L25="Disk",50,ROUND(MAXA(100*(MIN(L$10:L$92)/L25),50),0)))))</f>
        <v>77</v>
      </c>
      <c r="N25" s="724">
        <f t="shared" si="3"/>
        <v>5.9678917394348253E-3</v>
      </c>
      <c r="O25" s="596">
        <f>IF(N25="Løype",Poengsammendrag!$F$2,IF(N25="Arr",Poengsammendrag!$F$3,IF(N25="Brutt",50,IF(N25="Disk",50,ROUND(MAXA(100*(MIN(N$10:N$92)/N25),50),0)))))</f>
        <v>73</v>
      </c>
      <c r="Q25" s="672"/>
      <c r="R25" s="672"/>
      <c r="S25" s="803" t="s">
        <v>124</v>
      </c>
      <c r="T25" s="736">
        <v>9.8782206119162642E-3</v>
      </c>
      <c r="U25" s="752">
        <v>69</v>
      </c>
      <c r="V25" s="781"/>
      <c r="W25" s="776" t="s">
        <v>101</v>
      </c>
      <c r="X25" s="740">
        <v>73</v>
      </c>
      <c r="AB25" s="828">
        <f t="shared" si="5"/>
        <v>70</v>
      </c>
      <c r="AC25" s="829">
        <f t="shared" si="4"/>
        <v>1</v>
      </c>
    </row>
    <row r="26" spans="2:29" ht="21" customHeight="1" thickBot="1" x14ac:dyDescent="0.3">
      <c r="B26" s="16">
        <f t="shared" si="0"/>
        <v>17</v>
      </c>
      <c r="C26" s="106" t="s">
        <v>142</v>
      </c>
      <c r="D26" s="107" t="s">
        <v>143</v>
      </c>
      <c r="E26" s="599" t="str">
        <f t="shared" si="1"/>
        <v>EgilRepvik</v>
      </c>
      <c r="F26" s="192">
        <f>YEAR(I$5)-_xlfn.XLOOKUP(E26,Deltakerliste!E$5:E$98,Deltakerliste!I$5:I$98)</f>
        <v>80</v>
      </c>
      <c r="G26" s="192">
        <f>_xlfn.XLOOKUP(E26,Deltakerliste!E$5:E$98,Deltakerliste!H$5:H$98)</f>
        <v>2</v>
      </c>
      <c r="H26" s="592">
        <f>VLOOKUP(F26,Deltakerliste!P$6:T$84,G26,FALSE)</f>
        <v>1.8550000000000002</v>
      </c>
      <c r="I26" s="132">
        <v>2.5798611111111112E-2</v>
      </c>
      <c r="J26" s="18"/>
      <c r="K26" s="18"/>
      <c r="L26" s="600">
        <f t="shared" si="2"/>
        <v>1.1216787439613529E-2</v>
      </c>
      <c r="M26" s="594">
        <f>IF(L26="Løype",Poengsammendrag!$F$2,IF(L26="Arr",Poengsammendrag!$F$3,IF(L26="Brutt",50,IF(L26="Disk",50,ROUND(MAXA(100*(MIN(L$10:L$92)/L26),50),0)))))</f>
        <v>61</v>
      </c>
      <c r="N26" s="724">
        <f t="shared" si="3"/>
        <v>6.0467856817323596E-3</v>
      </c>
      <c r="O26" s="596">
        <f>IF(N26="Løype",Poengsammendrag!$F$2,IF(N26="Arr",Poengsammendrag!$F$3,IF(N26="Brutt",50,IF(N26="Disk",50,ROUND(MAXA(100*(MIN(N$10:N$92)/N26),50),0)))))</f>
        <v>73</v>
      </c>
      <c r="Q26" s="672"/>
      <c r="R26" s="672"/>
      <c r="S26" s="803" t="s">
        <v>347</v>
      </c>
      <c r="T26" s="736">
        <v>1.0617954911433173E-2</v>
      </c>
      <c r="U26" s="752">
        <v>64</v>
      </c>
      <c r="V26" s="781"/>
      <c r="W26" s="776" t="s">
        <v>356</v>
      </c>
      <c r="X26" s="740">
        <v>73</v>
      </c>
      <c r="AB26" s="828">
        <f t="shared" si="5"/>
        <v>71</v>
      </c>
      <c r="AC26" s="829">
        <f t="shared" si="4"/>
        <v>3</v>
      </c>
    </row>
    <row r="27" spans="2:29" ht="21" thickBot="1" x14ac:dyDescent="0.3">
      <c r="B27" s="16">
        <f t="shared" si="0"/>
        <v>18</v>
      </c>
      <c r="C27" s="106" t="s">
        <v>103</v>
      </c>
      <c r="D27" s="107" t="s">
        <v>104</v>
      </c>
      <c r="E27" s="599" t="str">
        <f t="shared" si="1"/>
        <v>SveinHove</v>
      </c>
      <c r="F27" s="192">
        <f>YEAR(I$5)-_xlfn.XLOOKUP(E27,Deltakerliste!E$5:E$98,Deltakerliste!I$5:I$98)</f>
        <v>79</v>
      </c>
      <c r="G27" s="192">
        <f>_xlfn.XLOOKUP(E27,Deltakerliste!E$5:E$98,Deltakerliste!H$5:H$98)</f>
        <v>2</v>
      </c>
      <c r="H27" s="592">
        <f>VLOOKUP(F27,Deltakerliste!P$6:T$84,G27,FALSE)</f>
        <v>1.8050000000000002</v>
      </c>
      <c r="I27" s="86">
        <v>2.5173611111111112E-2</v>
      </c>
      <c r="J27" s="86"/>
      <c r="K27" s="17"/>
      <c r="L27" s="600">
        <f t="shared" si="2"/>
        <v>1.0945048309178746E-2</v>
      </c>
      <c r="M27" s="594">
        <f>IF(L27="Løype",Poengsammendrag!$F$2,IF(L27="Arr",Poengsammendrag!$F$3,IF(L27="Brutt",50,IF(L27="Disk",50,ROUND(MAXA(100*(MIN(L$10:L$92)/L27),50),0)))))</f>
        <v>62</v>
      </c>
      <c r="N27" s="724">
        <f t="shared" si="3"/>
        <v>6.0637386754452882E-3</v>
      </c>
      <c r="O27" s="596">
        <f>IF(N27="Løype",Poengsammendrag!$F$2,IF(N27="Arr",Poengsammendrag!$F$3,IF(N27="Brutt",50,IF(N27="Disk",50,ROUND(MAXA(100*(MIN(N$10:N$92)/N27),50),0)))))</f>
        <v>72</v>
      </c>
      <c r="Q27" s="672"/>
      <c r="R27" s="672"/>
      <c r="S27" s="803" t="s">
        <v>76</v>
      </c>
      <c r="T27" s="736">
        <v>1.078401771336554E-2</v>
      </c>
      <c r="U27" s="752">
        <v>63</v>
      </c>
      <c r="V27" s="781"/>
      <c r="W27" s="776" t="s">
        <v>103</v>
      </c>
      <c r="X27" s="740">
        <v>72</v>
      </c>
      <c r="AB27" s="828">
        <f t="shared" si="5"/>
        <v>72</v>
      </c>
      <c r="AC27" s="829">
        <f t="shared" si="4"/>
        <v>2</v>
      </c>
    </row>
    <row r="28" spans="2:29" ht="21" customHeight="1" thickBot="1" x14ac:dyDescent="0.3">
      <c r="B28" s="16">
        <f t="shared" si="0"/>
        <v>19</v>
      </c>
      <c r="C28" s="106" t="s">
        <v>299</v>
      </c>
      <c r="D28" s="107" t="s">
        <v>300</v>
      </c>
      <c r="E28" s="599" t="str">
        <f t="shared" si="1"/>
        <v>OlavKvittem</v>
      </c>
      <c r="F28" s="192">
        <f>YEAR(I$5)-_xlfn.XLOOKUP(E28,Deltakerliste!E$5:E$98,Deltakerliste!I$5:I$98)</f>
        <v>71</v>
      </c>
      <c r="G28" s="192">
        <f>_xlfn.XLOOKUP(E28,Deltakerliste!E$5:E$98,Deltakerliste!H$5:H$98)</f>
        <v>2</v>
      </c>
      <c r="H28" s="592">
        <f>VLOOKUP(F28,Deltakerliste!P$6:T$84,G28,FALSE)</f>
        <v>1.4609999999999999</v>
      </c>
      <c r="I28" s="86"/>
      <c r="J28" s="86">
        <v>3.3344907407407406E-2</v>
      </c>
      <c r="K28" s="13"/>
      <c r="L28" s="600">
        <f t="shared" si="2"/>
        <v>9.0121371371371366E-3</v>
      </c>
      <c r="M28" s="594">
        <f>IF(L28="Løype",Poengsammendrag!$F$2,IF(L28="Arr",Poengsammendrag!$F$3,IF(L28="Brutt",50,IF(L28="Disk",50,ROUND(MAXA(100*(MIN(L$10:L$92)/L28),50),0)))))</f>
        <v>76</v>
      </c>
      <c r="N28" s="724">
        <f t="shared" si="3"/>
        <v>6.1684716886633382E-3</v>
      </c>
      <c r="O28" s="596">
        <f>IF(N28="Løype",Poengsammendrag!$F$2,IF(N28="Arr",Poengsammendrag!$F$3,IF(N28="Brutt",50,IF(N28="Disk",50,ROUND(MAXA(100*(MIN(N$10:N$92)/N28),50),0)))))</f>
        <v>71</v>
      </c>
      <c r="Q28" s="672"/>
      <c r="R28" s="672"/>
      <c r="S28" s="803" t="s">
        <v>103</v>
      </c>
      <c r="T28" s="736">
        <v>1.0945048309178746E-2</v>
      </c>
      <c r="U28" s="752">
        <v>62</v>
      </c>
      <c r="V28" s="781"/>
      <c r="W28" s="776" t="s">
        <v>299</v>
      </c>
      <c r="X28" s="740">
        <v>71</v>
      </c>
      <c r="AB28" s="828">
        <f t="shared" si="5"/>
        <v>73</v>
      </c>
      <c r="AC28" s="829">
        <f t="shared" si="4"/>
        <v>5</v>
      </c>
    </row>
    <row r="29" spans="2:29" ht="21" thickBot="1" x14ac:dyDescent="0.3">
      <c r="B29" s="16">
        <f t="shared" si="0"/>
        <v>20</v>
      </c>
      <c r="C29" s="106" t="s">
        <v>63</v>
      </c>
      <c r="D29" s="107" t="s">
        <v>98</v>
      </c>
      <c r="E29" s="599" t="str">
        <f t="shared" si="1"/>
        <v>ToreHeggem</v>
      </c>
      <c r="F29" s="192">
        <f>YEAR(I$5)-_xlfn.XLOOKUP(E29,Deltakerliste!E$5:E$98,Deltakerliste!I$5:I$98)</f>
        <v>73</v>
      </c>
      <c r="G29" s="192">
        <f>_xlfn.XLOOKUP(E29,Deltakerliste!E$5:E$98,Deltakerliste!H$5:H$98)</f>
        <v>2</v>
      </c>
      <c r="H29" s="592">
        <f>VLOOKUP(F29,Deltakerliste!P$6:T$84,G29,FALSE)</f>
        <v>1.5329999999999999</v>
      </c>
      <c r="I29" s="86"/>
      <c r="J29" s="86">
        <v>3.5115740740740739E-2</v>
      </c>
      <c r="K29" s="13"/>
      <c r="L29" s="600">
        <f t="shared" si="2"/>
        <v>9.4907407407407406E-3</v>
      </c>
      <c r="M29" s="594">
        <f>IF(L29="Løype",Poengsammendrag!$F$2,IF(L29="Arr",Poengsammendrag!$F$3,IF(L29="Brutt",50,IF(L29="Disk",50,ROUND(MAXA(100*(MIN(L$10:L$92)/L29),50),0)))))</f>
        <v>72</v>
      </c>
      <c r="N29" s="724">
        <f t="shared" si="3"/>
        <v>6.1909593873064198E-3</v>
      </c>
      <c r="O29" s="596">
        <f>IF(N29="Løype",Poengsammendrag!$F$2,IF(N29="Arr",Poengsammendrag!$F$3,IF(N29="Brutt",50,IF(N29="Disk",50,ROUND(MAXA(100*(MIN(N$10:N$92)/N29),50),0)))))</f>
        <v>71</v>
      </c>
      <c r="Q29" s="672"/>
      <c r="R29" s="672"/>
      <c r="S29" s="803" t="s">
        <v>168</v>
      </c>
      <c r="T29" s="736">
        <v>1.0980273752012883E-2</v>
      </c>
      <c r="U29" s="752">
        <v>62</v>
      </c>
      <c r="V29" s="781"/>
      <c r="W29" s="776" t="s">
        <v>340</v>
      </c>
      <c r="X29" s="740">
        <v>71</v>
      </c>
      <c r="AB29" s="828">
        <f t="shared" si="5"/>
        <v>74</v>
      </c>
      <c r="AC29" s="829">
        <f t="shared" si="4"/>
        <v>2</v>
      </c>
    </row>
    <row r="30" spans="2:29" ht="21" thickBot="1" x14ac:dyDescent="0.3">
      <c r="B30" s="16">
        <f t="shared" si="0"/>
        <v>21</v>
      </c>
      <c r="C30" s="106" t="s">
        <v>159</v>
      </c>
      <c r="D30" s="107" t="s">
        <v>160</v>
      </c>
      <c r="E30" s="599" t="str">
        <f t="shared" si="1"/>
        <v>EigilSørli</v>
      </c>
      <c r="F30" s="192">
        <f>YEAR(I$5)-_xlfn.XLOOKUP(E30,Deltakerliste!E$5:E$98,Deltakerliste!I$5:I$98)</f>
        <v>86</v>
      </c>
      <c r="G30" s="192">
        <f>_xlfn.XLOOKUP(E30,Deltakerliste!E$5:E$98,Deltakerliste!H$5:H$98)</f>
        <v>2</v>
      </c>
      <c r="H30" s="592">
        <f>VLOOKUP(F30,Deltakerliste!P$6:T$84,G30,FALSE)</f>
        <v>2.3089999999999997</v>
      </c>
      <c r="I30" s="132">
        <v>3.4965277777777776E-2</v>
      </c>
      <c r="J30" s="18"/>
      <c r="K30" s="18"/>
      <c r="L30" s="600">
        <f t="shared" si="2"/>
        <v>1.5202294685990339E-2</v>
      </c>
      <c r="M30" s="594">
        <f>IF(L30="Løype",Poengsammendrag!$F$2,IF(L30="Arr",Poengsammendrag!$F$3,IF(L30="Brutt",50,IF(L30="Disk",50,ROUND(MAXA(100*(MIN(L$10:L$92)/L30),50),0)))))</f>
        <v>50</v>
      </c>
      <c r="N30" s="724">
        <f t="shared" si="3"/>
        <v>6.5839301368515986E-3</v>
      </c>
      <c r="O30" s="596">
        <f>IF(N30="Løype",Poengsammendrag!$F$2,IF(N30="Arr",Poengsammendrag!$F$3,IF(N30="Brutt",50,IF(N30="Disk",50,ROUND(MAXA(100*(MIN(N$10:N$92)/N30),50),0)))))</f>
        <v>67</v>
      </c>
      <c r="Q30" s="672"/>
      <c r="R30" s="672"/>
      <c r="S30" s="803" t="s">
        <v>356</v>
      </c>
      <c r="T30" s="736">
        <v>1.1216787439613529E-2</v>
      </c>
      <c r="U30" s="752">
        <v>61</v>
      </c>
      <c r="V30" s="781"/>
      <c r="W30" s="776" t="s">
        <v>357</v>
      </c>
      <c r="X30" s="740">
        <v>67</v>
      </c>
      <c r="AB30" s="828">
        <f t="shared" si="5"/>
        <v>75</v>
      </c>
      <c r="AC30" s="829">
        <f t="shared" si="4"/>
        <v>6</v>
      </c>
    </row>
    <row r="31" spans="2:29" ht="21" customHeight="1" thickBot="1" x14ac:dyDescent="0.3">
      <c r="B31" s="16">
        <f t="shared" si="0"/>
        <v>22</v>
      </c>
      <c r="C31" s="106" t="s">
        <v>76</v>
      </c>
      <c r="D31" s="107" t="s">
        <v>77</v>
      </c>
      <c r="E31" s="599" t="str">
        <f t="shared" si="1"/>
        <v>ReinoldEllingsen</v>
      </c>
      <c r="F31" s="192">
        <f>YEAR(I$5)-_xlfn.XLOOKUP(E31,Deltakerliste!E$5:E$98,Deltakerliste!I$5:I$98)</f>
        <v>75</v>
      </c>
      <c r="G31" s="192">
        <f>_xlfn.XLOOKUP(E31,Deltakerliste!E$5:E$98,Deltakerliste!H$5:H$98)</f>
        <v>2</v>
      </c>
      <c r="H31" s="592">
        <f>VLOOKUP(F31,Deltakerliste!P$6:T$84,G31,FALSE)</f>
        <v>1.605</v>
      </c>
      <c r="I31" s="13">
        <v>2.480324074074074E-2</v>
      </c>
      <c r="J31" s="13"/>
      <c r="K31" s="13"/>
      <c r="L31" s="600">
        <f t="shared" si="2"/>
        <v>1.078401771336554E-2</v>
      </c>
      <c r="M31" s="594">
        <f>IF(L31="Løype",Poengsammendrag!$F$2,IF(L31="Arr",Poengsammendrag!$F$3,IF(L31="Brutt",50,IF(L31="Disk",50,ROUND(MAXA(100*(MIN(L$10:L$92)/L31),50),0)))))</f>
        <v>63</v>
      </c>
      <c r="N31" s="724">
        <f t="shared" si="3"/>
        <v>6.71901415162962E-3</v>
      </c>
      <c r="O31" s="596">
        <f>IF(N31="Løype",Poengsammendrag!$F$2,IF(N31="Arr",Poengsammendrag!$F$3,IF(N31="Brutt",50,IF(N31="Disk",50,ROUND(MAXA(100*(MIN(N$10:N$92)/N31),50),0)))))</f>
        <v>65</v>
      </c>
      <c r="Q31" s="672"/>
      <c r="R31" s="672"/>
      <c r="S31" s="803" t="s">
        <v>338</v>
      </c>
      <c r="T31" s="736">
        <v>1.1257045088566829E-2</v>
      </c>
      <c r="U31" s="752">
        <v>61</v>
      </c>
      <c r="V31" s="781"/>
      <c r="W31" s="776" t="s">
        <v>76</v>
      </c>
      <c r="X31" s="740">
        <v>65</v>
      </c>
      <c r="AB31" s="828">
        <f t="shared" si="5"/>
        <v>76</v>
      </c>
      <c r="AC31" s="829">
        <f t="shared" si="4"/>
        <v>1</v>
      </c>
    </row>
    <row r="32" spans="2:29" ht="21" customHeight="1" thickBot="1" x14ac:dyDescent="0.3">
      <c r="B32" s="16">
        <f t="shared" si="0"/>
        <v>23</v>
      </c>
      <c r="C32" s="106" t="s">
        <v>63</v>
      </c>
      <c r="D32" s="107" t="s">
        <v>336</v>
      </c>
      <c r="E32" s="599" t="str">
        <f t="shared" si="1"/>
        <v>ToreFornes</v>
      </c>
      <c r="F32" s="192">
        <f>YEAR(I$5)-_xlfn.XLOOKUP(E32,Deltakerliste!E$5:E$98,Deltakerliste!I$5:I$98)</f>
        <v>67</v>
      </c>
      <c r="G32" s="192">
        <f>_xlfn.XLOOKUP(E32,Deltakerliste!E$5:E$98,Deltakerliste!H$5:H$98)</f>
        <v>2</v>
      </c>
      <c r="H32" s="592">
        <f>VLOOKUP(F32,Deltakerliste!P$6:T$84,G32,FALSE)</f>
        <v>1.3469999999999998</v>
      </c>
      <c r="I32" s="86"/>
      <c r="J32" s="86">
        <v>3.4016203703703701E-2</v>
      </c>
      <c r="K32" s="13"/>
      <c r="L32" s="600">
        <f t="shared" si="2"/>
        <v>9.1935685685685681E-3</v>
      </c>
      <c r="M32" s="594">
        <f>IF(L32="Løype",Poengsammendrag!$F$2,IF(L32="Arr",Poengsammendrag!$F$3,IF(L32="Brutt",50,IF(L32="Disk",50,ROUND(MAXA(100*(MIN(L$10:L$92)/L32),50),0)))))</f>
        <v>74</v>
      </c>
      <c r="N32" s="724">
        <f t="shared" si="3"/>
        <v>6.8252179425156417E-3</v>
      </c>
      <c r="O32" s="596">
        <f>IF(N32="Løype",Poengsammendrag!$F$2,IF(N32="Arr",Poengsammendrag!$F$3,IF(N32="Brutt",50,IF(N32="Disk",50,ROUND(MAXA(100*(MIN(N$10:N$92)/N32),50),0)))))</f>
        <v>64</v>
      </c>
      <c r="S32" s="803" t="s">
        <v>269</v>
      </c>
      <c r="T32" s="736">
        <v>1.1397946859903382E-2</v>
      </c>
      <c r="U32" s="752">
        <v>60</v>
      </c>
      <c r="V32" s="781"/>
      <c r="W32" s="776" t="s">
        <v>346</v>
      </c>
      <c r="X32" s="740">
        <v>64</v>
      </c>
      <c r="AB32" s="828">
        <f t="shared" si="5"/>
        <v>77</v>
      </c>
      <c r="AC32" s="829">
        <f t="shared" si="4"/>
        <v>2</v>
      </c>
    </row>
    <row r="33" spans="2:29" ht="21" customHeight="1" thickBot="1" x14ac:dyDescent="0.3">
      <c r="B33" s="16">
        <f t="shared" si="0"/>
        <v>24</v>
      </c>
      <c r="C33" s="106" t="s">
        <v>168</v>
      </c>
      <c r="D33" s="107" t="s">
        <v>169</v>
      </c>
      <c r="E33" s="599" t="str">
        <f t="shared" si="1"/>
        <v>SteinØvstedal</v>
      </c>
      <c r="F33" s="192">
        <f>YEAR(I$5)-_xlfn.XLOOKUP(E33,Deltakerliste!E$5:E$98,Deltakerliste!I$5:I$98)</f>
        <v>75</v>
      </c>
      <c r="G33" s="192">
        <f>_xlfn.XLOOKUP(E33,Deltakerliste!E$5:E$98,Deltakerliste!H$5:H$98)</f>
        <v>2</v>
      </c>
      <c r="H33" s="592">
        <f>VLOOKUP(F33,Deltakerliste!P$6:T$84,G33,FALSE)</f>
        <v>1.605</v>
      </c>
      <c r="I33" s="132">
        <v>2.525462962962963E-2</v>
      </c>
      <c r="J33" s="132"/>
      <c r="K33" s="18"/>
      <c r="L33" s="600">
        <f t="shared" si="2"/>
        <v>1.0980273752012883E-2</v>
      </c>
      <c r="M33" s="594">
        <f>IF(L33="Løype",Poengsammendrag!$F$2,IF(L33="Arr",Poengsammendrag!$F$3,IF(L33="Brutt",50,IF(L33="Disk",50,ROUND(MAXA(100*(MIN(L$10:L$92)/L33),50),0)))))</f>
        <v>62</v>
      </c>
      <c r="N33" s="724">
        <f t="shared" si="3"/>
        <v>6.8412920573288991E-3</v>
      </c>
      <c r="O33" s="596">
        <f>IF(N33="Løype",Poengsammendrag!$F$2,IF(N33="Arr",Poengsammendrag!$F$3,IF(N33="Brutt",50,IF(N33="Disk",50,ROUND(MAXA(100*(MIN(N$10:N$92)/N33),50),0)))))</f>
        <v>64</v>
      </c>
      <c r="S33" s="803" t="s">
        <v>161</v>
      </c>
      <c r="T33" s="736">
        <v>1.2932769726247987E-2</v>
      </c>
      <c r="U33" s="752">
        <v>53</v>
      </c>
      <c r="V33" s="781"/>
      <c r="W33" s="776" t="s">
        <v>168</v>
      </c>
      <c r="X33" s="740">
        <v>64</v>
      </c>
      <c r="AB33" s="828">
        <f t="shared" si="5"/>
        <v>78</v>
      </c>
      <c r="AC33" s="829">
        <f t="shared" si="4"/>
        <v>4</v>
      </c>
    </row>
    <row r="34" spans="2:29" ht="21" customHeight="1" thickBot="1" x14ac:dyDescent="0.3">
      <c r="B34" s="16">
        <f t="shared" si="0"/>
        <v>25</v>
      </c>
      <c r="C34" s="106" t="s">
        <v>161</v>
      </c>
      <c r="D34" s="107" t="s">
        <v>162</v>
      </c>
      <c r="E34" s="599" t="str">
        <f t="shared" si="1"/>
        <v>Nils OlavVennevik</v>
      </c>
      <c r="F34" s="192">
        <f>YEAR(I$5)-_xlfn.XLOOKUP(E34,Deltakerliste!E$5:E$98,Deltakerliste!I$5:I$98)</f>
        <v>78</v>
      </c>
      <c r="G34" s="192">
        <f>_xlfn.XLOOKUP(E34,Deltakerliste!E$5:E$98,Deltakerliste!H$5:H$98)</f>
        <v>2</v>
      </c>
      <c r="H34" s="592">
        <f>VLOOKUP(F34,Deltakerliste!P$6:T$84,G34,FALSE)</f>
        <v>1.7550000000000001</v>
      </c>
      <c r="I34" s="132">
        <v>2.974537037037037E-2</v>
      </c>
      <c r="J34" s="18"/>
      <c r="K34" s="18"/>
      <c r="L34" s="600">
        <f t="shared" si="2"/>
        <v>1.2932769726247987E-2</v>
      </c>
      <c r="M34" s="594">
        <f>IF(L34="Løype",Poengsammendrag!$F$2,IF(L34="Arr",Poengsammendrag!$F$3,IF(L34="Brutt",50,IF(L34="Disk",50,ROUND(MAXA(100*(MIN(L$10:L$92)/L34),50),0)))))</f>
        <v>53</v>
      </c>
      <c r="N34" s="724">
        <f t="shared" si="3"/>
        <v>7.3690995591156614E-3</v>
      </c>
      <c r="O34" s="596">
        <f>IF(N34="Løype",Poengsammendrag!$F$2,IF(N34="Arr",Poengsammendrag!$F$3,IF(N34="Brutt",50,IF(N34="Disk",50,ROUND(MAXA(100*(MIN(N$10:N$92)/N34),50),0)))))</f>
        <v>60</v>
      </c>
      <c r="S34" s="803" t="s">
        <v>207</v>
      </c>
      <c r="T34" s="736">
        <v>1.3108896940418681E-2</v>
      </c>
      <c r="U34" s="752">
        <v>52</v>
      </c>
      <c r="V34" s="781"/>
      <c r="W34" s="776" t="s">
        <v>161</v>
      </c>
      <c r="X34" s="740">
        <v>60</v>
      </c>
      <c r="AB34" s="828">
        <f t="shared" si="5"/>
        <v>79</v>
      </c>
      <c r="AC34" s="829">
        <f t="shared" si="4"/>
        <v>4</v>
      </c>
    </row>
    <row r="35" spans="2:29" ht="21" customHeight="1" thickBot="1" x14ac:dyDescent="0.3">
      <c r="B35" s="16">
        <f t="shared" si="0"/>
        <v>26</v>
      </c>
      <c r="C35" s="106" t="s">
        <v>248</v>
      </c>
      <c r="D35" s="107" t="s">
        <v>249</v>
      </c>
      <c r="E35" s="599" t="str">
        <f t="shared" si="1"/>
        <v>ErikLund</v>
      </c>
      <c r="F35" s="192">
        <f>YEAR(I$5)-_xlfn.XLOOKUP(E35,Deltakerliste!E$5:E$98,Deltakerliste!I$5:I$98)</f>
        <v>79</v>
      </c>
      <c r="G35" s="192">
        <f>_xlfn.XLOOKUP(E35,Deltakerliste!E$5:E$98,Deltakerliste!H$5:H$98)</f>
        <v>2</v>
      </c>
      <c r="H35" s="592">
        <f>VLOOKUP(F35,Deltakerliste!P$6:T$84,G35,FALSE)</f>
        <v>1.8050000000000002</v>
      </c>
      <c r="I35" s="13">
        <v>3.3206018518518517E-2</v>
      </c>
      <c r="J35" s="13"/>
      <c r="K35" s="17"/>
      <c r="L35" s="600">
        <f t="shared" si="2"/>
        <v>1.4437399355877617E-2</v>
      </c>
      <c r="M35" s="594">
        <f>IF(L35="Løype",Poengsammendrag!$F$2,IF(L35="Arr",Poengsammendrag!$F$3,IF(L35="Brutt",50,IF(L35="Disk",50,ROUND(MAXA(100*(MIN(L$10:L$92)/L35),50),0)))))</f>
        <v>50</v>
      </c>
      <c r="N35" s="724">
        <f t="shared" si="3"/>
        <v>7.9985591999321981E-3</v>
      </c>
      <c r="O35" s="596">
        <f>IF(N35="Løype",Poengsammendrag!$F$2,IF(N35="Arr",Poengsammendrag!$F$3,IF(N35="Brutt",50,IF(N35="Disk",50,ROUND(MAXA(100*(MIN(N$10:N$92)/N35),50),0)))))</f>
        <v>55</v>
      </c>
      <c r="S35" s="803" t="s">
        <v>248</v>
      </c>
      <c r="T35" s="736">
        <v>1.4437399355877617E-2</v>
      </c>
      <c r="U35" s="752">
        <v>50</v>
      </c>
      <c r="V35" s="781"/>
      <c r="W35" s="776" t="s">
        <v>248</v>
      </c>
      <c r="X35" s="740">
        <v>55</v>
      </c>
      <c r="AB35" s="828">
        <f t="shared" si="5"/>
        <v>80</v>
      </c>
      <c r="AC35" s="829">
        <f t="shared" si="4"/>
        <v>1</v>
      </c>
    </row>
    <row r="36" spans="2:29" ht="21" thickBot="1" x14ac:dyDescent="0.3">
      <c r="B36" s="16">
        <f t="shared" si="0"/>
        <v>27</v>
      </c>
      <c r="C36" s="106" t="s">
        <v>269</v>
      </c>
      <c r="D36" s="107" t="s">
        <v>270</v>
      </c>
      <c r="E36" s="599" t="str">
        <f t="shared" si="1"/>
        <v>Per OlavJohansen</v>
      </c>
      <c r="F36" s="192">
        <f>YEAR(I$5)-_xlfn.XLOOKUP(E36,Deltakerliste!E$5:E$98,Deltakerliste!I$5:I$98)</f>
        <v>68</v>
      </c>
      <c r="G36" s="192">
        <f>_xlfn.XLOOKUP(E36,Deltakerliste!E$5:E$98,Deltakerliste!H$5:H$98)</f>
        <v>2</v>
      </c>
      <c r="H36" s="592">
        <f>VLOOKUP(F36,Deltakerliste!P$6:T$84,G36,FALSE)</f>
        <v>1.3729999999999998</v>
      </c>
      <c r="I36" s="103">
        <v>2.6215277777777778E-2</v>
      </c>
      <c r="J36" s="132"/>
      <c r="K36" s="134"/>
      <c r="L36" s="600">
        <f t="shared" si="2"/>
        <v>1.1397946859903382E-2</v>
      </c>
      <c r="M36" s="594">
        <f>IF(L36="Løype",Poengsammendrag!$F$2,IF(L36="Arr",Poengsammendrag!$F$3,IF(L36="Brutt",50,IF(L36="Disk",50,ROUND(MAXA(100*(MIN(L$10:L$92)/L36),50),0)))))</f>
        <v>60</v>
      </c>
      <c r="N36" s="724">
        <f t="shared" si="3"/>
        <v>8.3014907938116413E-3</v>
      </c>
      <c r="O36" s="596">
        <f>IF(N36="Løype",Poengsammendrag!$F$2,IF(N36="Arr",Poengsammendrag!$F$3,IF(N36="Brutt",50,IF(N36="Disk",50,ROUND(MAXA(100*(MIN(N$10:N$92)/N36),50),0)))))</f>
        <v>53</v>
      </c>
      <c r="S36" s="803" t="s">
        <v>357</v>
      </c>
      <c r="T36" s="736">
        <v>1.5202294685990339E-2</v>
      </c>
      <c r="U36" s="752">
        <v>50</v>
      </c>
      <c r="V36" s="781"/>
      <c r="W36" s="776" t="s">
        <v>269</v>
      </c>
      <c r="X36" s="740">
        <v>53</v>
      </c>
      <c r="AB36" s="828">
        <f t="shared" si="5"/>
        <v>81</v>
      </c>
      <c r="AC36" s="829">
        <f t="shared" si="4"/>
        <v>1</v>
      </c>
    </row>
    <row r="37" spans="2:29" ht="21" customHeight="1" thickBot="1" x14ac:dyDescent="0.3">
      <c r="B37" s="16">
        <f t="shared" si="0"/>
        <v>28</v>
      </c>
      <c r="C37" s="106" t="s">
        <v>82</v>
      </c>
      <c r="D37" s="107" t="s">
        <v>83</v>
      </c>
      <c r="E37" s="599" t="str">
        <f t="shared" si="1"/>
        <v>RoarForbord</v>
      </c>
      <c r="F37" s="192">
        <f>YEAR(I$5)-_xlfn.XLOOKUP(E37,Deltakerliste!E$5:E$98,Deltakerliste!I$5:I$98)</f>
        <v>83</v>
      </c>
      <c r="G37" s="192">
        <f>_xlfn.XLOOKUP(E37,Deltakerliste!E$5:E$98,Deltakerliste!H$5:H$98)</f>
        <v>2</v>
      </c>
      <c r="H37" s="592">
        <f>VLOOKUP(F37,Deltakerliste!P$6:T$84,G37,FALSE)</f>
        <v>2.077</v>
      </c>
      <c r="I37" s="86" t="s">
        <v>306</v>
      </c>
      <c r="J37" s="86"/>
      <c r="K37" s="13"/>
      <c r="L37" s="600" t="str">
        <f t="shared" si="2"/>
        <v>Brutt</v>
      </c>
      <c r="M37" s="594">
        <f>IF(L37="Løype",Poengsammendrag!$F$2,IF(L37="Arr",Poengsammendrag!$F$3,IF(L37="Brutt",50,IF(L37="Disk",50,ROUND(MAXA(100*(MIN(L$10:L$92)/L37),50),0)))))</f>
        <v>50</v>
      </c>
      <c r="N37" s="724" t="str">
        <f t="shared" si="3"/>
        <v>Brutt</v>
      </c>
      <c r="O37" s="596">
        <f>IF(N37="Løype",Poengsammendrag!$F$2,IF(N37="Arr",Poengsammendrag!$F$3,IF(N37="Brutt",50,IF(N37="Disk",50,ROUND(MAXA(100*(MIN(N$10:N$92)/N37),50),0)))))</f>
        <v>50</v>
      </c>
      <c r="S37" s="803" t="s">
        <v>82</v>
      </c>
      <c r="T37" s="736" t="s">
        <v>306</v>
      </c>
      <c r="U37" s="752">
        <v>50</v>
      </c>
      <c r="V37" s="781"/>
      <c r="W37" s="776" t="s">
        <v>82</v>
      </c>
      <c r="X37" s="740">
        <v>50</v>
      </c>
      <c r="AB37" s="828">
        <f t="shared" si="5"/>
        <v>82</v>
      </c>
      <c r="AC37" s="829">
        <f t="shared" si="4"/>
        <v>0</v>
      </c>
    </row>
    <row r="38" spans="2:29" ht="21" customHeight="1" thickBot="1" x14ac:dyDescent="0.3">
      <c r="B38" s="16">
        <f t="shared" si="0"/>
        <v>29</v>
      </c>
      <c r="C38" s="106" t="s">
        <v>68</v>
      </c>
      <c r="D38" s="107" t="s">
        <v>69</v>
      </c>
      <c r="E38" s="599" t="str">
        <f t="shared" si="1"/>
        <v>JanBøhle</v>
      </c>
      <c r="F38" s="192">
        <f>YEAR(I$5)-_xlfn.XLOOKUP(E38,Deltakerliste!E$5:E$98,Deltakerliste!I$5:I$98)</f>
        <v>74</v>
      </c>
      <c r="G38" s="192">
        <f>_xlfn.XLOOKUP(E38,Deltakerliste!E$5:E$98,Deltakerliste!H$5:H$98)</f>
        <v>2</v>
      </c>
      <c r="H38" s="592">
        <f>VLOOKUP(F38,Deltakerliste!P$6:T$84,G38,FALSE)</f>
        <v>1.569</v>
      </c>
      <c r="I38" s="86"/>
      <c r="J38" s="86" t="s">
        <v>319</v>
      </c>
      <c r="K38" s="13"/>
      <c r="L38" s="600" t="str">
        <f t="shared" si="2"/>
        <v>Disk</v>
      </c>
      <c r="M38" s="594">
        <f>IF(L38="Løype",Poengsammendrag!$F$2,IF(L38="Arr",Poengsammendrag!$F$3,IF(L38="Brutt",50,IF(L38="Disk",50,ROUND(MAXA(100*(MIN(L$10:L$92)/L38),50),0)))))</f>
        <v>50</v>
      </c>
      <c r="N38" s="724" t="str">
        <f t="shared" si="3"/>
        <v>Disk</v>
      </c>
      <c r="O38" s="596">
        <f>IF(N38="Løype",Poengsammendrag!$F$2,IF(N38="Arr",Poengsammendrag!$F$3,IF(N38="Brutt",50,IF(N38="Disk",50,ROUND(MAXA(100*(MIN(N$10:N$92)/N38),50),0)))))</f>
        <v>50</v>
      </c>
      <c r="S38" s="803" t="s">
        <v>68</v>
      </c>
      <c r="T38" s="736" t="s">
        <v>319</v>
      </c>
      <c r="U38" s="752">
        <v>50</v>
      </c>
      <c r="V38" s="781"/>
      <c r="W38" s="776" t="s">
        <v>68</v>
      </c>
      <c r="X38" s="740">
        <v>50</v>
      </c>
      <c r="AB38" s="828">
        <f t="shared" si="5"/>
        <v>83</v>
      </c>
      <c r="AC38" s="829">
        <f t="shared" si="4"/>
        <v>2</v>
      </c>
    </row>
    <row r="39" spans="2:29" ht="21" customHeight="1" thickBot="1" x14ac:dyDescent="0.3">
      <c r="B39" s="16">
        <f t="shared" si="0"/>
        <v>30</v>
      </c>
      <c r="C39" s="106" t="s">
        <v>110</v>
      </c>
      <c r="D39" s="107" t="s">
        <v>111</v>
      </c>
      <c r="E39" s="599" t="str">
        <f t="shared" si="1"/>
        <v>Jan ErikKofoed</v>
      </c>
      <c r="F39" s="192">
        <f>YEAR(I$5)-_xlfn.XLOOKUP(E39,Deltakerliste!E$5:E$98,Deltakerliste!I$5:I$98)</f>
        <v>72</v>
      </c>
      <c r="G39" s="192">
        <f>_xlfn.XLOOKUP(E39,Deltakerliste!E$5:E$98,Deltakerliste!H$5:H$98)</f>
        <v>2</v>
      </c>
      <c r="H39" s="592">
        <f>VLOOKUP(F39,Deltakerliste!P$6:T$84,G39,FALSE)</f>
        <v>1.4969999999999999</v>
      </c>
      <c r="I39" s="86"/>
      <c r="J39" s="86" t="s">
        <v>319</v>
      </c>
      <c r="K39" s="13"/>
      <c r="L39" s="600" t="str">
        <f t="shared" si="2"/>
        <v>Disk</v>
      </c>
      <c r="M39" s="594">
        <f>IF(L39="Løype",Poengsammendrag!$F$2,IF(L39="Arr",Poengsammendrag!$F$3,IF(L39="Brutt",50,IF(L39="Disk",50,ROUND(MAXA(100*(MIN(L$10:L$92)/L39),50),0)))))</f>
        <v>50</v>
      </c>
      <c r="N39" s="724" t="str">
        <f t="shared" si="3"/>
        <v>Disk</v>
      </c>
      <c r="O39" s="596">
        <f>IF(N39="Løype",Poengsammendrag!$F$2,IF(N39="Arr",Poengsammendrag!$F$3,IF(N39="Brutt",50,IF(N39="Disk",50,ROUND(MAXA(100*(MIN(N$10:N$92)/N39),50),0)))))</f>
        <v>50</v>
      </c>
      <c r="S39" s="803" t="s">
        <v>110</v>
      </c>
      <c r="T39" s="736" t="s">
        <v>319</v>
      </c>
      <c r="U39" s="752">
        <v>50</v>
      </c>
      <c r="V39" s="781"/>
      <c r="W39" s="776" t="s">
        <v>110</v>
      </c>
      <c r="X39" s="740">
        <v>50</v>
      </c>
      <c r="AB39" s="828">
        <f t="shared" si="5"/>
        <v>84</v>
      </c>
      <c r="AC39" s="829">
        <f t="shared" si="4"/>
        <v>0</v>
      </c>
    </row>
    <row r="40" spans="2:29" ht="21" thickBot="1" x14ac:dyDescent="0.3">
      <c r="B40" s="16">
        <f t="shared" si="0"/>
        <v>31</v>
      </c>
      <c r="C40" s="106" t="s">
        <v>114</v>
      </c>
      <c r="D40" s="107" t="s">
        <v>115</v>
      </c>
      <c r="E40" s="599" t="str">
        <f t="shared" si="1"/>
        <v>MagnusLandstad</v>
      </c>
      <c r="F40" s="192">
        <f>YEAR(I$5)-_xlfn.XLOOKUP(E40,Deltakerliste!E$5:E$98,Deltakerliste!I$5:I$98)</f>
        <v>83</v>
      </c>
      <c r="G40" s="192">
        <f>_xlfn.XLOOKUP(E40,Deltakerliste!E$5:E$98,Deltakerliste!H$5:H$98)</f>
        <v>2</v>
      </c>
      <c r="H40" s="592">
        <f>VLOOKUP(F40,Deltakerliste!P$6:T$84,G40,FALSE)</f>
        <v>2.077</v>
      </c>
      <c r="I40" s="86"/>
      <c r="J40" s="86" t="s">
        <v>319</v>
      </c>
      <c r="K40" s="13"/>
      <c r="L40" s="600" t="str">
        <f t="shared" si="2"/>
        <v>Disk</v>
      </c>
      <c r="M40" s="594">
        <f>IF(L40="Løype",Poengsammendrag!$F$2,IF(L40="Arr",Poengsammendrag!$F$3,IF(L40="Brutt",50,IF(L40="Disk",50,ROUND(MAXA(100*(MIN(L$10:L$92)/L40),50),0)))))</f>
        <v>50</v>
      </c>
      <c r="N40" s="724" t="str">
        <f t="shared" si="3"/>
        <v>Disk</v>
      </c>
      <c r="O40" s="596">
        <f>IF(N40="Løype",Poengsammendrag!$F$2,IF(N40="Arr",Poengsammendrag!$F$3,IF(N40="Brutt",50,IF(N40="Disk",50,ROUND(MAXA(100*(MIN(N$10:N$92)/N40),50),0)))))</f>
        <v>50</v>
      </c>
      <c r="S40" s="803" t="s">
        <v>114</v>
      </c>
      <c r="T40" s="736" t="s">
        <v>319</v>
      </c>
      <c r="U40" s="752">
        <v>50</v>
      </c>
      <c r="V40" s="781"/>
      <c r="W40" s="776" t="s">
        <v>114</v>
      </c>
      <c r="X40" s="740">
        <v>50</v>
      </c>
      <c r="AB40" s="828">
        <f t="shared" si="5"/>
        <v>85</v>
      </c>
      <c r="AC40" s="829">
        <f t="shared" si="4"/>
        <v>1</v>
      </c>
    </row>
    <row r="41" spans="2:29" ht="21" thickBot="1" x14ac:dyDescent="0.3">
      <c r="B41" s="16">
        <f t="shared" si="0"/>
        <v>32</v>
      </c>
      <c r="C41" s="106" t="s">
        <v>72</v>
      </c>
      <c r="D41" s="107" t="s">
        <v>139</v>
      </c>
      <c r="E41" s="599" t="str">
        <f t="shared" si="1"/>
        <v>KåreOnsøyen</v>
      </c>
      <c r="F41" s="192">
        <f>YEAR(I$5)-_xlfn.XLOOKUP(E41,Deltakerliste!E$5:E$98,Deltakerliste!I$5:I$98)</f>
        <v>78</v>
      </c>
      <c r="G41" s="192">
        <f>_xlfn.XLOOKUP(E41,Deltakerliste!E$5:E$98,Deltakerliste!H$5:H$98)</f>
        <v>2</v>
      </c>
      <c r="H41" s="592">
        <f>VLOOKUP(F41,Deltakerliste!P$6:T$84,G41,FALSE)</f>
        <v>1.7550000000000001</v>
      </c>
      <c r="I41" s="13" t="s">
        <v>319</v>
      </c>
      <c r="J41" s="13"/>
      <c r="K41" s="13"/>
      <c r="L41" s="600" t="str">
        <f t="shared" si="2"/>
        <v>Disk</v>
      </c>
      <c r="M41" s="594">
        <f>IF(L41="Løype",Poengsammendrag!$F$2,IF(L41="Arr",Poengsammendrag!$F$3,IF(L41="Brutt",50,IF(L41="Disk",50,ROUND(MAXA(100*(MIN(L$10:L$92)/L41),50),0)))))</f>
        <v>50</v>
      </c>
      <c r="N41" s="724" t="str">
        <f t="shared" si="3"/>
        <v>Disk</v>
      </c>
      <c r="O41" s="596">
        <f>IF(N41="Løype",Poengsammendrag!$F$2,IF(N41="Arr",Poengsammendrag!$F$3,IF(N41="Brutt",50,IF(N41="Disk",50,ROUND(MAXA(100*(MIN(N$10:N$92)/N41),50),0)))))</f>
        <v>50</v>
      </c>
      <c r="S41" s="803" t="s">
        <v>349</v>
      </c>
      <c r="T41" s="736" t="s">
        <v>319</v>
      </c>
      <c r="U41" s="752">
        <v>50</v>
      </c>
      <c r="V41" s="781"/>
      <c r="W41" s="776" t="s">
        <v>349</v>
      </c>
      <c r="X41" s="740">
        <v>50</v>
      </c>
      <c r="AB41" s="828">
        <f t="shared" si="5"/>
        <v>86</v>
      </c>
      <c r="AC41" s="829">
        <f t="shared" si="4"/>
        <v>1</v>
      </c>
    </row>
    <row r="42" spans="2:29" ht="21" customHeight="1" thickBot="1" x14ac:dyDescent="0.3">
      <c r="B42" s="16">
        <f t="shared" ref="B42:B73" si="6">B41+1</f>
        <v>33</v>
      </c>
      <c r="C42" s="106" t="s">
        <v>94</v>
      </c>
      <c r="D42" s="107" t="s">
        <v>95</v>
      </c>
      <c r="E42" s="599" t="str">
        <f t="shared" ref="E42:E73" si="7">_xlfn.CONCAT(C42:D42)</f>
        <v>TerjeHanssen</v>
      </c>
      <c r="F42" s="192">
        <f>YEAR(I$5)-_xlfn.XLOOKUP(E42,Deltakerliste!E$5:E$98,Deltakerliste!I$5:I$98)</f>
        <v>78</v>
      </c>
      <c r="G42" s="192">
        <f>_xlfn.XLOOKUP(E42,Deltakerliste!E$5:E$98,Deltakerliste!H$5:H$98)</f>
        <v>2</v>
      </c>
      <c r="H42" s="592">
        <f>VLOOKUP(F42,Deltakerliste!P$6:T$84,G42,FALSE)</f>
        <v>1.7550000000000001</v>
      </c>
      <c r="I42" s="86" t="s">
        <v>319</v>
      </c>
      <c r="J42" s="86"/>
      <c r="K42" s="17"/>
      <c r="L42" s="600" t="str">
        <f t="shared" si="2"/>
        <v>Disk</v>
      </c>
      <c r="M42" s="594">
        <f>IF(L42="Løype",Poengsammendrag!$F$2,IF(L42="Arr",Poengsammendrag!$F$3,IF(L42="Brutt",50,IF(L42="Disk",50,ROUND(MAXA(100*(MIN(L$10:L$92)/L42),50),0)))))</f>
        <v>50</v>
      </c>
      <c r="N42" s="724" t="str">
        <f t="shared" si="3"/>
        <v>Disk</v>
      </c>
      <c r="O42" s="596">
        <f>IF(N42="Løype",Poengsammendrag!$F$2,IF(N42="Arr",Poengsammendrag!$F$3,IF(N42="Brutt",50,IF(N42="Disk",50,ROUND(MAXA(100*(MIN(N$10:N$92)/N42),50),0)))))</f>
        <v>50</v>
      </c>
      <c r="S42" s="803" t="s">
        <v>94</v>
      </c>
      <c r="T42" s="796" t="s">
        <v>319</v>
      </c>
      <c r="U42" s="765">
        <v>50</v>
      </c>
      <c r="V42" s="782"/>
      <c r="W42" s="777" t="s">
        <v>94</v>
      </c>
      <c r="X42" s="762">
        <v>50</v>
      </c>
      <c r="AB42" s="828">
        <f t="shared" si="5"/>
        <v>87</v>
      </c>
      <c r="AC42" s="829">
        <f t="shared" si="4"/>
        <v>0</v>
      </c>
    </row>
    <row r="43" spans="2:29" ht="21" thickBot="1" x14ac:dyDescent="0.3">
      <c r="B43" s="16">
        <f t="shared" si="6"/>
        <v>34</v>
      </c>
      <c r="C43" s="106" t="s">
        <v>90</v>
      </c>
      <c r="D43" s="107" t="s">
        <v>91</v>
      </c>
      <c r="E43" s="599" t="str">
        <f t="shared" si="7"/>
        <v>TorGjermstad</v>
      </c>
      <c r="F43" s="192">
        <f>YEAR(I$5)-_xlfn.XLOOKUP(E43,Deltakerliste!E$5:E$98,Deltakerliste!I$5:I$98)</f>
        <v>76</v>
      </c>
      <c r="G43" s="192">
        <f>_xlfn.XLOOKUP(E43,Deltakerliste!E$5:E$98,Deltakerliste!H$5:H$98)</f>
        <v>2</v>
      </c>
      <c r="H43" s="592">
        <f>VLOOKUP(F43,Deltakerliste!P$6:T$84,G43,FALSE)</f>
        <v>1.655</v>
      </c>
      <c r="I43" s="86" t="s">
        <v>319</v>
      </c>
      <c r="J43" s="86"/>
      <c r="K43" s="13"/>
      <c r="L43" s="600" t="str">
        <f t="shared" si="2"/>
        <v>Disk</v>
      </c>
      <c r="M43" s="594">
        <f>IF(L43="Løype",Poengsammendrag!$F$2,IF(L43="Arr",Poengsammendrag!$F$3,IF(L43="Brutt",50,IF(L43="Disk",50,ROUND(MAXA(100*(MIN(L$10:L$92)/L43),50),0)))))</f>
        <v>50</v>
      </c>
      <c r="N43" s="724" t="str">
        <f t="shared" si="3"/>
        <v>Disk</v>
      </c>
      <c r="O43" s="596">
        <f>IF(N43="Løype",Poengsammendrag!$F$2,IF(N43="Arr",Poengsammendrag!$F$3,IF(N43="Brutt",50,IF(N43="Disk",50,ROUND(MAXA(100*(MIN(N$10:N$92)/N43),50),0)))))</f>
        <v>50</v>
      </c>
      <c r="S43" s="803" t="s">
        <v>90</v>
      </c>
      <c r="T43" s="797" t="s">
        <v>319</v>
      </c>
      <c r="U43" s="770">
        <v>50</v>
      </c>
      <c r="V43" s="778"/>
      <c r="W43" s="783" t="s">
        <v>90</v>
      </c>
      <c r="X43" s="740">
        <v>50</v>
      </c>
      <c r="AB43" s="828">
        <f t="shared" si="5"/>
        <v>88</v>
      </c>
      <c r="AC43" s="829">
        <f t="shared" si="4"/>
        <v>0</v>
      </c>
    </row>
    <row r="44" spans="2:29" ht="21" customHeight="1" thickBot="1" x14ac:dyDescent="0.3">
      <c r="B44" s="16">
        <f t="shared" si="6"/>
        <v>35</v>
      </c>
      <c r="C44" s="106" t="s">
        <v>130</v>
      </c>
      <c r="D44" s="107" t="s">
        <v>131</v>
      </c>
      <c r="E44" s="599" t="str">
        <f t="shared" si="7"/>
        <v>AtleMørk</v>
      </c>
      <c r="F44" s="192">
        <f>YEAR(I$5)-_xlfn.XLOOKUP(E44,Deltakerliste!E$5:E$98,Deltakerliste!I$5:I$98)</f>
        <v>77</v>
      </c>
      <c r="G44" s="192">
        <f>_xlfn.XLOOKUP(E44,Deltakerliste!E$5:E$98,Deltakerliste!H$5:H$98)</f>
        <v>2</v>
      </c>
      <c r="H44" s="592">
        <f>VLOOKUP(F44,Deltakerliste!P$6:T$84,G44,FALSE)</f>
        <v>1.7050000000000001</v>
      </c>
      <c r="I44" s="132" t="s">
        <v>319</v>
      </c>
      <c r="J44" s="132"/>
      <c r="K44" s="132"/>
      <c r="L44" s="600" t="str">
        <f t="shared" si="2"/>
        <v>Disk</v>
      </c>
      <c r="M44" s="594">
        <f>IF(L44="Løype",Poengsammendrag!$F$2,IF(L44="Arr",Poengsammendrag!$F$3,IF(L44="Brutt",50,IF(L44="Disk",50,ROUND(MAXA(100*(MIN(L$10:L$92)/L44),50),0)))))</f>
        <v>50</v>
      </c>
      <c r="N44" s="724" t="str">
        <f t="shared" si="3"/>
        <v>Disk</v>
      </c>
      <c r="O44" s="596">
        <f>IF(N44="Løype",Poengsammendrag!$F$2,IF(N44="Arr",Poengsammendrag!$F$3,IF(N44="Brutt",50,IF(N44="Disk",50,ROUND(MAXA(100*(MIN(N$10:N$92)/N44),50),0)))))</f>
        <v>50</v>
      </c>
      <c r="S44" s="803" t="s">
        <v>130</v>
      </c>
      <c r="T44" s="797" t="s">
        <v>319</v>
      </c>
      <c r="U44" s="770">
        <v>50</v>
      </c>
      <c r="V44" s="772"/>
      <c r="W44" s="783" t="s">
        <v>130</v>
      </c>
      <c r="X44" s="740">
        <v>50</v>
      </c>
      <c r="AB44" s="828">
        <f t="shared" si="5"/>
        <v>89</v>
      </c>
      <c r="AC44" s="829">
        <f t="shared" si="4"/>
        <v>0</v>
      </c>
    </row>
    <row r="45" spans="2:29" ht="21" thickBot="1" x14ac:dyDescent="0.3">
      <c r="B45" s="16">
        <f t="shared" si="6"/>
        <v>36</v>
      </c>
      <c r="C45" s="106" t="s">
        <v>153</v>
      </c>
      <c r="D45" s="107" t="s">
        <v>154</v>
      </c>
      <c r="E45" s="599" t="str">
        <f t="shared" si="7"/>
        <v>ReidunSmaavik</v>
      </c>
      <c r="F45" s="192">
        <f>YEAR(I$5)-_xlfn.XLOOKUP(E45,Deltakerliste!E$5:E$98,Deltakerliste!I$5:I$98)</f>
        <v>71</v>
      </c>
      <c r="G45" s="192">
        <f>_xlfn.XLOOKUP(E45,Deltakerliste!E$5:E$98,Deltakerliste!H$5:H$98)</f>
        <v>4</v>
      </c>
      <c r="H45" s="592">
        <f>VLOOKUP(F45,Deltakerliste!P$6:T$84,G45,FALSE)</f>
        <v>1.9926000000000013</v>
      </c>
      <c r="I45" s="132" t="s">
        <v>319</v>
      </c>
      <c r="J45" s="18"/>
      <c r="K45" s="18"/>
      <c r="L45" s="600" t="str">
        <f t="shared" si="2"/>
        <v>Disk</v>
      </c>
      <c r="M45" s="594">
        <f>IF(L45="Løype",Poengsammendrag!$F$2,IF(L45="Arr",Poengsammendrag!$F$3,IF(L45="Brutt",50,IF(L45="Disk",50,ROUND(MAXA(100*(MIN(L$10:L$92)/L45),50),0)))))</f>
        <v>50</v>
      </c>
      <c r="N45" s="724" t="str">
        <f t="shared" si="3"/>
        <v>Disk</v>
      </c>
      <c r="O45" s="596">
        <f>IF(N45="Løype",Poengsammendrag!$F$2,IF(N45="Arr",Poengsammendrag!$F$3,IF(N45="Brutt",50,IF(N45="Disk",50,ROUND(MAXA(100*(MIN(N$10:N$92)/N45),50),0)))))</f>
        <v>50</v>
      </c>
      <c r="S45" s="803" t="s">
        <v>153</v>
      </c>
      <c r="T45" s="797" t="s">
        <v>319</v>
      </c>
      <c r="U45" s="770">
        <v>50</v>
      </c>
      <c r="V45" s="772"/>
      <c r="W45" s="783" t="s">
        <v>153</v>
      </c>
      <c r="X45" s="740">
        <v>50</v>
      </c>
      <c r="AB45" s="828">
        <f t="shared" si="5"/>
        <v>90</v>
      </c>
      <c r="AC45" s="829">
        <f t="shared" si="4"/>
        <v>0</v>
      </c>
    </row>
    <row r="46" spans="2:29" ht="21" thickBot="1" x14ac:dyDescent="0.3">
      <c r="B46" s="16">
        <f t="shared" si="6"/>
        <v>37</v>
      </c>
      <c r="C46" s="106" t="s">
        <v>307</v>
      </c>
      <c r="D46" s="107" t="s">
        <v>308</v>
      </c>
      <c r="E46" s="599" t="str">
        <f t="shared" si="7"/>
        <v>RolfWærnes</v>
      </c>
      <c r="F46" s="192">
        <f>YEAR(I$5)-_xlfn.XLOOKUP(E46,Deltakerliste!E$5:E$98,Deltakerliste!I$5:I$98)</f>
        <v>75</v>
      </c>
      <c r="G46" s="192">
        <f>_xlfn.XLOOKUP(E46,Deltakerliste!E$5:E$98,Deltakerliste!H$5:H$98)</f>
        <v>2</v>
      </c>
      <c r="H46" s="592">
        <f>VLOOKUP(F46,Deltakerliste!P$6:T$84,G46,FALSE)</f>
        <v>1.605</v>
      </c>
      <c r="I46" s="18"/>
      <c r="J46" s="103" t="s">
        <v>319</v>
      </c>
      <c r="K46" s="18"/>
      <c r="L46" s="600" t="str">
        <f t="shared" si="2"/>
        <v>Disk</v>
      </c>
      <c r="M46" s="594">
        <f>IF(L46="Løype",Poengsammendrag!$F$2,IF(L46="Arr",Poengsammendrag!$F$3,IF(L46="Brutt",50,IF(L46="Disk",50,ROUND(MAXA(100*(MIN(L$10:L$92)/L46),50),0)))))</f>
        <v>50</v>
      </c>
      <c r="N46" s="724" t="str">
        <f t="shared" si="3"/>
        <v>Disk</v>
      </c>
      <c r="O46" s="596">
        <f>IF(N46="Løype",Poengsammendrag!$F$2,IF(N46="Arr",Poengsammendrag!$F$3,IF(N46="Brutt",50,IF(N46="Disk",50,ROUND(MAXA(100*(MIN(N$10:N$92)/N46),50),0)))))</f>
        <v>50</v>
      </c>
      <c r="S46" s="803" t="s">
        <v>307</v>
      </c>
      <c r="T46" s="797" t="s">
        <v>319</v>
      </c>
      <c r="U46" s="770">
        <v>50</v>
      </c>
      <c r="V46" s="772"/>
      <c r="W46" s="783" t="s">
        <v>307</v>
      </c>
      <c r="X46" s="740">
        <v>50</v>
      </c>
      <c r="AB46" s="828">
        <f t="shared" si="5"/>
        <v>91</v>
      </c>
      <c r="AC46" s="829">
        <f t="shared" si="4"/>
        <v>0</v>
      </c>
    </row>
    <row r="47" spans="2:29" ht="21" customHeight="1" thickBot="1" x14ac:dyDescent="0.3">
      <c r="B47" s="16">
        <f t="shared" si="6"/>
        <v>38</v>
      </c>
      <c r="C47" s="106" t="s">
        <v>60</v>
      </c>
      <c r="D47" s="107" t="s">
        <v>372</v>
      </c>
      <c r="E47" s="599" t="str">
        <f t="shared" si="7"/>
        <v>JosteinGrepstad</v>
      </c>
      <c r="F47" s="192">
        <f>YEAR(I$5)-_xlfn.XLOOKUP(E47,Deltakerliste!E$5:E$98,Deltakerliste!I$5:I$98)</f>
        <v>75</v>
      </c>
      <c r="G47" s="192">
        <f>_xlfn.XLOOKUP(E47,Deltakerliste!E$5:E$98,Deltakerliste!H$5:H$98)</f>
        <v>2</v>
      </c>
      <c r="H47" s="592">
        <f>VLOOKUP(F47,Deltakerliste!P$6:T$84,G47,FALSE)</f>
        <v>1.605</v>
      </c>
      <c r="I47" s="14"/>
      <c r="J47" s="14" t="s">
        <v>62</v>
      </c>
      <c r="K47" s="18"/>
      <c r="L47" s="600" t="str">
        <f t="shared" si="2"/>
        <v>Løype</v>
      </c>
      <c r="M47" s="594">
        <f>IF(L47="Løype",Poengsammendrag!$F$2,IF(L47="Arr",Poengsammendrag!$F$3,IF(L47="Brutt",50,IF(L47="Disk",50,ROUND(MAXA(100*(MIN(L$10:L$92)/L47),50),0)))))</f>
        <v>100</v>
      </c>
      <c r="N47" s="724" t="str">
        <f t="shared" si="3"/>
        <v>Løype</v>
      </c>
      <c r="O47" s="596">
        <f>IF(N47="Løype",Poengsammendrag!$F$2,IF(N47="Arr",Poengsammendrag!$F$3,IF(N47="Brutt",50,IF(N47="Disk",50,ROUND(MAXA(100*(MIN(N$10:N$92)/N47),50),0)))))</f>
        <v>100</v>
      </c>
      <c r="S47" s="803" t="s">
        <v>373</v>
      </c>
      <c r="T47" s="797" t="s">
        <v>62</v>
      </c>
      <c r="U47" s="770">
        <v>100</v>
      </c>
      <c r="V47" s="772"/>
      <c r="W47" s="783" t="s">
        <v>373</v>
      </c>
      <c r="X47" s="740">
        <v>100</v>
      </c>
      <c r="AB47" s="828">
        <f t="shared" si="5"/>
        <v>92</v>
      </c>
      <c r="AC47" s="829">
        <f t="shared" si="4"/>
        <v>0</v>
      </c>
    </row>
    <row r="48" spans="2:29" ht="21" customHeight="1" thickBot="1" x14ac:dyDescent="0.3">
      <c r="B48" s="16">
        <f t="shared" si="6"/>
        <v>39</v>
      </c>
      <c r="C48" s="106" t="s">
        <v>263</v>
      </c>
      <c r="D48" s="107" t="s">
        <v>264</v>
      </c>
      <c r="E48" s="599" t="str">
        <f t="shared" si="7"/>
        <v>RuneHolt</v>
      </c>
      <c r="F48" s="192">
        <f>YEAR(I$5)-_xlfn.XLOOKUP(E48,Deltakerliste!E$5:E$98,Deltakerliste!I$5:I$98)</f>
        <v>73</v>
      </c>
      <c r="G48" s="192">
        <f>_xlfn.XLOOKUP(E48,Deltakerliste!E$5:E$98,Deltakerliste!H$5:H$98)</f>
        <v>2</v>
      </c>
      <c r="H48" s="592">
        <f>VLOOKUP(F48,Deltakerliste!P$6:T$84,G48,FALSE)</f>
        <v>1.5329999999999999</v>
      </c>
      <c r="I48" s="86"/>
      <c r="J48" s="134" t="s">
        <v>62</v>
      </c>
      <c r="K48" s="17"/>
      <c r="L48" s="600" t="str">
        <f t="shared" si="2"/>
        <v>Løype</v>
      </c>
      <c r="M48" s="594">
        <f>IF(L48="Løype",Poengsammendrag!$F$2,IF(L48="Arr",Poengsammendrag!$F$3,IF(L48="Brutt",50,IF(L48="Disk",50,ROUND(MAXA(100*(MIN(L$10:L$92)/L48),50),0)))))</f>
        <v>100</v>
      </c>
      <c r="N48" s="724" t="str">
        <f t="shared" si="3"/>
        <v>Løype</v>
      </c>
      <c r="O48" s="596">
        <f>IF(N48="Løype",Poengsammendrag!$F$2,IF(N48="Arr",Poengsammendrag!$F$3,IF(N48="Brutt",50,IF(N48="Disk",50,ROUND(MAXA(100*(MIN(N$10:N$92)/N48),50),0)))))</f>
        <v>100</v>
      </c>
      <c r="S48" s="803" t="s">
        <v>263</v>
      </c>
      <c r="T48" s="797" t="s">
        <v>62</v>
      </c>
      <c r="U48" s="770">
        <v>100</v>
      </c>
      <c r="V48" s="772"/>
      <c r="W48" s="783" t="s">
        <v>263</v>
      </c>
      <c r="X48" s="740">
        <v>100</v>
      </c>
      <c r="AB48" s="828">
        <f t="shared" si="5"/>
        <v>93</v>
      </c>
      <c r="AC48" s="829">
        <f t="shared" si="4"/>
        <v>0</v>
      </c>
    </row>
    <row r="49" spans="2:29" ht="21" customHeight="1" thickBot="1" x14ac:dyDescent="0.3">
      <c r="B49" s="16">
        <f t="shared" si="6"/>
        <v>40</v>
      </c>
      <c r="C49" s="106" t="s">
        <v>60</v>
      </c>
      <c r="D49" s="107" t="s">
        <v>61</v>
      </c>
      <c r="E49" s="599" t="str">
        <f t="shared" si="7"/>
        <v>JosteinAlvestad</v>
      </c>
      <c r="F49" s="192">
        <f>YEAR(I$5)-_xlfn.XLOOKUP(E49,Deltakerliste!E$5:E$98,Deltakerliste!I$5:I$98)</f>
        <v>71</v>
      </c>
      <c r="G49" s="192">
        <f>_xlfn.XLOOKUP(E49,Deltakerliste!E$5:E$98,Deltakerliste!H$5:H$98)</f>
        <v>2</v>
      </c>
      <c r="H49" s="592">
        <f>VLOOKUP(F49,Deltakerliste!P$6:T$84,G49,FALSE)</f>
        <v>1.4609999999999999</v>
      </c>
      <c r="I49" s="13"/>
      <c r="J49" s="13"/>
      <c r="K49" s="17"/>
      <c r="L49" s="600"/>
      <c r="M49" s="594"/>
      <c r="N49" s="724"/>
      <c r="O49" s="596"/>
      <c r="S49" s="803"/>
      <c r="T49" s="796"/>
      <c r="U49" s="793"/>
      <c r="V49" s="794"/>
      <c r="W49" s="795"/>
      <c r="X49" s="762"/>
      <c r="AB49" s="828">
        <f t="shared" si="5"/>
        <v>94</v>
      </c>
      <c r="AC49" s="829">
        <f t="shared" si="4"/>
        <v>0</v>
      </c>
    </row>
    <row r="50" spans="2:29" ht="21" thickBot="1" x14ac:dyDescent="0.3">
      <c r="B50" s="16">
        <f t="shared" si="6"/>
        <v>41</v>
      </c>
      <c r="C50" s="106" t="s">
        <v>66</v>
      </c>
      <c r="D50" s="107" t="s">
        <v>67</v>
      </c>
      <c r="E50" s="599" t="str">
        <f t="shared" si="7"/>
        <v>FrankBjarkø</v>
      </c>
      <c r="F50" s="192">
        <f>YEAR(I$5)-_xlfn.XLOOKUP(E50,Deltakerliste!E$5:E$98,Deltakerliste!I$5:I$98)</f>
        <v>74</v>
      </c>
      <c r="G50" s="192">
        <f>_xlfn.XLOOKUP(E50,Deltakerliste!E$5:E$98,Deltakerliste!H$5:H$98)</f>
        <v>2</v>
      </c>
      <c r="H50" s="592">
        <f>VLOOKUP(F50,Deltakerliste!P$6:T$84,G50,FALSE)</f>
        <v>1.569</v>
      </c>
      <c r="I50" s="13"/>
      <c r="J50" s="13"/>
      <c r="K50" s="13"/>
      <c r="L50" s="600"/>
      <c r="M50" s="594"/>
      <c r="N50" s="724"/>
      <c r="O50" s="596"/>
      <c r="S50" s="803"/>
      <c r="T50" s="851"/>
      <c r="U50" s="770"/>
      <c r="V50" s="772"/>
      <c r="W50" s="783"/>
      <c r="X50" s="740"/>
      <c r="AB50" s="830">
        <f t="shared" si="5"/>
        <v>95</v>
      </c>
      <c r="AC50" s="831">
        <f t="shared" si="4"/>
        <v>0</v>
      </c>
    </row>
    <row r="51" spans="2:29" ht="21" customHeight="1" thickBot="1" x14ac:dyDescent="0.3">
      <c r="B51" s="16">
        <f t="shared" si="6"/>
        <v>42</v>
      </c>
      <c r="C51" s="106" t="s">
        <v>364</v>
      </c>
      <c r="D51" s="107" t="s">
        <v>365</v>
      </c>
      <c r="E51" s="599" t="str">
        <f t="shared" si="7"/>
        <v>GerdBjørset</v>
      </c>
      <c r="F51" s="192">
        <f>YEAR(I$5)-_xlfn.XLOOKUP(E51,Deltakerliste!E$5:E$98,Deltakerliste!I$5:I$98)</f>
        <v>72</v>
      </c>
      <c r="G51" s="192">
        <f>_xlfn.XLOOKUP(E51,Deltakerliste!E$5:E$98,Deltakerliste!H$5:H$98)</f>
        <v>4</v>
      </c>
      <c r="H51" s="592">
        <f>VLOOKUP(F51,Deltakerliste!P$6:T$84,G51,FALSE)</f>
        <v>2.0362000000000013</v>
      </c>
      <c r="I51" s="13"/>
      <c r="J51" s="13"/>
      <c r="K51" s="13"/>
      <c r="L51" s="600"/>
      <c r="M51" s="594"/>
      <c r="N51" s="724"/>
      <c r="O51" s="596"/>
      <c r="S51" s="803"/>
      <c r="T51" s="797"/>
      <c r="U51" s="770"/>
      <c r="V51" s="772"/>
      <c r="W51" s="783"/>
      <c r="X51" s="740"/>
    </row>
    <row r="52" spans="2:29" ht="21" thickBot="1" x14ac:dyDescent="0.3">
      <c r="B52" s="16">
        <f t="shared" si="6"/>
        <v>43</v>
      </c>
      <c r="C52" s="106" t="s">
        <v>64</v>
      </c>
      <c r="D52" s="107" t="s">
        <v>267</v>
      </c>
      <c r="E52" s="599" t="str">
        <f t="shared" si="7"/>
        <v>BjørnBrenne</v>
      </c>
      <c r="F52" s="192">
        <f>YEAR(I$5)-_xlfn.XLOOKUP(E52,Deltakerliste!E$5:E$98,Deltakerliste!I$5:I$98)</f>
        <v>81</v>
      </c>
      <c r="G52" s="192">
        <f>_xlfn.XLOOKUP(E52,Deltakerliste!E$5:E$98,Deltakerliste!H$5:H$98)</f>
        <v>2</v>
      </c>
      <c r="H52" s="592">
        <f>VLOOKUP(F52,Deltakerliste!P$6:T$84,G52,FALSE)</f>
        <v>1.9290000000000003</v>
      </c>
      <c r="I52" s="86"/>
      <c r="J52" s="86"/>
      <c r="K52" s="13"/>
      <c r="L52" s="600"/>
      <c r="M52" s="594"/>
      <c r="N52" s="724"/>
      <c r="O52" s="596"/>
      <c r="S52" s="803"/>
      <c r="T52" s="798"/>
      <c r="U52" s="770"/>
      <c r="V52" s="772"/>
      <c r="W52" s="783"/>
      <c r="X52" s="740"/>
      <c r="AC52" s="651">
        <f>SUM(AC10:AC50)</f>
        <v>39</v>
      </c>
    </row>
    <row r="53" spans="2:29" ht="21" thickBot="1" x14ac:dyDescent="0.3">
      <c r="B53" s="16">
        <f t="shared" si="6"/>
        <v>44</v>
      </c>
      <c r="C53" s="106" t="s">
        <v>342</v>
      </c>
      <c r="D53" s="107" t="s">
        <v>388</v>
      </c>
      <c r="E53" s="599" t="str">
        <f t="shared" si="7"/>
        <v>ArildClausen</v>
      </c>
      <c r="F53" s="192">
        <f>YEAR(I$5)-_xlfn.XLOOKUP(E53,Deltakerliste!E$5:E$98,Deltakerliste!I$5:I$98)</f>
        <v>58</v>
      </c>
      <c r="G53" s="192">
        <f>_xlfn.XLOOKUP(E53,Deltakerliste!E$5:E$98,Deltakerliste!H$5:H$98)</f>
        <v>2</v>
      </c>
      <c r="H53" s="592">
        <f>VLOOKUP(F53,Deltakerliste!P$6:T$84,G53,FALSE)</f>
        <v>1.1720000000000002</v>
      </c>
      <c r="I53" s="86"/>
      <c r="J53" s="86"/>
      <c r="K53" s="13"/>
      <c r="L53" s="600"/>
      <c r="M53" s="594"/>
      <c r="N53" s="724"/>
      <c r="O53" s="596"/>
      <c r="S53" s="803"/>
      <c r="T53" s="798"/>
      <c r="U53" s="770"/>
      <c r="V53" s="772"/>
      <c r="W53" s="783"/>
      <c r="X53" s="740"/>
    </row>
    <row r="54" spans="2:29" ht="21" thickBot="1" x14ac:dyDescent="0.3">
      <c r="B54" s="16">
        <f t="shared" si="6"/>
        <v>45</v>
      </c>
      <c r="C54" s="106" t="s">
        <v>70</v>
      </c>
      <c r="D54" s="107" t="s">
        <v>71</v>
      </c>
      <c r="E54" s="599" t="str">
        <f t="shared" si="7"/>
        <v>TrondDamås</v>
      </c>
      <c r="F54" s="192">
        <f>YEAR(I$5)-_xlfn.XLOOKUP(E54,Deltakerliste!E$5:E$98,Deltakerliste!I$5:I$98)</f>
        <v>76</v>
      </c>
      <c r="G54" s="192">
        <f>_xlfn.XLOOKUP(E54,Deltakerliste!E$5:E$98,Deltakerliste!H$5:H$98)</f>
        <v>2</v>
      </c>
      <c r="H54" s="592">
        <f>VLOOKUP(F54,Deltakerliste!P$6:T$84,G54,FALSE)</f>
        <v>1.655</v>
      </c>
      <c r="I54" s="13"/>
      <c r="J54" s="13"/>
      <c r="K54" s="13"/>
      <c r="L54" s="600"/>
      <c r="M54" s="594"/>
      <c r="N54" s="724"/>
      <c r="O54" s="596"/>
      <c r="S54" s="846"/>
      <c r="T54" s="847"/>
      <c r="U54" s="848"/>
      <c r="V54" s="778"/>
      <c r="W54" s="849"/>
      <c r="X54" s="850"/>
    </row>
    <row r="55" spans="2:29" ht="21" customHeight="1" thickBot="1" x14ac:dyDescent="0.3">
      <c r="B55" s="16">
        <f t="shared" si="6"/>
        <v>46</v>
      </c>
      <c r="C55" s="106" t="s">
        <v>74</v>
      </c>
      <c r="D55" s="107" t="s">
        <v>75</v>
      </c>
      <c r="E55" s="599" t="str">
        <f t="shared" si="7"/>
        <v>StinaElfving</v>
      </c>
      <c r="F55" s="192">
        <f>YEAR(I$5)-_xlfn.XLOOKUP(E55,Deltakerliste!E$5:E$98,Deltakerliste!I$5:I$98)</f>
        <v>76</v>
      </c>
      <c r="G55" s="192">
        <f>_xlfn.XLOOKUP(E55,Deltakerliste!E$5:E$98,Deltakerliste!H$5:H$98)</f>
        <v>4</v>
      </c>
      <c r="H55" s="592">
        <f>VLOOKUP(F55,Deltakerliste!P$6:T$84,G55,FALSE)</f>
        <v>2.2246000000000015</v>
      </c>
      <c r="I55" s="13"/>
      <c r="J55" s="13"/>
      <c r="K55" s="17"/>
      <c r="L55" s="600"/>
      <c r="M55" s="594"/>
      <c r="N55" s="724"/>
      <c r="O55" s="596"/>
      <c r="S55" s="803"/>
      <c r="T55" s="798"/>
      <c r="U55" s="770"/>
      <c r="V55" s="772"/>
      <c r="W55" s="783"/>
      <c r="X55" s="740"/>
    </row>
    <row r="56" spans="2:29" ht="21" thickBot="1" x14ac:dyDescent="0.3">
      <c r="B56" s="16">
        <f t="shared" si="6"/>
        <v>47</v>
      </c>
      <c r="C56" s="106" t="s">
        <v>216</v>
      </c>
      <c r="D56" s="107" t="s">
        <v>77</v>
      </c>
      <c r="E56" s="599" t="str">
        <f t="shared" si="7"/>
        <v>Åse RitaEllingsen</v>
      </c>
      <c r="F56" s="192">
        <f>YEAR(I$5)-_xlfn.XLOOKUP(E56,Deltakerliste!E$5:E$98,Deltakerliste!I$5:I$98)</f>
        <v>62</v>
      </c>
      <c r="G56" s="192">
        <f>_xlfn.XLOOKUP(E56,Deltakerliste!E$5:E$98,Deltakerliste!H$5:H$98)</f>
        <v>4</v>
      </c>
      <c r="H56" s="592">
        <f>VLOOKUP(F56,Deltakerliste!P$6:T$84,G56,FALSE)</f>
        <v>1.6834000000000005</v>
      </c>
      <c r="I56" s="86"/>
      <c r="J56" s="14"/>
      <c r="K56" s="13"/>
      <c r="L56" s="600"/>
      <c r="M56" s="594"/>
      <c r="N56" s="724"/>
      <c r="O56" s="596"/>
      <c r="S56" s="803"/>
      <c r="T56" s="798"/>
      <c r="U56" s="770"/>
      <c r="V56" s="772"/>
      <c r="W56" s="783"/>
      <c r="X56" s="740"/>
    </row>
    <row r="57" spans="2:29" ht="21" thickBot="1" x14ac:dyDescent="0.3">
      <c r="B57" s="16">
        <f t="shared" si="6"/>
        <v>48</v>
      </c>
      <c r="C57" s="106" t="s">
        <v>80</v>
      </c>
      <c r="D57" s="107" t="s">
        <v>81</v>
      </c>
      <c r="E57" s="599" t="str">
        <f t="shared" si="7"/>
        <v>HalvorFlatberg</v>
      </c>
      <c r="F57" s="192">
        <f>YEAR(I$5)-_xlfn.XLOOKUP(E57,Deltakerliste!E$5:E$98,Deltakerliste!I$5:I$98)</f>
        <v>80</v>
      </c>
      <c r="G57" s="192">
        <f>_xlfn.XLOOKUP(E57,Deltakerliste!E$5:E$98,Deltakerliste!H$5:H$98)</f>
        <v>2</v>
      </c>
      <c r="H57" s="592">
        <f>VLOOKUP(F57,Deltakerliste!P$6:T$84,G57,FALSE)</f>
        <v>1.8550000000000002</v>
      </c>
      <c r="I57" s="86"/>
      <c r="J57" s="86"/>
      <c r="K57" s="13"/>
      <c r="L57" s="600"/>
      <c r="M57" s="594"/>
      <c r="N57" s="724"/>
      <c r="O57" s="596"/>
      <c r="S57" s="804"/>
      <c r="T57" s="801"/>
      <c r="U57" s="771"/>
      <c r="V57" s="773"/>
      <c r="W57" s="784"/>
      <c r="X57" s="741"/>
    </row>
    <row r="58" spans="2:29" ht="20" customHeight="1" thickBot="1" x14ac:dyDescent="0.3">
      <c r="B58" s="16">
        <f t="shared" si="6"/>
        <v>49</v>
      </c>
      <c r="C58" s="106" t="s">
        <v>271</v>
      </c>
      <c r="D58" s="107" t="s">
        <v>272</v>
      </c>
      <c r="E58" s="599" t="str">
        <f t="shared" si="7"/>
        <v>Arne KjellFoldvik</v>
      </c>
      <c r="F58" s="192">
        <f>YEAR(I$5)-_xlfn.XLOOKUP(E58,Deltakerliste!E$5:E$98,Deltakerliste!I$5:I$98)</f>
        <v>92</v>
      </c>
      <c r="G58" s="192">
        <f>_xlfn.XLOOKUP(E58,Deltakerliste!E$5:E$98,Deltakerliste!H$5:H$98)</f>
        <v>2</v>
      </c>
      <c r="H58" s="592">
        <f>VLOOKUP(F58,Deltakerliste!P$6:T$84,G58,FALSE)</f>
        <v>2.8130000000000002</v>
      </c>
      <c r="I58" s="14"/>
      <c r="J58" s="14"/>
      <c r="K58" s="13"/>
      <c r="L58" s="600"/>
      <c r="M58" s="594"/>
      <c r="N58" s="724"/>
      <c r="O58" s="596"/>
    </row>
    <row r="59" spans="2:29" ht="21" thickBot="1" x14ac:dyDescent="0.3">
      <c r="B59" s="16">
        <f t="shared" si="6"/>
        <v>50</v>
      </c>
      <c r="C59" s="106" t="s">
        <v>377</v>
      </c>
      <c r="D59" s="107" t="s">
        <v>83</v>
      </c>
      <c r="E59" s="599" t="str">
        <f t="shared" si="7"/>
        <v>HildeForbord</v>
      </c>
      <c r="F59" s="192">
        <f>YEAR(I$5)-_xlfn.XLOOKUP(E59,Deltakerliste!E$5:E$98,Deltakerliste!I$5:I$98)</f>
        <v>60</v>
      </c>
      <c r="G59" s="192">
        <f>_xlfn.XLOOKUP(E59,Deltakerliste!E$5:E$98,Deltakerliste!H$5:H$98)</f>
        <v>4</v>
      </c>
      <c r="H59" s="592">
        <f>VLOOKUP(F59,Deltakerliste!P$6:T$84,G59,FALSE)</f>
        <v>1.6250000000000002</v>
      </c>
      <c r="I59" s="14"/>
      <c r="J59" s="14"/>
      <c r="K59" s="13"/>
      <c r="L59" s="600"/>
      <c r="M59" s="594"/>
      <c r="N59" s="724"/>
      <c r="O59" s="596"/>
    </row>
    <row r="60" spans="2:29" ht="21" customHeight="1" thickBot="1" x14ac:dyDescent="0.3">
      <c r="B60" s="16">
        <f t="shared" si="6"/>
        <v>51</v>
      </c>
      <c r="C60" s="106" t="s">
        <v>84</v>
      </c>
      <c r="D60" s="107" t="s">
        <v>85</v>
      </c>
      <c r="E60" s="599" t="str">
        <f t="shared" si="7"/>
        <v>PaulForseth</v>
      </c>
      <c r="F60" s="192">
        <f>YEAR(I$5)-_xlfn.XLOOKUP(E60,Deltakerliste!E$5:E$98,Deltakerliste!I$5:I$98)</f>
        <v>94</v>
      </c>
      <c r="G60" s="192">
        <f>_xlfn.XLOOKUP(E60,Deltakerliste!E$5:E$98,Deltakerliste!H$5:H$98)</f>
        <v>2</v>
      </c>
      <c r="H60" s="592">
        <f>VLOOKUP(F60,Deltakerliste!P$6:T$84,G60,FALSE)</f>
        <v>2.9810000000000003</v>
      </c>
      <c r="I60" s="86"/>
      <c r="J60" s="86"/>
      <c r="K60" s="17"/>
      <c r="L60" s="600"/>
      <c r="M60" s="594"/>
      <c r="N60" s="724"/>
      <c r="O60" s="596"/>
    </row>
    <row r="61" spans="2:29" ht="21" customHeight="1" thickBot="1" x14ac:dyDescent="0.3">
      <c r="B61" s="16">
        <f t="shared" si="6"/>
        <v>52</v>
      </c>
      <c r="C61" s="106" t="s">
        <v>86</v>
      </c>
      <c r="D61" s="107" t="s">
        <v>87</v>
      </c>
      <c r="E61" s="599" t="str">
        <f t="shared" si="7"/>
        <v>KristianFougner</v>
      </c>
      <c r="F61" s="192">
        <f>YEAR(I$5)-_xlfn.XLOOKUP(E61,Deltakerliste!E$5:E$98,Deltakerliste!I$5:I$98)</f>
        <v>76</v>
      </c>
      <c r="G61" s="192">
        <f>_xlfn.XLOOKUP(E61,Deltakerliste!E$5:E$98,Deltakerliste!H$5:H$98)</f>
        <v>2</v>
      </c>
      <c r="H61" s="592">
        <f>VLOOKUP(F61,Deltakerliste!P$6:T$84,G61,FALSE)</f>
        <v>1.655</v>
      </c>
      <c r="I61" s="86"/>
      <c r="J61" s="86"/>
      <c r="K61" s="13"/>
      <c r="L61" s="600"/>
      <c r="M61" s="594"/>
      <c r="N61" s="724"/>
      <c r="O61" s="596"/>
    </row>
    <row r="62" spans="2:29" ht="21" customHeight="1" thickBot="1" x14ac:dyDescent="0.3">
      <c r="B62" s="16">
        <f t="shared" si="6"/>
        <v>53</v>
      </c>
      <c r="C62" s="106" t="s">
        <v>116</v>
      </c>
      <c r="D62" s="107" t="s">
        <v>353</v>
      </c>
      <c r="E62" s="599" t="str">
        <f t="shared" si="7"/>
        <v>AndersGjermo</v>
      </c>
      <c r="F62" s="192">
        <f>YEAR(I$5)-_xlfn.XLOOKUP(E62,Deltakerliste!E$5:E$98,Deltakerliste!I$5:I$98)</f>
        <v>68</v>
      </c>
      <c r="G62" s="192">
        <f>_xlfn.XLOOKUP(E62,Deltakerliste!E$5:E$98,Deltakerliste!H$5:H$98)</f>
        <v>2</v>
      </c>
      <c r="H62" s="592">
        <f>VLOOKUP(F62,Deltakerliste!P$6:T$84,G62,FALSE)</f>
        <v>1.3729999999999998</v>
      </c>
      <c r="I62" s="132"/>
      <c r="J62" s="132"/>
      <c r="K62" s="18"/>
      <c r="L62" s="600"/>
      <c r="M62" s="594"/>
      <c r="N62" s="724"/>
      <c r="O62" s="596"/>
    </row>
    <row r="63" spans="2:29" ht="21" thickBot="1" x14ac:dyDescent="0.3">
      <c r="B63" s="16">
        <f t="shared" si="6"/>
        <v>54</v>
      </c>
      <c r="C63" s="106" t="s">
        <v>92</v>
      </c>
      <c r="D63" s="107" t="s">
        <v>93</v>
      </c>
      <c r="E63" s="599" t="str">
        <f t="shared" si="7"/>
        <v>Jens ØysteinGjersvold</v>
      </c>
      <c r="F63" s="192">
        <f>YEAR(I$5)-_xlfn.XLOOKUP(E63,Deltakerliste!E$5:E$98,Deltakerliste!I$5:I$98)</f>
        <v>74</v>
      </c>
      <c r="G63" s="192">
        <f>_xlfn.XLOOKUP(E63,Deltakerliste!E$5:E$98,Deltakerliste!H$5:H$98)</f>
        <v>2</v>
      </c>
      <c r="H63" s="592">
        <f>VLOOKUP(F63,Deltakerliste!P$6:T$84,G63,FALSE)</f>
        <v>1.569</v>
      </c>
      <c r="I63" s="14"/>
      <c r="J63" s="14"/>
      <c r="K63" s="18"/>
      <c r="L63" s="600"/>
      <c r="M63" s="594"/>
      <c r="N63" s="724"/>
      <c r="O63" s="596"/>
    </row>
    <row r="64" spans="2:29" ht="21" thickBot="1" x14ac:dyDescent="0.3">
      <c r="B64" s="16">
        <f t="shared" si="6"/>
        <v>55</v>
      </c>
      <c r="C64" s="106" t="s">
        <v>64</v>
      </c>
      <c r="D64" s="107" t="s">
        <v>366</v>
      </c>
      <c r="E64" s="599" t="str">
        <f t="shared" si="7"/>
        <v>BjørnHafskjold</v>
      </c>
      <c r="F64" s="192">
        <f>YEAR(I$5)-_xlfn.XLOOKUP(E64,Deltakerliste!E$5:E$98,Deltakerliste!I$5:I$98)</f>
        <v>79</v>
      </c>
      <c r="G64" s="192">
        <f>_xlfn.XLOOKUP(E64,Deltakerliste!E$5:E$98,Deltakerliste!H$5:H$98)</f>
        <v>2</v>
      </c>
      <c r="H64" s="592">
        <f>VLOOKUP(F64,Deltakerliste!P$6:T$84,G64,FALSE)</f>
        <v>1.8050000000000002</v>
      </c>
      <c r="I64" s="14"/>
      <c r="J64" s="14"/>
      <c r="K64" s="18"/>
      <c r="L64" s="600"/>
      <c r="M64" s="594"/>
      <c r="N64" s="724"/>
      <c r="O64" s="596"/>
    </row>
    <row r="65" spans="2:17" ht="21" thickBot="1" x14ac:dyDescent="0.3">
      <c r="B65" s="16">
        <f t="shared" si="6"/>
        <v>56</v>
      </c>
      <c r="C65" s="106" t="s">
        <v>96</v>
      </c>
      <c r="D65" s="107" t="s">
        <v>97</v>
      </c>
      <c r="E65" s="599" t="str">
        <f t="shared" si="7"/>
        <v>StigHaugskott</v>
      </c>
      <c r="F65" s="192">
        <f>YEAR(I$5)-_xlfn.XLOOKUP(E65,Deltakerliste!E$5:E$98,Deltakerliste!I$5:I$98)</f>
        <v>87</v>
      </c>
      <c r="G65" s="192">
        <f>_xlfn.XLOOKUP(E65,Deltakerliste!E$5:E$98,Deltakerliste!H$5:H$98)</f>
        <v>2</v>
      </c>
      <c r="H65" s="592">
        <f>VLOOKUP(F65,Deltakerliste!P$6:T$84,G65,FALSE)</f>
        <v>2.3929999999999998</v>
      </c>
      <c r="I65" s="86"/>
      <c r="J65" s="86"/>
      <c r="K65" s="86"/>
      <c r="L65" s="600"/>
      <c r="M65" s="594"/>
      <c r="N65" s="724"/>
      <c r="O65" s="596"/>
    </row>
    <row r="66" spans="2:17" ht="21" thickBot="1" x14ac:dyDescent="0.3">
      <c r="B66" s="16">
        <f t="shared" si="6"/>
        <v>57</v>
      </c>
      <c r="C66" s="106" t="s">
        <v>342</v>
      </c>
      <c r="D66" s="107" t="s">
        <v>343</v>
      </c>
      <c r="E66" s="599" t="str">
        <f t="shared" si="7"/>
        <v>ArildHeggeset</v>
      </c>
      <c r="F66" s="192">
        <f>YEAR(I$5)-_xlfn.XLOOKUP(E66,Deltakerliste!E$5:E$98,Deltakerliste!I$5:I$98)</f>
        <v>59</v>
      </c>
      <c r="G66" s="192">
        <f>_xlfn.XLOOKUP(E66,Deltakerliste!E$5:E$98,Deltakerliste!H$5:H$98)</f>
        <v>2</v>
      </c>
      <c r="H66" s="592">
        <f>VLOOKUP(F66,Deltakerliste!P$6:T$84,G66,FALSE)</f>
        <v>1.1860000000000002</v>
      </c>
      <c r="I66" s="86"/>
      <c r="J66" s="86"/>
      <c r="K66" s="13"/>
      <c r="L66" s="600"/>
      <c r="M66" s="594"/>
      <c r="N66" s="724"/>
      <c r="O66" s="596"/>
    </row>
    <row r="67" spans="2:17" ht="21" thickBot="1" x14ac:dyDescent="0.3">
      <c r="B67" s="16">
        <f t="shared" si="6"/>
        <v>58</v>
      </c>
      <c r="C67" s="106" t="s">
        <v>309</v>
      </c>
      <c r="D67" s="107" t="s">
        <v>310</v>
      </c>
      <c r="E67" s="599" t="str">
        <f t="shared" si="7"/>
        <v>VigdisHeimly</v>
      </c>
      <c r="F67" s="192">
        <f>YEAR(I$5)-_xlfn.XLOOKUP(E67,Deltakerliste!E$5:E$98,Deltakerliste!I$5:I$98)</f>
        <v>67</v>
      </c>
      <c r="G67" s="192">
        <f>_xlfn.XLOOKUP(E67,Deltakerliste!E$5:E$98,Deltakerliste!H$5:H$98)</f>
        <v>4</v>
      </c>
      <c r="H67" s="592">
        <f>VLOOKUP(F67,Deltakerliste!P$6:T$84,G67,FALSE)</f>
        <v>1.8422000000000009</v>
      </c>
      <c r="I67" s="86"/>
      <c r="J67" s="86"/>
      <c r="K67" s="17"/>
      <c r="L67" s="600"/>
      <c r="M67" s="594"/>
      <c r="N67" s="724"/>
      <c r="O67" s="596"/>
    </row>
    <row r="68" spans="2:17" ht="21" thickBot="1" x14ac:dyDescent="0.3">
      <c r="B68" s="16">
        <f t="shared" si="6"/>
        <v>59</v>
      </c>
      <c r="C68" s="106" t="s">
        <v>126</v>
      </c>
      <c r="D68" s="107" t="s">
        <v>383</v>
      </c>
      <c r="E68" s="599" t="str">
        <f t="shared" si="7"/>
        <v>ArneHelland</v>
      </c>
      <c r="F68" s="192">
        <f>YEAR(I$5)-_xlfn.XLOOKUP(E68,Deltakerliste!E$5:E$98,Deltakerliste!I$5:I$98)</f>
        <v>61</v>
      </c>
      <c r="G68" s="192">
        <f>_xlfn.XLOOKUP(E68,Deltakerliste!E$5:E$98,Deltakerliste!H$5:H$98)</f>
        <v>2</v>
      </c>
      <c r="H68" s="592">
        <f>VLOOKUP(F68,Deltakerliste!P$6:T$84,G68,FALSE)</f>
        <v>1.2190000000000001</v>
      </c>
      <c r="I68" s="86"/>
      <c r="J68" s="86"/>
      <c r="K68" s="17"/>
      <c r="L68" s="600"/>
      <c r="M68" s="594"/>
      <c r="N68" s="724"/>
      <c r="O68" s="596"/>
    </row>
    <row r="69" spans="2:17" ht="21" thickBot="1" x14ac:dyDescent="0.3">
      <c r="B69" s="16">
        <f t="shared" si="6"/>
        <v>60</v>
      </c>
      <c r="C69" s="106" t="s">
        <v>118</v>
      </c>
      <c r="D69" s="107" t="s">
        <v>383</v>
      </c>
      <c r="E69" s="599" t="str">
        <f t="shared" si="7"/>
        <v>KnutHelland</v>
      </c>
      <c r="F69" s="192">
        <f>YEAR(I$5)-_xlfn.XLOOKUP(E69,Deltakerliste!E$5:E$98,Deltakerliste!I$5:I$98)</f>
        <v>64</v>
      </c>
      <c r="G69" s="192">
        <f>_xlfn.XLOOKUP(E69,Deltakerliste!E$5:E$98,Deltakerliste!H$5:H$98)</f>
        <v>2</v>
      </c>
      <c r="H69" s="592">
        <f>VLOOKUP(F69,Deltakerliste!P$6:T$84,G69,FALSE)</f>
        <v>1.2759999999999998</v>
      </c>
      <c r="I69" s="86"/>
      <c r="J69" s="86"/>
      <c r="K69" s="17"/>
      <c r="L69" s="600"/>
      <c r="M69" s="594"/>
      <c r="N69" s="724"/>
      <c r="O69" s="596"/>
    </row>
    <row r="70" spans="2:17" ht="21" thickBot="1" x14ac:dyDescent="0.3">
      <c r="B70" s="16">
        <f t="shared" si="6"/>
        <v>61</v>
      </c>
      <c r="C70" s="106" t="s">
        <v>99</v>
      </c>
      <c r="D70" s="107" t="s">
        <v>100</v>
      </c>
      <c r="E70" s="599" t="str">
        <f t="shared" si="7"/>
        <v>RobertHirsch</v>
      </c>
      <c r="F70" s="192">
        <f>YEAR(I$5)-_xlfn.XLOOKUP(E70,Deltakerliste!E$5:E$98,Deltakerliste!I$5:I$98)</f>
        <v>69</v>
      </c>
      <c r="G70" s="192">
        <f>_xlfn.XLOOKUP(E70,Deltakerliste!E$5:E$98,Deltakerliste!H$5:H$98)</f>
        <v>2</v>
      </c>
      <c r="H70" s="592">
        <f>VLOOKUP(F70,Deltakerliste!P$6:T$84,G70,FALSE)</f>
        <v>1.3989999999999998</v>
      </c>
      <c r="I70" s="86"/>
      <c r="J70" s="86"/>
      <c r="K70" s="13"/>
      <c r="L70" s="600"/>
      <c r="M70" s="594"/>
      <c r="N70" s="724"/>
      <c r="O70" s="596"/>
    </row>
    <row r="71" spans="2:17" ht="21" thickBot="1" x14ac:dyDescent="0.3">
      <c r="B71" s="16">
        <f t="shared" si="6"/>
        <v>62</v>
      </c>
      <c r="C71" s="106" t="s">
        <v>63</v>
      </c>
      <c r="D71" s="107" t="s">
        <v>105</v>
      </c>
      <c r="E71" s="599" t="str">
        <f t="shared" si="7"/>
        <v>ToreKiste</v>
      </c>
      <c r="F71" s="192">
        <f>YEAR(I$5)-_xlfn.XLOOKUP(E71,Deltakerliste!E$5:E$98,Deltakerliste!I$5:I$98)</f>
        <v>81</v>
      </c>
      <c r="G71" s="192">
        <f>_xlfn.XLOOKUP(E71,Deltakerliste!E$5:E$98,Deltakerliste!H$5:H$98)</f>
        <v>2</v>
      </c>
      <c r="H71" s="592">
        <f>VLOOKUP(F71,Deltakerliste!P$6:T$84,G71,FALSE)</f>
        <v>1.9290000000000003</v>
      </c>
      <c r="I71" s="86"/>
      <c r="J71" s="86"/>
      <c r="K71" s="13"/>
      <c r="L71" s="600"/>
      <c r="M71" s="594"/>
      <c r="N71" s="724"/>
      <c r="O71" s="596"/>
    </row>
    <row r="72" spans="2:17" ht="21" thickBot="1" x14ac:dyDescent="0.3">
      <c r="B72" s="16">
        <f t="shared" si="6"/>
        <v>63</v>
      </c>
      <c r="C72" s="106" t="s">
        <v>106</v>
      </c>
      <c r="D72" s="107" t="s">
        <v>107</v>
      </c>
      <c r="E72" s="599" t="str">
        <f t="shared" si="7"/>
        <v>Jon ArneKlemetsaune</v>
      </c>
      <c r="F72" s="192">
        <f>YEAR(I$5)-_xlfn.XLOOKUP(E72,Deltakerliste!E$5:E$98,Deltakerliste!I$5:I$98)</f>
        <v>77</v>
      </c>
      <c r="G72" s="192">
        <f>_xlfn.XLOOKUP(E72,Deltakerliste!E$5:E$98,Deltakerliste!H$5:H$98)</f>
        <v>2</v>
      </c>
      <c r="H72" s="592">
        <f>VLOOKUP(F72,Deltakerliste!P$6:T$84,G72,FALSE)</f>
        <v>1.7050000000000001</v>
      </c>
      <c r="I72" s="86"/>
      <c r="J72" s="86"/>
      <c r="K72" s="17"/>
      <c r="L72" s="600"/>
      <c r="M72" s="594"/>
      <c r="N72" s="724"/>
      <c r="O72" s="596"/>
    </row>
    <row r="73" spans="2:17" ht="21" thickBot="1" x14ac:dyDescent="0.3">
      <c r="B73" s="16">
        <f t="shared" si="6"/>
        <v>64</v>
      </c>
      <c r="C73" s="106" t="s">
        <v>108</v>
      </c>
      <c r="D73" s="107" t="s">
        <v>109</v>
      </c>
      <c r="E73" s="599" t="str">
        <f t="shared" si="7"/>
        <v>Finn FayeKnudsen</v>
      </c>
      <c r="F73" s="192">
        <f>YEAR(I$5)-_xlfn.XLOOKUP(E73,Deltakerliste!E$5:E$98,Deltakerliste!I$5:I$98)</f>
        <v>84</v>
      </c>
      <c r="G73" s="192">
        <f>_xlfn.XLOOKUP(E73,Deltakerliste!E$5:E$98,Deltakerliste!H$5:H$98)</f>
        <v>2</v>
      </c>
      <c r="H73" s="592">
        <f>VLOOKUP(F73,Deltakerliste!P$6:T$84,G73,FALSE)</f>
        <v>2.1509999999999998</v>
      </c>
      <c r="I73" s="86"/>
      <c r="J73" s="86"/>
      <c r="K73" s="13"/>
      <c r="L73" s="600"/>
      <c r="M73" s="594"/>
      <c r="N73" s="724"/>
      <c r="O73" s="596"/>
    </row>
    <row r="74" spans="2:17" ht="21" thickBot="1" x14ac:dyDescent="0.3">
      <c r="B74" s="16">
        <f t="shared" ref="B74:B94" si="8">B73+1</f>
        <v>65</v>
      </c>
      <c r="C74" s="106" t="s">
        <v>251</v>
      </c>
      <c r="D74" s="107" t="s">
        <v>252</v>
      </c>
      <c r="E74" s="599" t="str">
        <f t="shared" ref="E74:E94" si="9">_xlfn.CONCAT(C74:D74)</f>
        <v>OttarKristiansen</v>
      </c>
      <c r="F74" s="192">
        <f>YEAR(I$5)-_xlfn.XLOOKUP(E74,Deltakerliste!E$5:E$98,Deltakerliste!I$5:I$98)</f>
        <v>77</v>
      </c>
      <c r="G74" s="192">
        <f>_xlfn.XLOOKUP(E74,Deltakerliste!E$5:E$98,Deltakerliste!H$5:H$98)</f>
        <v>2</v>
      </c>
      <c r="H74" s="592">
        <f>VLOOKUP(F74,Deltakerliste!P$6:T$84,G74,FALSE)</f>
        <v>1.7050000000000001</v>
      </c>
      <c r="I74" s="86"/>
      <c r="J74" s="86"/>
      <c r="K74" s="17"/>
      <c r="L74" s="600"/>
      <c r="M74" s="594"/>
      <c r="N74" s="724"/>
      <c r="O74" s="596"/>
    </row>
    <row r="75" spans="2:17" ht="21" thickBot="1" x14ac:dyDescent="0.3">
      <c r="B75" s="16">
        <f t="shared" si="8"/>
        <v>66</v>
      </c>
      <c r="C75" s="106" t="s">
        <v>112</v>
      </c>
      <c r="D75" s="107" t="s">
        <v>113</v>
      </c>
      <c r="E75" s="599" t="str">
        <f t="shared" si="9"/>
        <v>ToridKvaal</v>
      </c>
      <c r="F75" s="192">
        <f>YEAR(I$5)-_xlfn.XLOOKUP(E75,Deltakerliste!E$5:E$98,Deltakerliste!I$5:I$98)</f>
        <v>84</v>
      </c>
      <c r="G75" s="192">
        <f>_xlfn.XLOOKUP(E75,Deltakerliste!E$5:E$98,Deltakerliste!H$5:H$98)</f>
        <v>4</v>
      </c>
      <c r="H75" s="592">
        <f>VLOOKUP(F75,Deltakerliste!P$6:T$84,G75,FALSE)</f>
        <v>2.7814000000000005</v>
      </c>
      <c r="I75" s="86"/>
      <c r="J75" s="86"/>
      <c r="K75" s="13"/>
      <c r="L75" s="600"/>
      <c r="M75" s="594"/>
      <c r="N75" s="724"/>
      <c r="O75" s="596"/>
      <c r="Q75" s="112"/>
    </row>
    <row r="76" spans="2:17" ht="21" thickBot="1" x14ac:dyDescent="0.3">
      <c r="B76" s="16">
        <f t="shared" si="8"/>
        <v>67</v>
      </c>
      <c r="C76" s="106" t="s">
        <v>254</v>
      </c>
      <c r="D76" s="107" t="s">
        <v>255</v>
      </c>
      <c r="E76" s="599" t="str">
        <f t="shared" si="9"/>
        <v>ArnfinnLangeland</v>
      </c>
      <c r="F76" s="192">
        <f>YEAR(I$5)-_xlfn.XLOOKUP(E76,Deltakerliste!E$5:E$98,Deltakerliste!I$5:I$98)</f>
        <v>90</v>
      </c>
      <c r="G76" s="192">
        <f>_xlfn.XLOOKUP(E76,Deltakerliste!E$5:E$98,Deltakerliste!H$5:H$98)</f>
        <v>2</v>
      </c>
      <c r="H76" s="592">
        <f>VLOOKUP(F76,Deltakerliste!P$6:T$84,G76,FALSE)</f>
        <v>2.645</v>
      </c>
      <c r="I76" s="86"/>
      <c r="J76" s="86"/>
      <c r="K76" s="13"/>
      <c r="L76" s="600"/>
      <c r="M76" s="594"/>
      <c r="N76" s="724"/>
      <c r="O76" s="596"/>
    </row>
    <row r="77" spans="2:17" ht="21" thickBot="1" x14ac:dyDescent="0.3">
      <c r="B77" s="16">
        <f t="shared" si="8"/>
        <v>68</v>
      </c>
      <c r="C77" s="106" t="s">
        <v>116</v>
      </c>
      <c r="D77" s="107" t="s">
        <v>117</v>
      </c>
      <c r="E77" s="599" t="str">
        <f t="shared" si="9"/>
        <v>AndersLauglo</v>
      </c>
      <c r="F77" s="192">
        <f>YEAR(I$5)-_xlfn.XLOOKUP(E77,Deltakerliste!E$5:E$98,Deltakerliste!I$5:I$98)</f>
        <v>87</v>
      </c>
      <c r="G77" s="192">
        <f>_xlfn.XLOOKUP(E77,Deltakerliste!E$5:E$98,Deltakerliste!H$5:H$98)</f>
        <v>2</v>
      </c>
      <c r="H77" s="592">
        <f>VLOOKUP(F77,Deltakerliste!P$6:T$84,G77,FALSE)</f>
        <v>2.3929999999999998</v>
      </c>
      <c r="I77" s="13"/>
      <c r="J77" s="13"/>
      <c r="K77" s="86"/>
      <c r="L77" s="600"/>
      <c r="M77" s="594"/>
      <c r="N77" s="724"/>
      <c r="O77" s="596"/>
    </row>
    <row r="78" spans="2:17" ht="21" thickBot="1" x14ac:dyDescent="0.3">
      <c r="B78" s="16">
        <f t="shared" si="8"/>
        <v>69</v>
      </c>
      <c r="C78" s="106" t="s">
        <v>120</v>
      </c>
      <c r="D78" s="107" t="s">
        <v>121</v>
      </c>
      <c r="E78" s="599" t="str">
        <f t="shared" si="9"/>
        <v>KlausLivik</v>
      </c>
      <c r="F78" s="192">
        <f>YEAR(I$5)-_xlfn.XLOOKUP(E78,Deltakerliste!E$5:E$98,Deltakerliste!I$5:I$98)</f>
        <v>72</v>
      </c>
      <c r="G78" s="192">
        <f>_xlfn.XLOOKUP(E78,Deltakerliste!E$5:E$98,Deltakerliste!H$5:H$98)</f>
        <v>2</v>
      </c>
      <c r="H78" s="592">
        <f>VLOOKUP(F78,Deltakerliste!P$6:T$84,G78,FALSE)</f>
        <v>1.4969999999999999</v>
      </c>
      <c r="I78" s="13"/>
      <c r="J78" s="13"/>
      <c r="K78" s="17"/>
      <c r="L78" s="600"/>
      <c r="M78" s="594"/>
      <c r="N78" s="724"/>
      <c r="O78" s="596"/>
    </row>
    <row r="79" spans="2:17" ht="21" thickBot="1" x14ac:dyDescent="0.3">
      <c r="B79" s="16">
        <f t="shared" si="8"/>
        <v>70</v>
      </c>
      <c r="C79" s="106" t="s">
        <v>222</v>
      </c>
      <c r="D79" s="107" t="s">
        <v>221</v>
      </c>
      <c r="E79" s="599" t="str">
        <f t="shared" si="9"/>
        <v>Kjell Maroni</v>
      </c>
      <c r="F79" s="192">
        <f>YEAR(I$5)-_xlfn.XLOOKUP(E79,Deltakerliste!E$5:E$98,Deltakerliste!I$5:I$98)</f>
        <v>70</v>
      </c>
      <c r="G79" s="192">
        <f>_xlfn.XLOOKUP(E79,Deltakerliste!E$5:E$98,Deltakerliste!H$5:H$98)</f>
        <v>2</v>
      </c>
      <c r="H79" s="592">
        <f>VLOOKUP(F79,Deltakerliste!P$6:T$84,G79,FALSE)</f>
        <v>1.4249999999999998</v>
      </c>
      <c r="I79" s="13"/>
      <c r="J79" s="13"/>
      <c r="K79" s="13"/>
      <c r="L79" s="600"/>
      <c r="M79" s="594"/>
      <c r="N79" s="724"/>
      <c r="O79" s="596"/>
    </row>
    <row r="80" spans="2:17" ht="21" thickBot="1" x14ac:dyDescent="0.3">
      <c r="B80" s="16">
        <f t="shared" si="8"/>
        <v>71</v>
      </c>
      <c r="C80" s="106" t="s">
        <v>122</v>
      </c>
      <c r="D80" s="107" t="s">
        <v>123</v>
      </c>
      <c r="E80" s="599" t="str">
        <f t="shared" si="9"/>
        <v>MartinMelhuus</v>
      </c>
      <c r="F80" s="192">
        <f>YEAR(I$5)-_xlfn.XLOOKUP(E80,Deltakerliste!E$5:E$98,Deltakerliste!I$5:I$98)</f>
        <v>82</v>
      </c>
      <c r="G80" s="192">
        <f>_xlfn.XLOOKUP(E80,Deltakerliste!E$5:E$98,Deltakerliste!H$5:H$98)</f>
        <v>2</v>
      </c>
      <c r="H80" s="592">
        <f>VLOOKUP(F80,Deltakerliste!P$6:T$84,G80,FALSE)</f>
        <v>2.0030000000000001</v>
      </c>
      <c r="I80" s="13"/>
      <c r="J80" s="13"/>
      <c r="K80" s="13"/>
      <c r="L80" s="600"/>
      <c r="M80" s="594"/>
      <c r="N80" s="724"/>
      <c r="O80" s="596"/>
    </row>
    <row r="81" spans="2:15" ht="21" thickBot="1" x14ac:dyDescent="0.3">
      <c r="B81" s="16">
        <f t="shared" si="8"/>
        <v>72</v>
      </c>
      <c r="C81" s="106" t="s">
        <v>128</v>
      </c>
      <c r="D81" s="107" t="s">
        <v>129</v>
      </c>
      <c r="E81" s="599" t="str">
        <f t="shared" si="9"/>
        <v>OddMusum</v>
      </c>
      <c r="F81" s="192">
        <f>YEAR(I$5)-_xlfn.XLOOKUP(E81,Deltakerliste!E$5:E$98,Deltakerliste!I$5:I$98)</f>
        <v>84</v>
      </c>
      <c r="G81" s="192">
        <f>_xlfn.XLOOKUP(E81,Deltakerliste!E$5:E$98,Deltakerliste!H$5:H$98)</f>
        <v>2</v>
      </c>
      <c r="H81" s="592">
        <f>VLOOKUP(F81,Deltakerliste!P$6:T$84,G81,FALSE)</f>
        <v>2.1509999999999998</v>
      </c>
      <c r="I81" s="13"/>
      <c r="J81" s="13"/>
      <c r="K81" s="13"/>
      <c r="L81" s="600"/>
      <c r="M81" s="594"/>
      <c r="N81" s="724"/>
      <c r="O81" s="596"/>
    </row>
    <row r="82" spans="2:15" ht="21" thickBot="1" x14ac:dyDescent="0.3">
      <c r="B82" s="16">
        <f t="shared" si="8"/>
        <v>73</v>
      </c>
      <c r="C82" s="106" t="s">
        <v>132</v>
      </c>
      <c r="D82" s="107" t="s">
        <v>133</v>
      </c>
      <c r="E82" s="599" t="str">
        <f t="shared" si="9"/>
        <v>JarleNestvold</v>
      </c>
      <c r="F82" s="192">
        <f>YEAR(I$5)-_xlfn.XLOOKUP(E82,Deltakerliste!E$5:E$98,Deltakerliste!I$5:I$98)</f>
        <v>89</v>
      </c>
      <c r="G82" s="192">
        <f>_xlfn.XLOOKUP(E82,Deltakerliste!E$5:E$98,Deltakerliste!H$5:H$98)</f>
        <v>2</v>
      </c>
      <c r="H82" s="592">
        <f>VLOOKUP(F82,Deltakerliste!P$6:T$84,G82,FALSE)</f>
        <v>2.5609999999999999</v>
      </c>
      <c r="I82" s="132"/>
      <c r="J82" s="18"/>
      <c r="K82" s="18"/>
      <c r="L82" s="600"/>
      <c r="M82" s="594"/>
      <c r="N82" s="724"/>
      <c r="O82" s="596"/>
    </row>
    <row r="83" spans="2:15" ht="21" thickBot="1" x14ac:dyDescent="0.3">
      <c r="B83" s="16">
        <f t="shared" si="8"/>
        <v>74</v>
      </c>
      <c r="C83" s="111" t="s">
        <v>265</v>
      </c>
      <c r="D83" s="193" t="s">
        <v>344</v>
      </c>
      <c r="E83" s="599" t="str">
        <f t="shared" si="9"/>
        <v>ØysteinNytrø</v>
      </c>
      <c r="F83" s="192">
        <f>YEAR(I$5)-_xlfn.XLOOKUP(E83,Deltakerliste!E$5:E$98,Deltakerliste!I$5:I$98)</f>
        <v>66</v>
      </c>
      <c r="G83" s="192">
        <f>_xlfn.XLOOKUP(E83,Deltakerliste!E$5:E$98,Deltakerliste!H$5:H$98)</f>
        <v>2</v>
      </c>
      <c r="H83" s="592">
        <f>VLOOKUP(F83,Deltakerliste!P$6:T$84,G83,FALSE)</f>
        <v>1.3209999999999997</v>
      </c>
      <c r="I83" s="18"/>
      <c r="J83" s="132"/>
      <c r="K83" s="18"/>
      <c r="L83" s="600"/>
      <c r="M83" s="594"/>
      <c r="N83" s="724"/>
      <c r="O83" s="596"/>
    </row>
    <row r="84" spans="2:15" ht="21" thickBot="1" x14ac:dyDescent="0.3">
      <c r="B84" s="16">
        <f t="shared" si="8"/>
        <v>75</v>
      </c>
      <c r="C84" s="111" t="s">
        <v>140</v>
      </c>
      <c r="D84" s="193" t="s">
        <v>141</v>
      </c>
      <c r="E84" s="599" t="str">
        <f t="shared" si="9"/>
        <v>Grete BergeOwren</v>
      </c>
      <c r="F84" s="192">
        <f>YEAR(I$5)-_xlfn.XLOOKUP(E84,Deltakerliste!E$5:E$98,Deltakerliste!I$5:I$98)</f>
        <v>68</v>
      </c>
      <c r="G84" s="192">
        <f>_xlfn.XLOOKUP(E84,Deltakerliste!E$5:E$98,Deltakerliste!H$5:H$98)</f>
        <v>4</v>
      </c>
      <c r="H84" s="592">
        <f>VLOOKUP(F84,Deltakerliste!P$6:T$84,G84,FALSE)</f>
        <v>1.877800000000001</v>
      </c>
      <c r="I84" s="18"/>
      <c r="J84" s="18"/>
      <c r="K84" s="18"/>
      <c r="L84" s="600"/>
      <c r="M84" s="594"/>
      <c r="N84" s="724"/>
      <c r="O84" s="596"/>
    </row>
    <row r="85" spans="2:15" ht="21" thickBot="1" x14ac:dyDescent="0.3">
      <c r="B85" s="16">
        <f t="shared" si="8"/>
        <v>76</v>
      </c>
      <c r="C85" s="111" t="s">
        <v>144</v>
      </c>
      <c r="D85" s="108" t="s">
        <v>145</v>
      </c>
      <c r="E85" s="599" t="str">
        <f t="shared" si="9"/>
        <v>Bjørn Rindstad</v>
      </c>
      <c r="F85" s="192">
        <f>YEAR(I$5)-_xlfn.XLOOKUP(E85,Deltakerliste!E$5:E$98,Deltakerliste!I$5:I$98)</f>
        <v>75</v>
      </c>
      <c r="G85" s="192">
        <f>_xlfn.XLOOKUP(E85,Deltakerliste!E$5:E$98,Deltakerliste!H$5:H$98)</f>
        <v>2</v>
      </c>
      <c r="H85" s="592">
        <f>VLOOKUP(F85,Deltakerliste!P$6:T$84,G85,FALSE)</f>
        <v>1.605</v>
      </c>
      <c r="I85" s="18"/>
      <c r="J85" s="18"/>
      <c r="K85" s="18"/>
      <c r="L85" s="600"/>
      <c r="M85" s="594"/>
      <c r="N85" s="724"/>
      <c r="O85" s="596"/>
    </row>
    <row r="86" spans="2:15" ht="21" thickBot="1" x14ac:dyDescent="0.3">
      <c r="B86" s="16">
        <f t="shared" si="8"/>
        <v>77</v>
      </c>
      <c r="C86" s="111" t="s">
        <v>78</v>
      </c>
      <c r="D86" s="193" t="s">
        <v>146</v>
      </c>
      <c r="E86" s="599" t="str">
        <f t="shared" si="9"/>
        <v>LeifRøhjell</v>
      </c>
      <c r="F86" s="192">
        <f>YEAR(I$5)-_xlfn.XLOOKUP(E86,Deltakerliste!E$5:E$98,Deltakerliste!I$5:I$98)</f>
        <v>82</v>
      </c>
      <c r="G86" s="192">
        <f>_xlfn.XLOOKUP(E86,Deltakerliste!E$5:E$98,Deltakerliste!H$5:H$98)</f>
        <v>2</v>
      </c>
      <c r="H86" s="592">
        <f>VLOOKUP(F86,Deltakerliste!P$6:T$84,G86,FALSE)</f>
        <v>2.0030000000000001</v>
      </c>
      <c r="I86" s="132"/>
      <c r="J86" s="18"/>
      <c r="K86" s="18"/>
      <c r="L86" s="600"/>
      <c r="M86" s="594"/>
      <c r="N86" s="724"/>
      <c r="O86" s="596"/>
    </row>
    <row r="87" spans="2:15" ht="21" thickBot="1" x14ac:dyDescent="0.3">
      <c r="B87" s="16">
        <f t="shared" si="8"/>
        <v>78</v>
      </c>
      <c r="C87" s="111" t="s">
        <v>228</v>
      </c>
      <c r="D87" s="193" t="s">
        <v>229</v>
      </c>
      <c r="E87" s="599" t="str">
        <f t="shared" si="9"/>
        <v>May-LisRønning</v>
      </c>
      <c r="F87" s="192">
        <f>YEAR(I$5)-_xlfn.XLOOKUP(E87,Deltakerliste!E$5:E$98,Deltakerliste!I$5:I$98)</f>
        <v>56</v>
      </c>
      <c r="G87" s="192">
        <f>_xlfn.XLOOKUP(E87,Deltakerliste!E$5:E$98,Deltakerliste!H$5:H$98)</f>
        <v>4</v>
      </c>
      <c r="H87" s="592">
        <f>VLOOKUP(F87,Deltakerliste!P$6:T$84,G87,FALSE)</f>
        <v>1.5329999999999997</v>
      </c>
      <c r="I87" s="18"/>
      <c r="J87" s="18"/>
      <c r="K87" s="18"/>
      <c r="L87" s="600"/>
      <c r="M87" s="594"/>
      <c r="N87" s="724"/>
      <c r="O87" s="596"/>
    </row>
    <row r="88" spans="2:15" ht="21" thickBot="1" x14ac:dyDescent="0.3">
      <c r="B88" s="16">
        <f t="shared" si="8"/>
        <v>79</v>
      </c>
      <c r="C88" s="111" t="s">
        <v>147</v>
      </c>
      <c r="D88" s="108" t="s">
        <v>148</v>
      </c>
      <c r="E88" s="599" t="str">
        <f t="shared" si="9"/>
        <v>ViggoSchei</v>
      </c>
      <c r="F88" s="192">
        <f>YEAR(I$5)-_xlfn.XLOOKUP(E88,Deltakerliste!E$5:E$98,Deltakerliste!I$5:I$98)</f>
        <v>75</v>
      </c>
      <c r="G88" s="192">
        <f>_xlfn.XLOOKUP(E88,Deltakerliste!E$5:E$98,Deltakerliste!H$5:H$98)</f>
        <v>2</v>
      </c>
      <c r="H88" s="592">
        <f>VLOOKUP(F88,Deltakerliste!P$6:T$84,G88,FALSE)</f>
        <v>1.605</v>
      </c>
      <c r="I88" s="18"/>
      <c r="J88" s="132"/>
      <c r="K88" s="18"/>
      <c r="L88" s="600"/>
      <c r="M88" s="594"/>
      <c r="N88" s="724"/>
      <c r="O88" s="596"/>
    </row>
    <row r="89" spans="2:15" ht="21" thickBot="1" x14ac:dyDescent="0.3">
      <c r="B89" s="16">
        <f t="shared" si="8"/>
        <v>80</v>
      </c>
      <c r="C89" s="111" t="s">
        <v>298</v>
      </c>
      <c r="D89" s="108" t="s">
        <v>297</v>
      </c>
      <c r="E89" s="599" t="str">
        <f t="shared" si="9"/>
        <v>ØyvindSchjelderup</v>
      </c>
      <c r="F89" s="192">
        <f>YEAR(I$5)-_xlfn.XLOOKUP(E89,Deltakerliste!E$5:E$98,Deltakerliste!I$5:I$98)</f>
        <v>61</v>
      </c>
      <c r="G89" s="192">
        <f>_xlfn.XLOOKUP(E89,Deltakerliste!E$5:E$98,Deltakerliste!H$5:H$98)</f>
        <v>2</v>
      </c>
      <c r="H89" s="592">
        <f>VLOOKUP(F89,Deltakerliste!P$6:T$84,G89,FALSE)</f>
        <v>1.2190000000000001</v>
      </c>
      <c r="I89" s="18"/>
      <c r="J89" s="18"/>
      <c r="K89" s="18"/>
      <c r="L89" s="600"/>
      <c r="M89" s="594"/>
      <c r="N89" s="724"/>
      <c r="O89" s="596"/>
    </row>
    <row r="90" spans="2:15" ht="21" thickBot="1" x14ac:dyDescent="0.3">
      <c r="B90" s="16">
        <f t="shared" si="8"/>
        <v>81</v>
      </c>
      <c r="C90" s="193" t="s">
        <v>155</v>
      </c>
      <c r="D90" s="108" t="s">
        <v>156</v>
      </c>
      <c r="E90" s="599" t="str">
        <f t="shared" si="9"/>
        <v>KjellrunSporild</v>
      </c>
      <c r="F90" s="192">
        <f>YEAR(I$5)-_xlfn.XLOOKUP(E90,Deltakerliste!E$5:E$98,Deltakerliste!I$5:I$98)</f>
        <v>71</v>
      </c>
      <c r="G90" s="192">
        <f>_xlfn.XLOOKUP(E90,Deltakerliste!E$5:E$98,Deltakerliste!H$5:H$98)</f>
        <v>4</v>
      </c>
      <c r="H90" s="592">
        <f>VLOOKUP(F90,Deltakerliste!P$6:T$84,G90,FALSE)</f>
        <v>1.9926000000000013</v>
      </c>
      <c r="I90" s="18"/>
      <c r="J90" s="132"/>
      <c r="K90" s="18"/>
      <c r="L90" s="600"/>
      <c r="M90" s="594"/>
      <c r="N90" s="724"/>
      <c r="O90" s="596"/>
    </row>
    <row r="91" spans="2:15" ht="21" thickBot="1" x14ac:dyDescent="0.3">
      <c r="B91" s="16">
        <f t="shared" si="8"/>
        <v>82</v>
      </c>
      <c r="C91" s="193" t="s">
        <v>232</v>
      </c>
      <c r="D91" s="133" t="s">
        <v>231</v>
      </c>
      <c r="E91" s="599" t="str">
        <f t="shared" si="9"/>
        <v>BeritSunnset</v>
      </c>
      <c r="F91" s="192">
        <f>YEAR(I$5)-_xlfn.XLOOKUP(E91,Deltakerliste!E$5:E$98,Deltakerliste!I$5:I$98)</f>
        <v>63</v>
      </c>
      <c r="G91" s="192">
        <f>_xlfn.XLOOKUP(E91,Deltakerliste!E$5:E$98,Deltakerliste!H$5:H$98)</f>
        <v>4</v>
      </c>
      <c r="H91" s="592">
        <f>VLOOKUP(F91,Deltakerliste!P$6:T$84,G91,FALSE)</f>
        <v>1.7126000000000006</v>
      </c>
      <c r="I91" s="18"/>
      <c r="J91" s="18"/>
      <c r="K91" s="18"/>
      <c r="L91" s="600"/>
      <c r="M91" s="594"/>
      <c r="N91" s="724"/>
      <c r="O91" s="596"/>
    </row>
    <row r="92" spans="2:15" ht="21" thickBot="1" x14ac:dyDescent="0.3">
      <c r="B92" s="16">
        <f t="shared" si="8"/>
        <v>83</v>
      </c>
      <c r="C92" s="193" t="s">
        <v>230</v>
      </c>
      <c r="D92" s="108" t="s">
        <v>231</v>
      </c>
      <c r="E92" s="599" t="str">
        <f t="shared" si="9"/>
        <v>TrineSunnset</v>
      </c>
      <c r="F92" s="192">
        <f>YEAR(I$5)-_xlfn.XLOOKUP(E92,Deltakerliste!E$5:E$98,Deltakerliste!I$5:I$98)</f>
        <v>63</v>
      </c>
      <c r="G92" s="192">
        <f>_xlfn.XLOOKUP(E92,Deltakerliste!E$5:E$98,Deltakerliste!H$5:H$98)</f>
        <v>4</v>
      </c>
      <c r="H92" s="592">
        <f>VLOOKUP(F92,Deltakerliste!P$6:T$84,G92,FALSE)</f>
        <v>1.7126000000000006</v>
      </c>
      <c r="I92" s="18"/>
      <c r="J92" s="18"/>
      <c r="K92" s="18"/>
      <c r="L92" s="790"/>
      <c r="M92" s="594"/>
      <c r="N92" s="724"/>
      <c r="O92" s="596"/>
    </row>
    <row r="93" spans="2:15" ht="21" thickBot="1" x14ac:dyDescent="0.3">
      <c r="B93" s="16">
        <f t="shared" si="8"/>
        <v>84</v>
      </c>
      <c r="C93" s="193" t="s">
        <v>265</v>
      </c>
      <c r="D93" s="108" t="s">
        <v>266</v>
      </c>
      <c r="E93" s="599" t="str">
        <f t="shared" si="9"/>
        <v>ØysteinWiggen</v>
      </c>
      <c r="F93" s="192">
        <f>YEAR(I$5)-_xlfn.XLOOKUP(E93,Deltakerliste!E$5:E$98,Deltakerliste!I$5:I$98)</f>
        <v>60</v>
      </c>
      <c r="G93" s="192">
        <f>_xlfn.XLOOKUP(E93,Deltakerliste!E$5:E$98,Deltakerliste!H$5:H$98)</f>
        <v>2</v>
      </c>
      <c r="H93" s="592">
        <f>VLOOKUP(F93,Deltakerliste!P$6:T$84,G93,FALSE)</f>
        <v>1.2000000000000002</v>
      </c>
      <c r="I93" s="134"/>
      <c r="J93" s="132"/>
      <c r="K93" s="18"/>
      <c r="L93" s="791"/>
      <c r="M93" s="594"/>
      <c r="N93" s="792"/>
      <c r="O93" s="596"/>
    </row>
    <row r="94" spans="2:15" ht="21" thickBot="1" x14ac:dyDescent="0.3">
      <c r="B94" s="16">
        <f t="shared" si="8"/>
        <v>85</v>
      </c>
      <c r="C94" s="193" t="s">
        <v>166</v>
      </c>
      <c r="D94" s="108" t="s">
        <v>167</v>
      </c>
      <c r="E94" s="599" t="str">
        <f t="shared" si="9"/>
        <v>GunnarØsterbø</v>
      </c>
      <c r="F94" s="192">
        <f>YEAR(I$5)-_xlfn.XLOOKUP(E94,Deltakerliste!E$5:E$98,Deltakerliste!I$5:I$98)</f>
        <v>87</v>
      </c>
      <c r="G94" s="192">
        <f>_xlfn.XLOOKUP(E94,Deltakerliste!E$5:E$98,Deltakerliste!H$5:H$98)</f>
        <v>2</v>
      </c>
      <c r="H94" s="592">
        <f>VLOOKUP(F94,Deltakerliste!P$6:T$84,G94,FALSE)</f>
        <v>2.3929999999999998</v>
      </c>
      <c r="I94" s="18"/>
      <c r="J94" s="132"/>
      <c r="K94" s="18"/>
      <c r="L94" s="725"/>
      <c r="M94" s="717"/>
      <c r="N94" s="726"/>
      <c r="O94" s="719"/>
    </row>
    <row r="100" spans="4:11" ht="17" thickBot="1" x14ac:dyDescent="0.25"/>
    <row r="101" spans="4:11" ht="21" thickTop="1" thickBot="1" x14ac:dyDescent="0.3">
      <c r="D101" s="646" t="s">
        <v>288</v>
      </c>
      <c r="E101" s="647"/>
      <c r="F101" s="666"/>
      <c r="G101" s="666"/>
      <c r="H101" s="666"/>
      <c r="I101" s="648" t="s">
        <v>195</v>
      </c>
      <c r="J101" s="648" t="s">
        <v>196</v>
      </c>
      <c r="K101" s="649" t="s">
        <v>197</v>
      </c>
    </row>
    <row r="102" spans="4:11" ht="20" x14ac:dyDescent="0.25">
      <c r="D102" s="634" t="s">
        <v>172</v>
      </c>
      <c r="E102" s="320"/>
      <c r="F102" s="208"/>
      <c r="G102" s="208"/>
      <c r="H102" s="208"/>
      <c r="I102" s="635">
        <f>COUNT(I10:I96)+COUNTIF(I10:I96,"Brutt")+COUNTIF(I10:I96,"Disk")+COUNTIF(I10:I96,"(*)")</f>
        <v>18</v>
      </c>
      <c r="J102" s="635">
        <f>COUNT(J10:J96)+COUNTIF(J10:J96,"Brutt")+COUNTIF(J10:J96,"Disk")+COUNTIF(J10:J96,"(*)")</f>
        <v>19</v>
      </c>
      <c r="K102" s="636">
        <f>I102+J102</f>
        <v>37</v>
      </c>
    </row>
    <row r="103" spans="4:11" ht="19" x14ac:dyDescent="0.25">
      <c r="D103" s="637" t="s">
        <v>174</v>
      </c>
      <c r="E103" s="320"/>
      <c r="F103" s="208"/>
      <c r="G103" s="208"/>
      <c r="H103" s="208"/>
      <c r="I103" s="635">
        <f>COUNT(I10:I96)</f>
        <v>12</v>
      </c>
      <c r="J103" s="635">
        <f>COUNT(J10:J96)</f>
        <v>15</v>
      </c>
      <c r="K103" s="636">
        <f t="shared" ref="K103" si="10">I103+J103</f>
        <v>27</v>
      </c>
    </row>
    <row r="104" spans="4:11" ht="19" x14ac:dyDescent="0.25">
      <c r="D104" s="637" t="s">
        <v>173</v>
      </c>
      <c r="E104" s="320"/>
      <c r="F104" s="208"/>
      <c r="G104" s="208"/>
      <c r="H104" s="208"/>
      <c r="I104" s="208"/>
      <c r="J104" s="208"/>
      <c r="K104" s="636">
        <f>K102+COUNTIF(L10:L96,"Arr")+COUNTIF(L10:L96,"Løype")</f>
        <v>39</v>
      </c>
    </row>
    <row r="105" spans="4:11" ht="19" x14ac:dyDescent="0.25">
      <c r="D105" s="637" t="s">
        <v>341</v>
      </c>
      <c r="E105" s="320"/>
      <c r="F105" s="208"/>
      <c r="G105" s="208"/>
      <c r="H105" s="208"/>
      <c r="I105" s="208"/>
      <c r="J105" s="208"/>
      <c r="K105" s="638">
        <f>IF(SUM(L10:L96)=0," ",AVERAGEIF(M10:M96,"&gt;0",F10:F96))</f>
        <v>75.589743589743591</v>
      </c>
    </row>
    <row r="106" spans="4:11" ht="19" x14ac:dyDescent="0.25">
      <c r="D106" s="637" t="s">
        <v>296</v>
      </c>
      <c r="E106" s="320"/>
      <c r="F106" s="208"/>
      <c r="G106" s="208"/>
      <c r="H106" s="208"/>
      <c r="I106" s="208"/>
      <c r="J106" s="208"/>
      <c r="K106" s="638">
        <f>AVERAGE(I8:J8)</f>
        <v>3</v>
      </c>
    </row>
    <row r="107" spans="4:11" ht="19" x14ac:dyDescent="0.25">
      <c r="D107" s="637" t="s">
        <v>176</v>
      </c>
      <c r="E107" s="320"/>
      <c r="F107" s="208"/>
      <c r="G107" s="208"/>
      <c r="H107" s="208"/>
      <c r="I107" s="112">
        <f>I8*I103</f>
        <v>27.599999999999998</v>
      </c>
      <c r="J107" s="112">
        <f>J8*J103</f>
        <v>55.5</v>
      </c>
      <c r="K107" s="638">
        <f>I107+J107</f>
        <v>83.1</v>
      </c>
    </row>
    <row r="108" spans="4:11" ht="19" x14ac:dyDescent="0.25">
      <c r="D108" s="639" t="s">
        <v>286</v>
      </c>
      <c r="E108" s="320"/>
      <c r="F108" s="208"/>
      <c r="G108" s="208"/>
      <c r="H108" s="208"/>
      <c r="I108" s="103">
        <f>IF(SUM(I10:I96)=0," ",AVERAGE(I10:I96))</f>
        <v>2.7362075617283949E-2</v>
      </c>
      <c r="J108" s="103">
        <f>IF(SUM(J10:J96)=0," ",AVERAGE(J10:J96))</f>
        <v>3.1806327160493829E-2</v>
      </c>
      <c r="K108" s="640">
        <f>IF(SUM(I10:J96)=0," ",AVERAGE(I10:J96))</f>
        <v>2.9831104252400556E-2</v>
      </c>
    </row>
    <row r="109" spans="4:11" ht="20" thickBot="1" x14ac:dyDescent="0.3">
      <c r="D109" s="641" t="s">
        <v>287</v>
      </c>
      <c r="E109" s="642"/>
      <c r="F109" s="644"/>
      <c r="G109" s="644"/>
      <c r="H109" s="644"/>
      <c r="I109" s="643"/>
      <c r="J109" s="644"/>
      <c r="K109" s="645">
        <f>MIN(L10:L96)</f>
        <v>6.8380880880880872E-3</v>
      </c>
    </row>
    <row r="110" spans="4:11" ht="17" thickTop="1" x14ac:dyDescent="0.2"/>
  </sheetData>
  <autoFilter ref="B9:O94" xr:uid="{B0109BFE-4FBB-3644-84B2-9F0064D72ECF}">
    <sortState xmlns:xlrd2="http://schemas.microsoft.com/office/spreadsheetml/2017/richdata2" ref="B10:O94">
      <sortCondition ref="N9:N94"/>
    </sortState>
  </autoFilter>
  <mergeCells count="3">
    <mergeCell ref="W7:X7"/>
    <mergeCell ref="S8:U8"/>
    <mergeCell ref="W8:X8"/>
  </mergeCells>
  <pageMargins left="0.7" right="0.7" top="0.75" bottom="0.75" header="0.3" footer="0.3"/>
  <pageSetup paperSize="9" orientation="portrait" horizontalDpi="0" verticalDpi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AFB74-6841-E847-848E-404ED92ABAE1}">
  <dimension ref="B1:AC110"/>
  <sheetViews>
    <sheetView topLeftCell="C56" workbookViewId="0">
      <selection activeCell="W48" sqref="W48"/>
    </sheetView>
  </sheetViews>
  <sheetFormatPr baseColWidth="10" defaultColWidth="10.83203125" defaultRowHeight="16" x14ac:dyDescent="0.2"/>
  <cols>
    <col min="3" max="3" width="14.5" customWidth="1"/>
    <col min="4" max="4" width="20.1640625" customWidth="1"/>
    <col min="5" max="5" width="20.1640625" hidden="1" customWidth="1"/>
    <col min="6" max="6" width="14.5" style="15" customWidth="1"/>
    <col min="7" max="7" width="14.5" style="15" hidden="1" customWidth="1"/>
    <col min="8" max="8" width="14" style="15" customWidth="1"/>
    <col min="9" max="10" width="19.1640625" style="15" customWidth="1"/>
    <col min="11" max="11" width="17.6640625" style="15" customWidth="1"/>
    <col min="12" max="12" width="10.83203125" style="15"/>
    <col min="14" max="14" width="10.83203125" style="15"/>
    <col min="18" max="18" width="12.5" customWidth="1"/>
    <col min="19" max="19" width="13.5" customWidth="1"/>
    <col min="22" max="22" width="1.83203125" customWidth="1"/>
    <col min="23" max="23" width="15.83203125" customWidth="1"/>
    <col min="24" max="24" width="11" customWidth="1"/>
  </cols>
  <sheetData>
    <row r="1" spans="2:29" ht="8" customHeight="1" x14ac:dyDescent="0.2"/>
    <row r="2" spans="2:29" ht="8" customHeight="1" x14ac:dyDescent="0.2"/>
    <row r="5" spans="2:29" ht="26" x14ac:dyDescent="0.3">
      <c r="B5" s="21" t="s">
        <v>325</v>
      </c>
      <c r="C5" s="245" t="s">
        <v>243</v>
      </c>
      <c r="F5" s="667"/>
      <c r="G5" s="667"/>
      <c r="H5" s="671" t="s">
        <v>189</v>
      </c>
      <c r="I5" s="670">
        <f>'Løp 16'!I5+7</f>
        <v>46049</v>
      </c>
    </row>
    <row r="6" spans="2:29" ht="17" thickBot="1" x14ac:dyDescent="0.25">
      <c r="B6" s="15"/>
    </row>
    <row r="7" spans="2:29" ht="59" customHeight="1" thickBot="1" x14ac:dyDescent="0.35">
      <c r="B7" s="12" t="s">
        <v>194</v>
      </c>
      <c r="C7" s="662" t="s">
        <v>57</v>
      </c>
      <c r="D7" s="391" t="s">
        <v>58</v>
      </c>
      <c r="E7" s="663"/>
      <c r="F7" s="663" t="s">
        <v>234</v>
      </c>
      <c r="G7" s="391" t="s">
        <v>280</v>
      </c>
      <c r="H7" s="391" t="s">
        <v>235</v>
      </c>
      <c r="I7" s="391" t="s">
        <v>302</v>
      </c>
      <c r="J7" s="391" t="s">
        <v>303</v>
      </c>
      <c r="K7" s="391" t="s">
        <v>192</v>
      </c>
      <c r="L7" s="194" t="s">
        <v>209</v>
      </c>
      <c r="M7" s="392" t="s">
        <v>55</v>
      </c>
      <c r="N7" s="393" t="s">
        <v>242</v>
      </c>
      <c r="O7" s="393" t="s">
        <v>240</v>
      </c>
      <c r="Q7" s="319"/>
      <c r="R7" s="319"/>
      <c r="S7" s="755" t="str">
        <f>B5</f>
        <v>Løp 17</v>
      </c>
      <c r="T7" s="754" t="str">
        <f>C5</f>
        <v>Ferista</v>
      </c>
      <c r="U7" s="730"/>
      <c r="V7" s="730"/>
      <c r="W7" s="941"/>
      <c r="X7" s="941"/>
    </row>
    <row r="8" spans="2:29" ht="23" customHeight="1" thickTop="1" thickBot="1" x14ac:dyDescent="0.35">
      <c r="B8" s="22"/>
      <c r="C8" s="394"/>
      <c r="D8" s="395"/>
      <c r="E8" s="597"/>
      <c r="F8" s="668"/>
      <c r="G8" s="668"/>
      <c r="H8" s="664"/>
      <c r="I8" s="789">
        <v>1.9</v>
      </c>
      <c r="J8" s="789">
        <v>2.9</v>
      </c>
      <c r="K8" s="391"/>
      <c r="N8" s="720"/>
      <c r="O8" s="390"/>
      <c r="S8" s="942" t="s">
        <v>312</v>
      </c>
      <c r="T8" s="943"/>
      <c r="U8" s="944"/>
      <c r="V8" s="779"/>
      <c r="W8" s="945" t="s">
        <v>313</v>
      </c>
      <c r="X8" s="940"/>
      <c r="AB8" s="836" t="s">
        <v>361</v>
      </c>
      <c r="AC8" s="827"/>
    </row>
    <row r="9" spans="2:29" ht="21" thickBot="1" x14ac:dyDescent="0.3">
      <c r="B9" s="22"/>
      <c r="C9" s="109"/>
      <c r="D9" s="105"/>
      <c r="E9" s="598"/>
      <c r="F9" s="669"/>
      <c r="G9" s="669"/>
      <c r="H9" s="665"/>
      <c r="I9" s="12"/>
      <c r="J9" s="12"/>
      <c r="K9" s="12"/>
      <c r="N9" s="722"/>
      <c r="O9" s="200"/>
      <c r="Q9" s="110"/>
      <c r="S9" s="731"/>
      <c r="T9" s="727" t="s">
        <v>311</v>
      </c>
      <c r="U9" s="750" t="s">
        <v>55</v>
      </c>
      <c r="V9" s="780"/>
      <c r="W9" s="774"/>
      <c r="X9" s="732" t="s">
        <v>55</v>
      </c>
      <c r="AB9" s="834" t="s">
        <v>234</v>
      </c>
      <c r="AC9" s="835" t="s">
        <v>362</v>
      </c>
    </row>
    <row r="10" spans="2:29" ht="21" thickBot="1" x14ac:dyDescent="0.3">
      <c r="B10" s="16">
        <f t="shared" ref="B10:B41" si="0">B9+1</f>
        <v>1</v>
      </c>
      <c r="C10" s="106" t="s">
        <v>138</v>
      </c>
      <c r="D10" s="107" t="s">
        <v>137</v>
      </c>
      <c r="E10" s="599" t="str">
        <f t="shared" ref="E10:E41" si="1">_xlfn.CONCAT(C10:D10)</f>
        <v>GunnhildOftedal</v>
      </c>
      <c r="F10" s="192">
        <f>YEAR(I$5)-_xlfn.XLOOKUP(E10,Deltakerliste!E$5:E$98,Deltakerliste!I$5:I$98)</f>
        <v>73</v>
      </c>
      <c r="G10" s="192">
        <f>_xlfn.XLOOKUP(E10,Deltakerliste!E$5:E$98,Deltakerliste!H$5:H$98)</f>
        <v>4</v>
      </c>
      <c r="H10" s="592">
        <f>VLOOKUP(F10,Deltakerliste!P$6:T$84,G10,FALSE)</f>
        <v>2.0798000000000014</v>
      </c>
      <c r="I10" s="13"/>
      <c r="J10" s="13">
        <v>2.4259259259259258E-2</v>
      </c>
      <c r="K10" s="13"/>
      <c r="L10" s="600">
        <f t="shared" ref="L10:L44" si="2">IF(OR(I10="Arr",J10="Arr",K10="Arr"),"Arr",IF(OR(I10="Brutt",J10="Brutt",K10="Brutt"),"Brutt",IF(OR(I10="Disk",J10="Disk",K10="Disk"),"Disk",IF(OR(I10="Løype",J10="Løype",K10="Løype"),"Løype",IF(I10&gt;0,I10/I$8,J10/J$8)))))</f>
        <v>8.3652618135376753E-3</v>
      </c>
      <c r="M10" s="594">
        <f>IF(L10="Løype",Poengsammendrag!$F$2,IF(L10="Arr",Poengsammendrag!$F$3,IF(L10="Brutt",50,IF(L10="Disk",50,ROUND(MAXA(100*(MIN(L$10:L$92)/L10),50),0)))))</f>
        <v>76</v>
      </c>
      <c r="N10" s="724">
        <f t="shared" ref="N10:N44" si="3">IF(L10="Arr","Arr",IF(L10="Brutt","Brutt",IF(L10="Disk","Disk",IF(L10="Løype","Løype",L10/H10))))</f>
        <v>4.0221472322038996E-3</v>
      </c>
      <c r="O10" s="596">
        <f>IF(N10="Løype",Poengsammendrag!$F$2,IF(N10="Arr",Poengsammendrag!$F$3,IF(N10="Brutt",50,IF(N10="Disk",50,ROUND(MAXA(100*(MIN(N$10:N$92)/N10),50),0)))))</f>
        <v>100</v>
      </c>
      <c r="Q10" s="672"/>
      <c r="R10" s="672"/>
      <c r="S10" s="802" t="s">
        <v>385</v>
      </c>
      <c r="T10" s="734">
        <v>6.3537675606641121E-3</v>
      </c>
      <c r="U10" s="751">
        <v>100</v>
      </c>
      <c r="V10" s="781"/>
      <c r="W10" s="775" t="s">
        <v>138</v>
      </c>
      <c r="X10" s="739">
        <v>100</v>
      </c>
      <c r="AB10" s="832">
        <v>55</v>
      </c>
      <c r="AC10" s="833">
        <f t="shared" ref="AC10:AC50" si="4">COUNTIFS(F$10:F$96,AB10,M$10:M$96,"&gt;0")</f>
        <v>0</v>
      </c>
    </row>
    <row r="11" spans="2:29" ht="21" customHeight="1" thickBot="1" x14ac:dyDescent="0.3">
      <c r="B11" s="16">
        <f t="shared" si="0"/>
        <v>2</v>
      </c>
      <c r="C11" s="106" t="s">
        <v>88</v>
      </c>
      <c r="D11" s="107" t="s">
        <v>89</v>
      </c>
      <c r="E11" s="599" t="str">
        <f t="shared" si="1"/>
        <v>EdgarFuruholt</v>
      </c>
      <c r="F11" s="192">
        <f>YEAR(I$5)-_xlfn.XLOOKUP(E11,Deltakerliste!E$5:E$98,Deltakerliste!I$5:I$98)</f>
        <v>79</v>
      </c>
      <c r="G11" s="192">
        <f>_xlfn.XLOOKUP(E11,Deltakerliste!E$5:E$98,Deltakerliste!H$5:H$98)</f>
        <v>2</v>
      </c>
      <c r="H11" s="592">
        <f>VLOOKUP(F11,Deltakerliste!P$6:T$84,G11,FALSE)</f>
        <v>1.8050000000000002</v>
      </c>
      <c r="I11" s="18"/>
      <c r="J11" s="132">
        <v>2.2256944444444444E-2</v>
      </c>
      <c r="K11" s="18"/>
      <c r="L11" s="600">
        <f t="shared" si="2"/>
        <v>7.6748084291187743E-3</v>
      </c>
      <c r="M11" s="594">
        <f>IF(L11="Løype",Poengsammendrag!$F$2,IF(L11="Arr",Poengsammendrag!$F$3,IF(L11="Brutt",50,IF(L11="Disk",50,ROUND(MAXA(100*(MIN(L$10:L$92)/L11),50),0)))))</f>
        <v>83</v>
      </c>
      <c r="N11" s="724">
        <f t="shared" si="3"/>
        <v>4.2519714288746669E-3</v>
      </c>
      <c r="O11" s="596">
        <f>IF(N11="Løype",Poengsammendrag!$F$2,IF(N11="Arr",Poengsammendrag!$F$3,IF(N11="Brutt",50,IF(N11="Disk",50,ROUND(MAXA(100*(MIN(N$10:N$92)/N11),50),0)))))</f>
        <v>95</v>
      </c>
      <c r="Q11" s="672"/>
      <c r="R11" s="672"/>
      <c r="S11" s="803" t="s">
        <v>386</v>
      </c>
      <c r="T11" s="736">
        <v>6.553320561941251E-3</v>
      </c>
      <c r="U11" s="752">
        <v>97</v>
      </c>
      <c r="V11" s="781"/>
      <c r="W11" s="776" t="s">
        <v>88</v>
      </c>
      <c r="X11" s="740">
        <v>95</v>
      </c>
      <c r="AB11" s="828">
        <f>AB10+1</f>
        <v>56</v>
      </c>
      <c r="AC11" s="829">
        <f t="shared" si="4"/>
        <v>0</v>
      </c>
    </row>
    <row r="12" spans="2:29" ht="21" customHeight="1" thickBot="1" x14ac:dyDescent="0.3">
      <c r="B12" s="16">
        <f t="shared" si="0"/>
        <v>3</v>
      </c>
      <c r="C12" s="106" t="s">
        <v>126</v>
      </c>
      <c r="D12" s="107" t="s">
        <v>127</v>
      </c>
      <c r="E12" s="599" t="str">
        <f t="shared" si="1"/>
        <v>ArneMikkelsen</v>
      </c>
      <c r="F12" s="192">
        <f>YEAR(I$5)-_xlfn.XLOOKUP(E12,Deltakerliste!E$5:E$98,Deltakerliste!I$5:I$98)</f>
        <v>73</v>
      </c>
      <c r="G12" s="192">
        <f>_xlfn.XLOOKUP(E12,Deltakerliste!E$5:E$98,Deltakerliste!H$5:H$98)</f>
        <v>2</v>
      </c>
      <c r="H12" s="592">
        <f>VLOOKUP(F12,Deltakerliste!P$6:T$84,G12,FALSE)</f>
        <v>1.5329999999999999</v>
      </c>
      <c r="I12" s="13"/>
      <c r="J12" s="13">
        <v>1.9004629629629628E-2</v>
      </c>
      <c r="K12" s="13"/>
      <c r="L12" s="600">
        <f t="shared" si="2"/>
        <v>6.553320561941251E-3</v>
      </c>
      <c r="M12" s="594">
        <f>IF(L12="Løype",Poengsammendrag!$F$2,IF(L12="Arr",Poengsammendrag!$F$3,IF(L12="Brutt",50,IF(L12="Disk",50,ROUND(MAXA(100*(MIN(L$10:L$92)/L12),50),0)))))</f>
        <v>97</v>
      </c>
      <c r="N12" s="724">
        <f t="shared" si="3"/>
        <v>4.2748340260543062E-3</v>
      </c>
      <c r="O12" s="596">
        <f>IF(N12="Løype",Poengsammendrag!$F$2,IF(N12="Arr",Poengsammendrag!$F$3,IF(N12="Brutt",50,IF(N12="Disk",50,ROUND(MAXA(100*(MIN(N$10:N$92)/N12),50),0)))))</f>
        <v>94</v>
      </c>
      <c r="Q12" s="672"/>
      <c r="R12" s="672"/>
      <c r="S12" s="803" t="s">
        <v>134</v>
      </c>
      <c r="T12" s="736">
        <v>7.0003192848020444E-3</v>
      </c>
      <c r="U12" s="752">
        <v>91</v>
      </c>
      <c r="V12" s="781"/>
      <c r="W12" s="776" t="s">
        <v>386</v>
      </c>
      <c r="X12" s="740">
        <v>94</v>
      </c>
      <c r="AB12" s="828">
        <f t="shared" ref="AB12:AB50" si="5">AB11+1</f>
        <v>57</v>
      </c>
      <c r="AC12" s="829">
        <f t="shared" si="4"/>
        <v>0</v>
      </c>
    </row>
    <row r="13" spans="2:29" ht="21" customHeight="1" thickBot="1" x14ac:dyDescent="0.3">
      <c r="B13" s="16">
        <f t="shared" si="0"/>
        <v>4</v>
      </c>
      <c r="C13" s="106" t="s">
        <v>136</v>
      </c>
      <c r="D13" s="107" t="s">
        <v>137</v>
      </c>
      <c r="E13" s="599" t="str">
        <f t="shared" si="1"/>
        <v>HaraldOftedal</v>
      </c>
      <c r="F13" s="192">
        <f>YEAR(I$5)-_xlfn.XLOOKUP(E13,Deltakerliste!E$5:E$98,Deltakerliste!I$5:I$98)</f>
        <v>74</v>
      </c>
      <c r="G13" s="192">
        <f>_xlfn.XLOOKUP(E13,Deltakerliste!E$5:E$98,Deltakerliste!H$5:H$98)</f>
        <v>2</v>
      </c>
      <c r="H13" s="592">
        <f>VLOOKUP(F13,Deltakerliste!P$6:T$84,G13,FALSE)</f>
        <v>1.569</v>
      </c>
      <c r="I13" s="132"/>
      <c r="J13" s="132">
        <v>2.1145833333333332E-2</v>
      </c>
      <c r="K13" s="134"/>
      <c r="L13" s="600">
        <f t="shared" si="2"/>
        <v>7.2916666666666668E-3</v>
      </c>
      <c r="M13" s="594">
        <f>IF(L13="Løype",Poengsammendrag!$F$2,IF(L13="Arr",Poengsammendrag!$F$3,IF(L13="Brutt",50,IF(L13="Disk",50,ROUND(MAXA(100*(MIN(L$10:L$92)/L13),50),0)))))</f>
        <v>87</v>
      </c>
      <c r="N13" s="724">
        <f t="shared" si="3"/>
        <v>4.6473337582324204E-3</v>
      </c>
      <c r="O13" s="596">
        <f>IF(N13="Løype",Poengsammendrag!$F$2,IF(N13="Arr",Poengsammendrag!$F$3,IF(N13="Brutt",50,IF(N13="Disk",50,ROUND(MAXA(100*(MIN(N$10:N$92)/N13),50),0)))))</f>
        <v>87</v>
      </c>
      <c r="Q13" s="672"/>
      <c r="R13" s="672"/>
      <c r="S13" s="803" t="s">
        <v>222</v>
      </c>
      <c r="T13" s="736">
        <v>7.2357918263090673E-3</v>
      </c>
      <c r="U13" s="752">
        <v>88</v>
      </c>
      <c r="V13" s="781"/>
      <c r="W13" s="776" t="s">
        <v>136</v>
      </c>
      <c r="X13" s="740">
        <v>87</v>
      </c>
      <c r="AB13" s="828">
        <f t="shared" si="5"/>
        <v>58</v>
      </c>
      <c r="AC13" s="829">
        <f t="shared" si="4"/>
        <v>0</v>
      </c>
    </row>
    <row r="14" spans="2:29" ht="21" customHeight="1" thickBot="1" x14ac:dyDescent="0.3">
      <c r="B14" s="16">
        <f t="shared" si="0"/>
        <v>5</v>
      </c>
      <c r="C14" s="106" t="s">
        <v>124</v>
      </c>
      <c r="D14" s="107" t="s">
        <v>125</v>
      </c>
      <c r="E14" s="599" t="str">
        <f t="shared" si="1"/>
        <v>Heidi Midttun</v>
      </c>
      <c r="F14" s="192">
        <f>YEAR(I$5)-_xlfn.XLOOKUP(E14,Deltakerliste!E$5:E$98,Deltakerliste!I$5:I$98)</f>
        <v>71</v>
      </c>
      <c r="G14" s="192">
        <f>_xlfn.XLOOKUP(E14,Deltakerliste!E$5:E$98,Deltakerliste!H$5:H$98)</f>
        <v>4</v>
      </c>
      <c r="H14" s="592">
        <f>VLOOKUP(F14,Deltakerliste!P$6:T$84,G14,FALSE)</f>
        <v>1.9926000000000013</v>
      </c>
      <c r="I14" s="13"/>
      <c r="J14" s="13">
        <v>2.8333333333333332E-2</v>
      </c>
      <c r="K14" s="13"/>
      <c r="L14" s="600">
        <f t="shared" si="2"/>
        <v>9.7701149425287355E-3</v>
      </c>
      <c r="M14" s="594">
        <f>IF(L14="Løype",Poengsammendrag!$F$2,IF(L14="Arr",Poengsammendrag!$F$3,IF(L14="Brutt",50,IF(L14="Disk",50,ROUND(MAXA(100*(MIN(L$10:L$92)/L14),50),0)))))</f>
        <v>65</v>
      </c>
      <c r="N14" s="724">
        <f t="shared" si="3"/>
        <v>4.903199308706579E-3</v>
      </c>
      <c r="O14" s="596">
        <f>IF(N14="Løype",Poengsammendrag!$F$2,IF(N14="Arr",Poengsammendrag!$F$3,IF(N14="Brutt",50,IF(N14="Disk",50,ROUND(MAXA(100*(MIN(N$10:N$92)/N14),50),0)))))</f>
        <v>82</v>
      </c>
      <c r="Q14" s="672"/>
      <c r="R14" s="672"/>
      <c r="S14" s="803" t="s">
        <v>136</v>
      </c>
      <c r="T14" s="736">
        <v>7.2916666666666668E-3</v>
      </c>
      <c r="U14" s="752">
        <v>87</v>
      </c>
      <c r="V14" s="781"/>
      <c r="W14" s="776" t="s">
        <v>124</v>
      </c>
      <c r="X14" s="740">
        <v>82</v>
      </c>
      <c r="AB14" s="828">
        <f t="shared" si="5"/>
        <v>59</v>
      </c>
      <c r="AC14" s="829">
        <f t="shared" si="4"/>
        <v>0</v>
      </c>
    </row>
    <row r="15" spans="2:29" ht="21" customHeight="1" thickBot="1" x14ac:dyDescent="0.3">
      <c r="B15" s="16">
        <f t="shared" si="0"/>
        <v>6</v>
      </c>
      <c r="C15" s="106" t="s">
        <v>134</v>
      </c>
      <c r="D15" s="107" t="s">
        <v>135</v>
      </c>
      <c r="E15" s="599" t="str">
        <f t="shared" si="1"/>
        <v>IngeNørstebø</v>
      </c>
      <c r="F15" s="192">
        <f>YEAR(I$5)-_xlfn.XLOOKUP(E15,Deltakerliste!E$5:E$98,Deltakerliste!I$5:I$98)</f>
        <v>70</v>
      </c>
      <c r="G15" s="192">
        <f>_xlfn.XLOOKUP(E15,Deltakerliste!E$5:E$98,Deltakerliste!H$5:H$98)</f>
        <v>2</v>
      </c>
      <c r="H15" s="592">
        <f>VLOOKUP(F15,Deltakerliste!P$6:T$84,G15,FALSE)</f>
        <v>1.4249999999999998</v>
      </c>
      <c r="I15" s="13"/>
      <c r="J15" s="13">
        <v>2.0300925925925927E-2</v>
      </c>
      <c r="K15" s="13"/>
      <c r="L15" s="600">
        <f t="shared" si="2"/>
        <v>7.0003192848020444E-3</v>
      </c>
      <c r="M15" s="594">
        <f>IF(L15="Løype",Poengsammendrag!$F$2,IF(L15="Arr",Poengsammendrag!$F$3,IF(L15="Brutt",50,IF(L15="Disk",50,ROUND(MAXA(100*(MIN(L$10:L$92)/L15),50),0)))))</f>
        <v>91</v>
      </c>
      <c r="N15" s="724">
        <f t="shared" si="3"/>
        <v>4.9125047612645929E-3</v>
      </c>
      <c r="O15" s="596">
        <f>IF(N15="Løype",Poengsammendrag!$F$2,IF(N15="Arr",Poengsammendrag!$F$3,IF(N15="Brutt",50,IF(N15="Disk",50,ROUND(MAXA(100*(MIN(N$10:N$92)/N15),50),0)))))</f>
        <v>82</v>
      </c>
      <c r="Q15" s="672"/>
      <c r="R15" s="672"/>
      <c r="S15" s="803" t="s">
        <v>88</v>
      </c>
      <c r="T15" s="736">
        <v>7.6748084291187743E-3</v>
      </c>
      <c r="U15" s="752">
        <v>83</v>
      </c>
      <c r="V15" s="781"/>
      <c r="W15" s="776" t="s">
        <v>134</v>
      </c>
      <c r="X15" s="740">
        <v>82</v>
      </c>
      <c r="AB15" s="828">
        <f t="shared" si="5"/>
        <v>60</v>
      </c>
      <c r="AC15" s="829">
        <f t="shared" si="4"/>
        <v>0</v>
      </c>
    </row>
    <row r="16" spans="2:29" ht="21" customHeight="1" thickBot="1" x14ac:dyDescent="0.3">
      <c r="B16" s="16">
        <f t="shared" si="0"/>
        <v>7</v>
      </c>
      <c r="C16" s="106" t="s">
        <v>222</v>
      </c>
      <c r="D16" s="107" t="s">
        <v>221</v>
      </c>
      <c r="E16" s="599" t="str">
        <f t="shared" si="1"/>
        <v>Kjell Maroni</v>
      </c>
      <c r="F16" s="192">
        <f>YEAR(I$5)-_xlfn.XLOOKUP(E16,Deltakerliste!E$5:E$98,Deltakerliste!I$5:I$98)</f>
        <v>70</v>
      </c>
      <c r="G16" s="192">
        <f>_xlfn.XLOOKUP(E16,Deltakerliste!E$5:E$98,Deltakerliste!H$5:H$98)</f>
        <v>2</v>
      </c>
      <c r="H16" s="592">
        <f>VLOOKUP(F16,Deltakerliste!P$6:T$84,G16,FALSE)</f>
        <v>1.4249999999999998</v>
      </c>
      <c r="I16" s="13"/>
      <c r="J16" s="13">
        <v>2.0983796296296296E-2</v>
      </c>
      <c r="K16" s="13"/>
      <c r="L16" s="600">
        <f t="shared" si="2"/>
        <v>7.2357918263090673E-3</v>
      </c>
      <c r="M16" s="594">
        <f>IF(L16="Løype",Poengsammendrag!$F$2,IF(L16="Arr",Poengsammendrag!$F$3,IF(L16="Brutt",50,IF(L16="Disk",50,ROUND(MAXA(100*(MIN(L$10:L$92)/L16),50),0)))))</f>
        <v>88</v>
      </c>
      <c r="N16" s="724">
        <f t="shared" si="3"/>
        <v>5.0777486500414512E-3</v>
      </c>
      <c r="O16" s="596">
        <f>IF(N16="Løype",Poengsammendrag!$F$2,IF(N16="Arr",Poengsammendrag!$F$3,IF(N16="Brutt",50,IF(N16="Disk",50,ROUND(MAXA(100*(MIN(N$10:N$92)/N16),50),0)))))</f>
        <v>79</v>
      </c>
      <c r="Q16" s="672"/>
      <c r="R16" s="672"/>
      <c r="S16" s="803" t="s">
        <v>138</v>
      </c>
      <c r="T16" s="736">
        <v>8.3652618135376753E-3</v>
      </c>
      <c r="U16" s="752">
        <v>76</v>
      </c>
      <c r="V16" s="781"/>
      <c r="W16" s="776" t="s">
        <v>222</v>
      </c>
      <c r="X16" s="740">
        <v>79</v>
      </c>
      <c r="AB16" s="828">
        <f t="shared" si="5"/>
        <v>61</v>
      </c>
      <c r="AC16" s="829">
        <f t="shared" si="4"/>
        <v>1</v>
      </c>
    </row>
    <row r="17" spans="2:29" ht="21" customHeight="1" thickBot="1" x14ac:dyDescent="0.3">
      <c r="B17" s="16">
        <f t="shared" si="0"/>
        <v>8</v>
      </c>
      <c r="C17" s="106" t="s">
        <v>126</v>
      </c>
      <c r="D17" s="107" t="s">
        <v>383</v>
      </c>
      <c r="E17" s="599" t="str">
        <f t="shared" si="1"/>
        <v>ArneHelland</v>
      </c>
      <c r="F17" s="192">
        <f>YEAR(I$5)-_xlfn.XLOOKUP(E17,Deltakerliste!E$5:E$98,Deltakerliste!I$5:I$98)</f>
        <v>61</v>
      </c>
      <c r="G17" s="192">
        <f>_xlfn.XLOOKUP(E17,Deltakerliste!E$5:E$98,Deltakerliste!H$5:H$98)</f>
        <v>2</v>
      </c>
      <c r="H17" s="592">
        <f>VLOOKUP(F17,Deltakerliste!P$6:T$84,G17,FALSE)</f>
        <v>1.2190000000000001</v>
      </c>
      <c r="I17" s="86"/>
      <c r="J17" s="86">
        <v>1.8425925925925925E-2</v>
      </c>
      <c r="K17" s="17"/>
      <c r="L17" s="600">
        <f t="shared" si="2"/>
        <v>6.3537675606641121E-3</v>
      </c>
      <c r="M17" s="594">
        <f>IF(L17="Løype",Poengsammendrag!$F$2,IF(L17="Arr",Poengsammendrag!$F$3,IF(L17="Brutt",50,IF(L17="Disk",50,ROUND(MAXA(100*(MIN(L$10:L$92)/L17),50),0)))))</f>
        <v>100</v>
      </c>
      <c r="N17" s="724">
        <f t="shared" si="3"/>
        <v>5.2122785567384018E-3</v>
      </c>
      <c r="O17" s="596">
        <f>IF(N17="Løype",Poengsammendrag!$F$2,IF(N17="Arr",Poengsammendrag!$F$3,IF(N17="Brutt",50,IF(N17="Disk",50,ROUND(MAXA(100*(MIN(N$10:N$92)/N17),50),0)))))</f>
        <v>77</v>
      </c>
      <c r="Q17" s="672"/>
      <c r="R17" s="672"/>
      <c r="S17" s="803" t="s">
        <v>101</v>
      </c>
      <c r="T17" s="736">
        <v>8.4131545338441884E-3</v>
      </c>
      <c r="U17" s="752">
        <v>76</v>
      </c>
      <c r="V17" s="781"/>
      <c r="W17" s="776" t="s">
        <v>385</v>
      </c>
      <c r="X17" s="740">
        <v>77</v>
      </c>
      <c r="AB17" s="828">
        <f t="shared" si="5"/>
        <v>62</v>
      </c>
      <c r="AC17" s="829">
        <f t="shared" si="4"/>
        <v>0</v>
      </c>
    </row>
    <row r="18" spans="2:29" ht="21" customHeight="1" thickBot="1" x14ac:dyDescent="0.3">
      <c r="B18" s="16">
        <f t="shared" si="0"/>
        <v>9</v>
      </c>
      <c r="C18" s="106" t="s">
        <v>96</v>
      </c>
      <c r="D18" s="107" t="s">
        <v>97</v>
      </c>
      <c r="E18" s="599" t="str">
        <f t="shared" si="1"/>
        <v>StigHaugskott</v>
      </c>
      <c r="F18" s="192">
        <f>YEAR(I$5)-_xlfn.XLOOKUP(E18,Deltakerliste!E$5:E$98,Deltakerliste!I$5:I$98)</f>
        <v>87</v>
      </c>
      <c r="G18" s="192">
        <f>_xlfn.XLOOKUP(E18,Deltakerliste!E$5:E$98,Deltakerliste!H$5:H$98)</f>
        <v>2</v>
      </c>
      <c r="H18" s="592">
        <f>VLOOKUP(F18,Deltakerliste!P$6:T$84,G18,FALSE)</f>
        <v>2.3929999999999998</v>
      </c>
      <c r="I18" s="86">
        <v>2.4120370370370372E-2</v>
      </c>
      <c r="J18" s="86"/>
      <c r="K18" s="86"/>
      <c r="L18" s="600">
        <f t="shared" si="2"/>
        <v>1.2694931773879144E-2</v>
      </c>
      <c r="M18" s="594">
        <f>IF(L18="Løype",Poengsammendrag!$F$2,IF(L18="Arr",Poengsammendrag!$F$3,IF(L18="Brutt",50,IF(L18="Disk",50,ROUND(MAXA(100*(MIN(L$10:L$92)/L18),50),0)))))</f>
        <v>50</v>
      </c>
      <c r="N18" s="724">
        <f t="shared" si="3"/>
        <v>5.3050279038358321E-3</v>
      </c>
      <c r="O18" s="596">
        <f>IF(N18="Løype",Poengsammendrag!$F$2,IF(N18="Arr",Poengsammendrag!$F$3,IF(N18="Brutt",50,IF(N18="Disk",50,ROUND(MAXA(100*(MIN(N$10:N$92)/N18),50),0)))))</f>
        <v>76</v>
      </c>
      <c r="Q18" s="672"/>
      <c r="R18" s="672"/>
      <c r="S18" s="803" t="s">
        <v>346</v>
      </c>
      <c r="T18" s="736">
        <v>8.4650383141762452E-3</v>
      </c>
      <c r="U18" s="752">
        <v>75</v>
      </c>
      <c r="V18" s="781"/>
      <c r="W18" s="776" t="s">
        <v>96</v>
      </c>
      <c r="X18" s="740">
        <v>76</v>
      </c>
      <c r="AB18" s="828">
        <f t="shared" si="5"/>
        <v>63</v>
      </c>
      <c r="AC18" s="829">
        <f t="shared" si="4"/>
        <v>0</v>
      </c>
    </row>
    <row r="19" spans="2:29" ht="21" thickBot="1" x14ac:dyDescent="0.3">
      <c r="B19" s="16">
        <f t="shared" si="0"/>
        <v>10</v>
      </c>
      <c r="C19" s="106" t="s">
        <v>114</v>
      </c>
      <c r="D19" s="107" t="s">
        <v>115</v>
      </c>
      <c r="E19" s="599" t="str">
        <f t="shared" si="1"/>
        <v>MagnusLandstad</v>
      </c>
      <c r="F19" s="192">
        <f>YEAR(I$5)-_xlfn.XLOOKUP(E19,Deltakerliste!E$5:E$98,Deltakerliste!I$5:I$98)</f>
        <v>83</v>
      </c>
      <c r="G19" s="192">
        <f>_xlfn.XLOOKUP(E19,Deltakerliste!E$5:E$98,Deltakerliste!H$5:H$98)</f>
        <v>2</v>
      </c>
      <c r="H19" s="592">
        <f>VLOOKUP(F19,Deltakerliste!P$6:T$84,G19,FALSE)</f>
        <v>2.077</v>
      </c>
      <c r="I19" s="86"/>
      <c r="J19" s="86">
        <v>3.2708333333333332E-2</v>
      </c>
      <c r="K19" s="13"/>
      <c r="L19" s="600">
        <f t="shared" si="2"/>
        <v>1.1278735632183907E-2</v>
      </c>
      <c r="M19" s="594">
        <f>IF(L19="Løype",Poengsammendrag!$F$2,IF(L19="Arr",Poengsammendrag!$F$3,IF(L19="Brutt",50,IF(L19="Disk",50,ROUND(MAXA(100*(MIN(L$10:L$92)/L19),50),0)))))</f>
        <v>56</v>
      </c>
      <c r="N19" s="724">
        <f t="shared" si="3"/>
        <v>5.4303012191545055E-3</v>
      </c>
      <c r="O19" s="596">
        <f>IF(N19="Løype",Poengsammendrag!$F$2,IF(N19="Arr",Poengsammendrag!$F$3,IF(N19="Brutt",50,IF(N19="Disk",50,ROUND(MAXA(100*(MIN(N$10:N$92)/N19),50),0)))))</f>
        <v>74</v>
      </c>
      <c r="Q19" s="672"/>
      <c r="R19" s="672"/>
      <c r="S19" s="803" t="s">
        <v>163</v>
      </c>
      <c r="T19" s="736">
        <v>8.5528416347381859E-3</v>
      </c>
      <c r="U19" s="752">
        <v>74</v>
      </c>
      <c r="V19" s="781"/>
      <c r="W19" s="776" t="s">
        <v>114</v>
      </c>
      <c r="X19" s="740">
        <v>74</v>
      </c>
      <c r="AB19" s="828">
        <f t="shared" si="5"/>
        <v>64</v>
      </c>
      <c r="AC19" s="829">
        <f t="shared" si="4"/>
        <v>0</v>
      </c>
    </row>
    <row r="20" spans="2:29" ht="21" thickBot="1" x14ac:dyDescent="0.3">
      <c r="B20" s="16">
        <f t="shared" si="0"/>
        <v>11</v>
      </c>
      <c r="C20" s="106" t="s">
        <v>78</v>
      </c>
      <c r="D20" s="107" t="s">
        <v>79</v>
      </c>
      <c r="E20" s="599" t="str">
        <f t="shared" si="1"/>
        <v>LeifEngen</v>
      </c>
      <c r="F20" s="192">
        <f>YEAR(I$5)-_xlfn.XLOOKUP(E20,Deltakerliste!E$5:E$98,Deltakerliste!I$5:I$98)</f>
        <v>85</v>
      </c>
      <c r="G20" s="192">
        <f>_xlfn.XLOOKUP(E20,Deltakerliste!E$5:E$98,Deltakerliste!H$5:H$98)</f>
        <v>2</v>
      </c>
      <c r="H20" s="592">
        <f>VLOOKUP(F20,Deltakerliste!P$6:T$84,G20,FALSE)</f>
        <v>2.2249999999999996</v>
      </c>
      <c r="I20" s="86">
        <v>2.2974537037037036E-2</v>
      </c>
      <c r="J20" s="86"/>
      <c r="K20" s="13"/>
      <c r="L20" s="600">
        <f t="shared" si="2"/>
        <v>1.2091861598440546E-2</v>
      </c>
      <c r="M20" s="594">
        <f>IF(L20="Løype",Poengsammendrag!$F$2,IF(L20="Arr",Poengsammendrag!$F$3,IF(L20="Brutt",50,IF(L20="Disk",50,ROUND(MAXA(100*(MIN(L$10:L$92)/L20),50),0)))))</f>
        <v>53</v>
      </c>
      <c r="N20" s="724">
        <f t="shared" si="3"/>
        <v>5.4345445386249653E-3</v>
      </c>
      <c r="O20" s="596">
        <f>IF(N20="Løype",Poengsammendrag!$F$2,IF(N20="Arr",Poengsammendrag!$F$3,IF(N20="Brutt",50,IF(N20="Disk",50,ROUND(MAXA(100*(MIN(N$10:N$92)/N20),50),0)))))</f>
        <v>74</v>
      </c>
      <c r="Q20" s="672"/>
      <c r="R20" s="672"/>
      <c r="S20" s="803" t="s">
        <v>68</v>
      </c>
      <c r="T20" s="736">
        <v>8.8282247765006389E-3</v>
      </c>
      <c r="U20" s="752">
        <v>72</v>
      </c>
      <c r="V20" s="781"/>
      <c r="W20" s="776" t="s">
        <v>338</v>
      </c>
      <c r="X20" s="740">
        <v>74</v>
      </c>
      <c r="AB20" s="828">
        <f t="shared" si="5"/>
        <v>65</v>
      </c>
      <c r="AC20" s="829">
        <f t="shared" si="4"/>
        <v>0</v>
      </c>
    </row>
    <row r="21" spans="2:29" ht="21" customHeight="1" thickBot="1" x14ac:dyDescent="0.3">
      <c r="B21" s="16">
        <f t="shared" si="0"/>
        <v>12</v>
      </c>
      <c r="C21" s="106" t="s">
        <v>163</v>
      </c>
      <c r="D21" s="107" t="s">
        <v>164</v>
      </c>
      <c r="E21" s="599" t="str">
        <f t="shared" si="1"/>
        <v>ArnulfVilmo</v>
      </c>
      <c r="F21" s="192">
        <f>YEAR(I$5)-_xlfn.XLOOKUP(E21,Deltakerliste!E$5:E$98,Deltakerliste!I$5:I$98)</f>
        <v>73</v>
      </c>
      <c r="G21" s="192">
        <f>_xlfn.XLOOKUP(E21,Deltakerliste!E$5:E$98,Deltakerliste!H$5:H$98)</f>
        <v>2</v>
      </c>
      <c r="H21" s="592">
        <f>VLOOKUP(F21,Deltakerliste!P$6:T$84,G21,FALSE)</f>
        <v>1.5329999999999999</v>
      </c>
      <c r="I21" s="18"/>
      <c r="J21" s="132">
        <v>2.480324074074074E-2</v>
      </c>
      <c r="K21" s="18"/>
      <c r="L21" s="600">
        <f t="shared" si="2"/>
        <v>8.5528416347381859E-3</v>
      </c>
      <c r="M21" s="594">
        <f>IF(L21="Løype",Poengsammendrag!$F$2,IF(L21="Arr",Poengsammendrag!$F$3,IF(L21="Brutt",50,IF(L21="Disk",50,ROUND(MAXA(100*(MIN(L$10:L$92)/L21),50),0)))))</f>
        <v>74</v>
      </c>
      <c r="N21" s="724">
        <f t="shared" si="3"/>
        <v>5.5791530559283669E-3</v>
      </c>
      <c r="O21" s="596">
        <f>IF(N21="Løype",Poengsammendrag!$F$2,IF(N21="Arr",Poengsammendrag!$F$3,IF(N21="Brutt",50,IF(N21="Disk",50,ROUND(MAXA(100*(MIN(N$10:N$92)/N21),50),0)))))</f>
        <v>72</v>
      </c>
      <c r="Q21" s="672"/>
      <c r="R21" s="672"/>
      <c r="S21" s="803" t="s">
        <v>110</v>
      </c>
      <c r="T21" s="736">
        <v>8.9439655172413798E-3</v>
      </c>
      <c r="U21" s="752">
        <v>71</v>
      </c>
      <c r="V21" s="781"/>
      <c r="W21" s="776" t="s">
        <v>163</v>
      </c>
      <c r="X21" s="740">
        <v>72</v>
      </c>
      <c r="AB21" s="828">
        <f t="shared" si="5"/>
        <v>66</v>
      </c>
      <c r="AC21" s="829">
        <f t="shared" si="4"/>
        <v>1</v>
      </c>
    </row>
    <row r="22" spans="2:29" ht="21" customHeight="1" thickBot="1" x14ac:dyDescent="0.3">
      <c r="B22" s="16">
        <f t="shared" si="0"/>
        <v>13</v>
      </c>
      <c r="C22" s="106" t="s">
        <v>101</v>
      </c>
      <c r="D22" s="107" t="s">
        <v>102</v>
      </c>
      <c r="E22" s="599" t="str">
        <f t="shared" si="1"/>
        <v>EvenHofstad</v>
      </c>
      <c r="F22" s="192">
        <f>YEAR(I$5)-_xlfn.XLOOKUP(E22,Deltakerliste!E$5:E$98,Deltakerliste!I$5:I$98)</f>
        <v>72</v>
      </c>
      <c r="G22" s="192">
        <f>_xlfn.XLOOKUP(E22,Deltakerliste!E$5:E$98,Deltakerliste!H$5:H$98)</f>
        <v>2</v>
      </c>
      <c r="H22" s="592">
        <f>VLOOKUP(F22,Deltakerliste!P$6:T$84,G22,FALSE)</f>
        <v>1.4969999999999999</v>
      </c>
      <c r="I22" s="86"/>
      <c r="J22" s="86">
        <v>2.4398148148148148E-2</v>
      </c>
      <c r="K22" s="13"/>
      <c r="L22" s="600">
        <f t="shared" si="2"/>
        <v>8.4131545338441884E-3</v>
      </c>
      <c r="M22" s="594">
        <f>IF(L22="Løype",Poengsammendrag!$F$2,IF(L22="Arr",Poengsammendrag!$F$3,IF(L22="Brutt",50,IF(L22="Disk",50,ROUND(MAXA(100*(MIN(L$10:L$92)/L22),50),0)))))</f>
        <v>76</v>
      </c>
      <c r="N22" s="724">
        <f t="shared" si="3"/>
        <v>5.6200097086467529E-3</v>
      </c>
      <c r="O22" s="596">
        <f>IF(N22="Løype",Poengsammendrag!$F$2,IF(N22="Arr",Poengsammendrag!$F$3,IF(N22="Brutt",50,IF(N22="Disk",50,ROUND(MAXA(100*(MIN(N$10:N$92)/N22),50),0)))))</f>
        <v>72</v>
      </c>
      <c r="Q22" s="672"/>
      <c r="R22" s="672"/>
      <c r="S22" s="803" t="s">
        <v>120</v>
      </c>
      <c r="T22" s="736">
        <v>9.3871832358674474E-3</v>
      </c>
      <c r="U22" s="752">
        <v>68</v>
      </c>
      <c r="V22" s="781"/>
      <c r="W22" s="776" t="s">
        <v>101</v>
      </c>
      <c r="X22" s="740">
        <v>72</v>
      </c>
      <c r="AB22" s="828">
        <f t="shared" si="5"/>
        <v>67</v>
      </c>
      <c r="AC22" s="829">
        <f t="shared" si="4"/>
        <v>1</v>
      </c>
    </row>
    <row r="23" spans="2:29" ht="21" customHeight="1" thickBot="1" x14ac:dyDescent="0.3">
      <c r="B23" s="16">
        <f t="shared" si="0"/>
        <v>14</v>
      </c>
      <c r="C23" s="106" t="s">
        <v>68</v>
      </c>
      <c r="D23" s="107" t="s">
        <v>69</v>
      </c>
      <c r="E23" s="599" t="str">
        <f t="shared" si="1"/>
        <v>JanBøhle</v>
      </c>
      <c r="F23" s="192">
        <f>YEAR(I$5)-_xlfn.XLOOKUP(E23,Deltakerliste!E$5:E$98,Deltakerliste!I$5:I$98)</f>
        <v>74</v>
      </c>
      <c r="G23" s="192">
        <f>_xlfn.XLOOKUP(E23,Deltakerliste!E$5:E$98,Deltakerliste!H$5:H$98)</f>
        <v>2</v>
      </c>
      <c r="H23" s="592">
        <f>VLOOKUP(F23,Deltakerliste!P$6:T$84,G23,FALSE)</f>
        <v>1.569</v>
      </c>
      <c r="I23" s="86"/>
      <c r="J23" s="86">
        <v>2.5601851851851851E-2</v>
      </c>
      <c r="K23" s="13"/>
      <c r="L23" s="600">
        <f t="shared" si="2"/>
        <v>8.8282247765006389E-3</v>
      </c>
      <c r="M23" s="594">
        <f>IF(L23="Løype",Poengsammendrag!$F$2,IF(L23="Arr",Poengsammendrag!$F$3,IF(L23="Brutt",50,IF(L23="Disk",50,ROUND(MAXA(100*(MIN(L$10:L$92)/L23),50),0)))))</f>
        <v>72</v>
      </c>
      <c r="N23" s="724">
        <f t="shared" si="3"/>
        <v>5.6266569639902096E-3</v>
      </c>
      <c r="O23" s="596">
        <f>IF(N23="Løype",Poengsammendrag!$F$2,IF(N23="Arr",Poengsammendrag!$F$3,IF(N23="Brutt",50,IF(N23="Disk",50,ROUND(MAXA(100*(MIN(N$10:N$92)/N23),50),0)))))</f>
        <v>71</v>
      </c>
      <c r="Q23" s="672"/>
      <c r="R23" s="672"/>
      <c r="S23" s="803" t="s">
        <v>168</v>
      </c>
      <c r="T23" s="736">
        <v>9.4663742690058485E-3</v>
      </c>
      <c r="U23" s="752">
        <v>67</v>
      </c>
      <c r="V23" s="781"/>
      <c r="W23" s="776" t="s">
        <v>68</v>
      </c>
      <c r="X23" s="740">
        <v>71</v>
      </c>
      <c r="AB23" s="828">
        <f t="shared" si="5"/>
        <v>68</v>
      </c>
      <c r="AC23" s="829">
        <f t="shared" si="4"/>
        <v>0</v>
      </c>
    </row>
    <row r="24" spans="2:29" ht="21" thickBot="1" x14ac:dyDescent="0.3">
      <c r="B24" s="16">
        <f t="shared" si="0"/>
        <v>15</v>
      </c>
      <c r="C24" s="106" t="s">
        <v>159</v>
      </c>
      <c r="D24" s="107" t="s">
        <v>160</v>
      </c>
      <c r="E24" s="599" t="str">
        <f t="shared" si="1"/>
        <v>EigilSørli</v>
      </c>
      <c r="F24" s="192">
        <f>YEAR(I$5)-_xlfn.XLOOKUP(E24,Deltakerliste!E$5:E$98,Deltakerliste!I$5:I$98)</f>
        <v>86</v>
      </c>
      <c r="G24" s="192">
        <f>_xlfn.XLOOKUP(E24,Deltakerliste!E$5:E$98,Deltakerliste!H$5:H$98)</f>
        <v>2</v>
      </c>
      <c r="H24" s="592">
        <f>VLOOKUP(F24,Deltakerliste!P$6:T$84,G24,FALSE)</f>
        <v>2.3089999999999997</v>
      </c>
      <c r="I24" s="132">
        <v>2.4861111111111112E-2</v>
      </c>
      <c r="J24" s="18"/>
      <c r="K24" s="18"/>
      <c r="L24" s="600">
        <f t="shared" si="2"/>
        <v>1.3084795321637428E-2</v>
      </c>
      <c r="M24" s="594">
        <f>IF(L24="Løype",Poengsammendrag!$F$2,IF(L24="Arr",Poengsammendrag!$F$3,IF(L24="Brutt",50,IF(L24="Disk",50,ROUND(MAXA(100*(MIN(L$10:L$92)/L24),50),0)))))</f>
        <v>50</v>
      </c>
      <c r="N24" s="724">
        <f t="shared" si="3"/>
        <v>5.6668667482188953E-3</v>
      </c>
      <c r="O24" s="596">
        <f>IF(N24="Løype",Poengsammendrag!$F$2,IF(N24="Arr",Poengsammendrag!$F$3,IF(N24="Brutt",50,IF(N24="Disk",50,ROUND(MAXA(100*(MIN(N$10:N$92)/N24),50),0)))))</f>
        <v>71</v>
      </c>
      <c r="Q24" s="672"/>
      <c r="R24" s="672"/>
      <c r="S24" s="803" t="s">
        <v>124</v>
      </c>
      <c r="T24" s="736">
        <v>9.7701149425287355E-3</v>
      </c>
      <c r="U24" s="752">
        <v>65</v>
      </c>
      <c r="V24" s="781"/>
      <c r="W24" s="776" t="s">
        <v>357</v>
      </c>
      <c r="X24" s="740">
        <v>71</v>
      </c>
      <c r="AB24" s="828">
        <f t="shared" si="5"/>
        <v>69</v>
      </c>
      <c r="AC24" s="829">
        <f t="shared" si="4"/>
        <v>0</v>
      </c>
    </row>
    <row r="25" spans="2:29" ht="21" thickBot="1" x14ac:dyDescent="0.3">
      <c r="B25" s="16">
        <f t="shared" si="0"/>
        <v>16</v>
      </c>
      <c r="C25" s="106" t="s">
        <v>168</v>
      </c>
      <c r="D25" s="107" t="s">
        <v>169</v>
      </c>
      <c r="E25" s="599" t="str">
        <f t="shared" si="1"/>
        <v>SteinØvstedal</v>
      </c>
      <c r="F25" s="192">
        <f>YEAR(I$5)-_xlfn.XLOOKUP(E25,Deltakerliste!E$5:E$98,Deltakerliste!I$5:I$98)</f>
        <v>75</v>
      </c>
      <c r="G25" s="192">
        <f>_xlfn.XLOOKUP(E25,Deltakerliste!E$5:E$98,Deltakerliste!H$5:H$98)</f>
        <v>2</v>
      </c>
      <c r="H25" s="592">
        <f>VLOOKUP(F25,Deltakerliste!P$6:T$84,G25,FALSE)</f>
        <v>1.605</v>
      </c>
      <c r="I25" s="132">
        <v>1.7986111111111112E-2</v>
      </c>
      <c r="J25" s="132"/>
      <c r="K25" s="18"/>
      <c r="L25" s="600">
        <f t="shared" si="2"/>
        <v>9.4663742690058485E-3</v>
      </c>
      <c r="M25" s="594">
        <f>IF(L25="Løype",Poengsammendrag!$F$2,IF(L25="Arr",Poengsammendrag!$F$3,IF(L25="Brutt",50,IF(L25="Disk",50,ROUND(MAXA(100*(MIN(L$10:L$92)/L25),50),0)))))</f>
        <v>67</v>
      </c>
      <c r="N25" s="724">
        <f t="shared" si="3"/>
        <v>5.8980525040534882E-3</v>
      </c>
      <c r="O25" s="596">
        <f>IF(N25="Løype",Poengsammendrag!$F$2,IF(N25="Arr",Poengsammendrag!$F$3,IF(N25="Brutt",50,IF(N25="Disk",50,ROUND(MAXA(100*(MIN(N$10:N$92)/N25),50),0)))))</f>
        <v>68</v>
      </c>
      <c r="Q25" s="672"/>
      <c r="R25" s="672"/>
      <c r="S25" s="803" t="s">
        <v>94</v>
      </c>
      <c r="T25" s="736">
        <v>1.0410575048732943E-2</v>
      </c>
      <c r="U25" s="752">
        <v>61</v>
      </c>
      <c r="V25" s="781"/>
      <c r="W25" s="776" t="s">
        <v>168</v>
      </c>
      <c r="X25" s="740">
        <v>68</v>
      </c>
      <c r="AB25" s="828">
        <f t="shared" si="5"/>
        <v>70</v>
      </c>
      <c r="AC25" s="829">
        <f t="shared" si="4"/>
        <v>2</v>
      </c>
    </row>
    <row r="26" spans="2:29" ht="21" customHeight="1" thickBot="1" x14ac:dyDescent="0.3">
      <c r="B26" s="16">
        <f t="shared" si="0"/>
        <v>17</v>
      </c>
      <c r="C26" s="106" t="s">
        <v>94</v>
      </c>
      <c r="D26" s="107" t="s">
        <v>95</v>
      </c>
      <c r="E26" s="599" t="str">
        <f t="shared" si="1"/>
        <v>TerjeHanssen</v>
      </c>
      <c r="F26" s="192">
        <f>YEAR(I$5)-_xlfn.XLOOKUP(E26,Deltakerliste!E$5:E$98,Deltakerliste!I$5:I$98)</f>
        <v>78</v>
      </c>
      <c r="G26" s="192">
        <f>_xlfn.XLOOKUP(E26,Deltakerliste!E$5:E$98,Deltakerliste!H$5:H$98)</f>
        <v>2</v>
      </c>
      <c r="H26" s="592">
        <f>VLOOKUP(F26,Deltakerliste!P$6:T$84,G26,FALSE)</f>
        <v>1.7550000000000001</v>
      </c>
      <c r="I26" s="86">
        <v>1.9780092592592592E-2</v>
      </c>
      <c r="J26" s="86"/>
      <c r="K26" s="17"/>
      <c r="L26" s="600">
        <f t="shared" si="2"/>
        <v>1.0410575048732943E-2</v>
      </c>
      <c r="M26" s="594">
        <f>IF(L26="Løype",Poengsammendrag!$F$2,IF(L26="Arr",Poengsammendrag!$F$3,IF(L26="Brutt",50,IF(L26="Disk",50,ROUND(MAXA(100*(MIN(L$10:L$92)/L26),50),0)))))</f>
        <v>61</v>
      </c>
      <c r="N26" s="724">
        <f t="shared" si="3"/>
        <v>5.9319515947196255E-3</v>
      </c>
      <c r="O26" s="596">
        <f>IF(N26="Løype",Poengsammendrag!$F$2,IF(N26="Arr",Poengsammendrag!$F$3,IF(N26="Brutt",50,IF(N26="Disk",50,ROUND(MAXA(100*(MIN(N$10:N$92)/N26),50),0)))))</f>
        <v>68</v>
      </c>
      <c r="Q26" s="672"/>
      <c r="R26" s="672"/>
      <c r="S26" s="803" t="s">
        <v>350</v>
      </c>
      <c r="T26" s="736">
        <v>1.0472541507024266E-2</v>
      </c>
      <c r="U26" s="752">
        <v>61</v>
      </c>
      <c r="V26" s="781"/>
      <c r="W26" s="776" t="s">
        <v>94</v>
      </c>
      <c r="X26" s="740">
        <v>68</v>
      </c>
      <c r="AB26" s="828">
        <f t="shared" si="5"/>
        <v>71</v>
      </c>
      <c r="AC26" s="829">
        <f t="shared" si="4"/>
        <v>2</v>
      </c>
    </row>
    <row r="27" spans="2:29" ht="21" thickBot="1" x14ac:dyDescent="0.3">
      <c r="B27" s="16">
        <f t="shared" si="0"/>
        <v>18</v>
      </c>
      <c r="C27" s="106" t="s">
        <v>110</v>
      </c>
      <c r="D27" s="107" t="s">
        <v>111</v>
      </c>
      <c r="E27" s="599" t="str">
        <f t="shared" si="1"/>
        <v>Jan ErikKofoed</v>
      </c>
      <c r="F27" s="192">
        <f>YEAR(I$5)-_xlfn.XLOOKUP(E27,Deltakerliste!E$5:E$98,Deltakerliste!I$5:I$98)</f>
        <v>72</v>
      </c>
      <c r="G27" s="192">
        <f>_xlfn.XLOOKUP(E27,Deltakerliste!E$5:E$98,Deltakerliste!H$5:H$98)</f>
        <v>2</v>
      </c>
      <c r="H27" s="592">
        <f>VLOOKUP(F27,Deltakerliste!P$6:T$84,G27,FALSE)</f>
        <v>1.4969999999999999</v>
      </c>
      <c r="I27" s="86"/>
      <c r="J27" s="86">
        <v>2.5937499999999999E-2</v>
      </c>
      <c r="K27" s="13"/>
      <c r="L27" s="600">
        <f t="shared" si="2"/>
        <v>8.9439655172413798E-3</v>
      </c>
      <c r="M27" s="594">
        <f>IF(L27="Løype",Poengsammendrag!$F$2,IF(L27="Arr",Poengsammendrag!$F$3,IF(L27="Brutt",50,IF(L27="Disk",50,ROUND(MAXA(100*(MIN(L$10:L$92)/L27),50),0)))))</f>
        <v>71</v>
      </c>
      <c r="N27" s="724">
        <f t="shared" si="3"/>
        <v>5.9745928638886975E-3</v>
      </c>
      <c r="O27" s="596">
        <f>IF(N27="Løype",Poengsammendrag!$F$2,IF(N27="Arr",Poengsammendrag!$F$3,IF(N27="Brutt",50,IF(N27="Disk",50,ROUND(MAXA(100*(MIN(N$10:N$92)/N27),50),0)))))</f>
        <v>67</v>
      </c>
      <c r="Q27" s="672"/>
      <c r="R27" s="672"/>
      <c r="S27" s="803" t="s">
        <v>114</v>
      </c>
      <c r="T27" s="736">
        <v>1.1278735632183907E-2</v>
      </c>
      <c r="U27" s="752">
        <v>56</v>
      </c>
      <c r="V27" s="781"/>
      <c r="W27" s="776" t="s">
        <v>110</v>
      </c>
      <c r="X27" s="740">
        <v>67</v>
      </c>
      <c r="AB27" s="828">
        <f t="shared" si="5"/>
        <v>72</v>
      </c>
      <c r="AC27" s="829">
        <f t="shared" si="4"/>
        <v>3</v>
      </c>
    </row>
    <row r="28" spans="2:29" ht="21" customHeight="1" thickBot="1" x14ac:dyDescent="0.3">
      <c r="B28" s="16">
        <f t="shared" si="0"/>
        <v>19</v>
      </c>
      <c r="C28" s="106" t="s">
        <v>120</v>
      </c>
      <c r="D28" s="107" t="s">
        <v>121</v>
      </c>
      <c r="E28" s="599" t="str">
        <f t="shared" si="1"/>
        <v>KlausLivik</v>
      </c>
      <c r="F28" s="192">
        <f>YEAR(I$5)-_xlfn.XLOOKUP(E28,Deltakerliste!E$5:E$98,Deltakerliste!I$5:I$98)</f>
        <v>72</v>
      </c>
      <c r="G28" s="192">
        <f>_xlfn.XLOOKUP(E28,Deltakerliste!E$5:E$98,Deltakerliste!H$5:H$98)</f>
        <v>2</v>
      </c>
      <c r="H28" s="592">
        <f>VLOOKUP(F28,Deltakerliste!P$6:T$84,G28,FALSE)</f>
        <v>1.4969999999999999</v>
      </c>
      <c r="I28" s="13">
        <v>1.7835648148148149E-2</v>
      </c>
      <c r="J28" s="13"/>
      <c r="K28" s="17"/>
      <c r="L28" s="600">
        <f t="shared" si="2"/>
        <v>9.3871832358674474E-3</v>
      </c>
      <c r="M28" s="594">
        <f>IF(L28="Løype",Poengsammendrag!$F$2,IF(L28="Arr",Poengsammendrag!$F$3,IF(L28="Brutt",50,IF(L28="Disk",50,ROUND(MAXA(100*(MIN(L$10:L$92)/L28),50),0)))))</f>
        <v>68</v>
      </c>
      <c r="N28" s="724">
        <f t="shared" si="3"/>
        <v>6.2706634842133926E-3</v>
      </c>
      <c r="O28" s="596">
        <f>IF(N28="Løype",Poengsammendrag!$F$2,IF(N28="Arr",Poengsammendrag!$F$3,IF(N28="Brutt",50,IF(N28="Disk",50,ROUND(MAXA(100*(MIN(N$10:N$92)/N28),50),0)))))</f>
        <v>64</v>
      </c>
      <c r="Q28" s="672"/>
      <c r="R28" s="672"/>
      <c r="S28" s="803" t="s">
        <v>103</v>
      </c>
      <c r="T28" s="736">
        <v>1.1409600389863548E-2</v>
      </c>
      <c r="U28" s="752">
        <v>56</v>
      </c>
      <c r="V28" s="781"/>
      <c r="W28" s="776" t="s">
        <v>120</v>
      </c>
      <c r="X28" s="740">
        <v>64</v>
      </c>
      <c r="AB28" s="828">
        <f t="shared" si="5"/>
        <v>73</v>
      </c>
      <c r="AC28" s="829">
        <f t="shared" si="4"/>
        <v>4</v>
      </c>
    </row>
    <row r="29" spans="2:29" ht="21" thickBot="1" x14ac:dyDescent="0.3">
      <c r="B29" s="16">
        <f t="shared" si="0"/>
        <v>20</v>
      </c>
      <c r="C29" s="106" t="s">
        <v>63</v>
      </c>
      <c r="D29" s="107" t="s">
        <v>336</v>
      </c>
      <c r="E29" s="599" t="str">
        <f t="shared" si="1"/>
        <v>ToreFornes</v>
      </c>
      <c r="F29" s="192">
        <f>YEAR(I$5)-_xlfn.XLOOKUP(E29,Deltakerliste!E$5:E$98,Deltakerliste!I$5:I$98)</f>
        <v>67</v>
      </c>
      <c r="G29" s="192">
        <f>_xlfn.XLOOKUP(E29,Deltakerliste!E$5:E$98,Deltakerliste!H$5:H$98)</f>
        <v>2</v>
      </c>
      <c r="H29" s="592">
        <f>VLOOKUP(F29,Deltakerliste!P$6:T$84,G29,FALSE)</f>
        <v>1.3469999999999998</v>
      </c>
      <c r="I29" s="86"/>
      <c r="J29" s="86">
        <v>2.4548611111111111E-2</v>
      </c>
      <c r="K29" s="13"/>
      <c r="L29" s="600">
        <f t="shared" si="2"/>
        <v>8.4650383141762452E-3</v>
      </c>
      <c r="M29" s="594">
        <f>IF(L29="Løype",Poengsammendrag!$F$2,IF(L29="Arr",Poengsammendrag!$F$3,IF(L29="Brutt",50,IF(L29="Disk",50,ROUND(MAXA(100*(MIN(L$10:L$92)/L29),50),0)))))</f>
        <v>75</v>
      </c>
      <c r="N29" s="724">
        <f t="shared" si="3"/>
        <v>6.284364004585187E-3</v>
      </c>
      <c r="O29" s="596">
        <f>IF(N29="Løype",Poengsammendrag!$F$2,IF(N29="Arr",Poengsammendrag!$F$3,IF(N29="Brutt",50,IF(N29="Disk",50,ROUND(MAXA(100*(MIN(N$10:N$92)/N29),50),0)))))</f>
        <v>64</v>
      </c>
      <c r="Q29" s="672"/>
      <c r="R29" s="672"/>
      <c r="S29" s="803" t="s">
        <v>338</v>
      </c>
      <c r="T29" s="736">
        <v>1.2091861598440546E-2</v>
      </c>
      <c r="U29" s="752">
        <v>53</v>
      </c>
      <c r="V29" s="781"/>
      <c r="W29" s="776" t="s">
        <v>346</v>
      </c>
      <c r="X29" s="740">
        <v>64</v>
      </c>
      <c r="AB29" s="828">
        <f t="shared" si="5"/>
        <v>74</v>
      </c>
      <c r="AC29" s="829">
        <f t="shared" si="4"/>
        <v>2</v>
      </c>
    </row>
    <row r="30" spans="2:29" ht="21" thickBot="1" x14ac:dyDescent="0.3">
      <c r="B30" s="16">
        <f t="shared" si="0"/>
        <v>21</v>
      </c>
      <c r="C30" s="106" t="s">
        <v>103</v>
      </c>
      <c r="D30" s="107" t="s">
        <v>104</v>
      </c>
      <c r="E30" s="599" t="str">
        <f t="shared" si="1"/>
        <v>SveinHove</v>
      </c>
      <c r="F30" s="192">
        <f>YEAR(I$5)-_xlfn.XLOOKUP(E30,Deltakerliste!E$5:E$98,Deltakerliste!I$5:I$98)</f>
        <v>79</v>
      </c>
      <c r="G30" s="192">
        <f>_xlfn.XLOOKUP(E30,Deltakerliste!E$5:E$98,Deltakerliste!H$5:H$98)</f>
        <v>2</v>
      </c>
      <c r="H30" s="592">
        <f>VLOOKUP(F30,Deltakerliste!P$6:T$84,G30,FALSE)</f>
        <v>1.8050000000000002</v>
      </c>
      <c r="I30" s="86">
        <v>2.1678240740740741E-2</v>
      </c>
      <c r="J30" s="86"/>
      <c r="K30" s="17"/>
      <c r="L30" s="600">
        <f t="shared" si="2"/>
        <v>1.1409600389863548E-2</v>
      </c>
      <c r="M30" s="594">
        <f>IF(L30="Løype",Poengsammendrag!$F$2,IF(L30="Arr",Poengsammendrag!$F$3,IF(L30="Brutt",50,IF(L30="Disk",50,ROUND(MAXA(100*(MIN(L$10:L$92)/L30),50),0)))))</f>
        <v>56</v>
      </c>
      <c r="N30" s="724">
        <f t="shared" si="3"/>
        <v>6.3211082492318823E-3</v>
      </c>
      <c r="O30" s="596">
        <f>IF(N30="Løype",Poengsammendrag!$F$2,IF(N30="Arr",Poengsammendrag!$F$3,IF(N30="Brutt",50,IF(N30="Disk",50,ROUND(MAXA(100*(MIN(N$10:N$92)/N30),50),0)))))</f>
        <v>64</v>
      </c>
      <c r="Q30" s="672"/>
      <c r="R30" s="672"/>
      <c r="S30" s="803" t="s">
        <v>347</v>
      </c>
      <c r="T30" s="736">
        <v>1.2390350877192983E-2</v>
      </c>
      <c r="U30" s="752">
        <v>51</v>
      </c>
      <c r="V30" s="781"/>
      <c r="W30" s="776" t="s">
        <v>103</v>
      </c>
      <c r="X30" s="740">
        <v>64</v>
      </c>
      <c r="AB30" s="828">
        <f t="shared" si="5"/>
        <v>75</v>
      </c>
      <c r="AC30" s="829">
        <f t="shared" si="4"/>
        <v>4</v>
      </c>
    </row>
    <row r="31" spans="2:29" ht="21" customHeight="1" thickBot="1" x14ac:dyDescent="0.3">
      <c r="B31" s="16">
        <f t="shared" si="0"/>
        <v>22</v>
      </c>
      <c r="C31" s="106" t="s">
        <v>122</v>
      </c>
      <c r="D31" s="107" t="s">
        <v>123</v>
      </c>
      <c r="E31" s="599" t="str">
        <f t="shared" si="1"/>
        <v>MartinMelhuus</v>
      </c>
      <c r="F31" s="192">
        <f>YEAR(I$5)-_xlfn.XLOOKUP(E31,Deltakerliste!E$5:E$98,Deltakerliste!I$5:I$98)</f>
        <v>82</v>
      </c>
      <c r="G31" s="192">
        <f>_xlfn.XLOOKUP(E31,Deltakerliste!E$5:E$98,Deltakerliste!H$5:H$98)</f>
        <v>2</v>
      </c>
      <c r="H31" s="592">
        <f>VLOOKUP(F31,Deltakerliste!P$6:T$84,G31,FALSE)</f>
        <v>2.0030000000000001</v>
      </c>
      <c r="I31" s="13">
        <v>2.4432870370370369E-2</v>
      </c>
      <c r="J31" s="13"/>
      <c r="K31" s="13"/>
      <c r="L31" s="600">
        <f t="shared" si="2"/>
        <v>1.2859405458089668E-2</v>
      </c>
      <c r="M31" s="594">
        <f>IF(L31="Løype",Poengsammendrag!$F$2,IF(L31="Arr",Poengsammendrag!$F$3,IF(L31="Brutt",50,IF(L31="Disk",50,ROUND(MAXA(100*(MIN(L$10:L$92)/L31),50),0)))))</f>
        <v>50</v>
      </c>
      <c r="N31" s="724">
        <f t="shared" si="3"/>
        <v>6.4200726201146616E-3</v>
      </c>
      <c r="O31" s="596">
        <f>IF(N31="Løype",Poengsammendrag!$F$2,IF(N31="Arr",Poengsammendrag!$F$3,IF(N31="Brutt",50,IF(N31="Disk",50,ROUND(MAXA(100*(MIN(N$10:N$92)/N31),50),0)))))</f>
        <v>63</v>
      </c>
      <c r="Q31" s="672"/>
      <c r="R31" s="672"/>
      <c r="S31" s="803" t="s">
        <v>356</v>
      </c>
      <c r="T31" s="736">
        <v>1.2414717348927877E-2</v>
      </c>
      <c r="U31" s="752">
        <v>51</v>
      </c>
      <c r="V31" s="781"/>
      <c r="W31" s="776" t="s">
        <v>122</v>
      </c>
      <c r="X31" s="740">
        <v>63</v>
      </c>
      <c r="AB31" s="828">
        <f t="shared" si="5"/>
        <v>76</v>
      </c>
      <c r="AC31" s="829">
        <f t="shared" si="4"/>
        <v>1</v>
      </c>
    </row>
    <row r="32" spans="2:29" ht="21" customHeight="1" thickBot="1" x14ac:dyDescent="0.3">
      <c r="B32" s="16">
        <f t="shared" si="0"/>
        <v>23</v>
      </c>
      <c r="C32" s="106" t="s">
        <v>170</v>
      </c>
      <c r="D32" s="107" t="s">
        <v>171</v>
      </c>
      <c r="E32" s="599" t="str">
        <f t="shared" si="1"/>
        <v>ØisteinÅsmul</v>
      </c>
      <c r="F32" s="192">
        <f>YEAR(I$5)-_xlfn.XLOOKUP(E32,Deltakerliste!E$5:E$98,Deltakerliste!I$5:I$98)</f>
        <v>81</v>
      </c>
      <c r="G32" s="192">
        <f>_xlfn.XLOOKUP(E32,Deltakerliste!E$5:E$98,Deltakerliste!H$5:H$98)</f>
        <v>2</v>
      </c>
      <c r="H32" s="592">
        <f>VLOOKUP(F32,Deltakerliste!P$6:T$84,G32,FALSE)</f>
        <v>1.9290000000000003</v>
      </c>
      <c r="I32" s="132">
        <v>2.3541666666666666E-2</v>
      </c>
      <c r="J32" s="132"/>
      <c r="K32" s="18"/>
      <c r="L32" s="600">
        <f t="shared" si="2"/>
        <v>1.2390350877192983E-2</v>
      </c>
      <c r="M32" s="594">
        <f>IF(L32="Løype",Poengsammendrag!$F$2,IF(L32="Arr",Poengsammendrag!$F$3,IF(L32="Brutt",50,IF(L32="Disk",50,ROUND(MAXA(100*(MIN(L$10:L$92)/L32),50),0)))))</f>
        <v>51</v>
      </c>
      <c r="N32" s="724">
        <f t="shared" si="3"/>
        <v>6.4231990032104615E-3</v>
      </c>
      <c r="O32" s="596">
        <f>IF(N32="Løype",Poengsammendrag!$F$2,IF(N32="Arr",Poengsammendrag!$F$3,IF(N32="Brutt",50,IF(N32="Disk",50,ROUND(MAXA(100*(MIN(N$10:N$92)/N32),50),0)))))</f>
        <v>63</v>
      </c>
      <c r="S32" s="803" t="s">
        <v>96</v>
      </c>
      <c r="T32" s="736">
        <v>1.2694931773879144E-2</v>
      </c>
      <c r="U32" s="752">
        <v>50</v>
      </c>
      <c r="V32" s="781"/>
      <c r="W32" s="776" t="s">
        <v>347</v>
      </c>
      <c r="X32" s="740">
        <v>63</v>
      </c>
      <c r="AB32" s="828">
        <f t="shared" si="5"/>
        <v>77</v>
      </c>
      <c r="AC32" s="829">
        <f t="shared" si="4"/>
        <v>2</v>
      </c>
    </row>
    <row r="33" spans="2:29" ht="21" customHeight="1" thickBot="1" x14ac:dyDescent="0.3">
      <c r="B33" s="16">
        <f t="shared" si="0"/>
        <v>24</v>
      </c>
      <c r="C33" s="106" t="s">
        <v>72</v>
      </c>
      <c r="D33" s="107" t="s">
        <v>73</v>
      </c>
      <c r="E33" s="599" t="str">
        <f t="shared" si="1"/>
        <v>KåreEggereide</v>
      </c>
      <c r="F33" s="192">
        <f>YEAR(I$5)-_xlfn.XLOOKUP(E33,Deltakerliste!E$5:E$98,Deltakerliste!I$5:I$98)</f>
        <v>75</v>
      </c>
      <c r="G33" s="192">
        <f>_xlfn.XLOOKUP(E33,Deltakerliste!E$5:E$98,Deltakerliste!H$5:H$98)</f>
        <v>2</v>
      </c>
      <c r="H33" s="592">
        <f>VLOOKUP(F33,Deltakerliste!P$6:T$84,G33,FALSE)</f>
        <v>1.605</v>
      </c>
      <c r="I33" s="593"/>
      <c r="J33" s="13">
        <v>3.037037037037037E-2</v>
      </c>
      <c r="K33" s="13"/>
      <c r="L33" s="600">
        <f t="shared" si="2"/>
        <v>1.0472541507024266E-2</v>
      </c>
      <c r="M33" s="594">
        <f>IF(L33="Løype",Poengsammendrag!$F$2,IF(L33="Arr",Poengsammendrag!$F$3,IF(L33="Brutt",50,IF(L33="Disk",50,ROUND(MAXA(100*(MIN(L$10:L$92)/L33),50),0)))))</f>
        <v>61</v>
      </c>
      <c r="N33" s="724">
        <f t="shared" si="3"/>
        <v>6.5249479794543715E-3</v>
      </c>
      <c r="O33" s="596">
        <f>IF(N33="Løype",Poengsammendrag!$F$2,IF(N33="Arr",Poengsammendrag!$F$3,IF(N33="Brutt",50,IF(N33="Disk",50,ROUND(MAXA(100*(MIN(N$10:N$92)/N33),50),0)))))</f>
        <v>62</v>
      </c>
      <c r="S33" s="803" t="s">
        <v>122</v>
      </c>
      <c r="T33" s="736">
        <v>1.2859405458089668E-2</v>
      </c>
      <c r="U33" s="752">
        <v>50</v>
      </c>
      <c r="V33" s="781"/>
      <c r="W33" s="776" t="s">
        <v>72</v>
      </c>
      <c r="X33" s="740">
        <v>62</v>
      </c>
      <c r="AB33" s="828">
        <f t="shared" si="5"/>
        <v>78</v>
      </c>
      <c r="AC33" s="829">
        <f t="shared" si="4"/>
        <v>2</v>
      </c>
    </row>
    <row r="34" spans="2:29" ht="21" customHeight="1" thickBot="1" x14ac:dyDescent="0.3">
      <c r="B34" s="16">
        <f t="shared" si="0"/>
        <v>25</v>
      </c>
      <c r="C34" s="106" t="s">
        <v>142</v>
      </c>
      <c r="D34" s="107" t="s">
        <v>143</v>
      </c>
      <c r="E34" s="599" t="str">
        <f t="shared" si="1"/>
        <v>EgilRepvik</v>
      </c>
      <c r="F34" s="192">
        <f>YEAR(I$5)-_xlfn.XLOOKUP(E34,Deltakerliste!E$5:E$98,Deltakerliste!I$5:I$98)</f>
        <v>80</v>
      </c>
      <c r="G34" s="192">
        <f>_xlfn.XLOOKUP(E34,Deltakerliste!E$5:E$98,Deltakerliste!H$5:H$98)</f>
        <v>2</v>
      </c>
      <c r="H34" s="592">
        <f>VLOOKUP(F34,Deltakerliste!P$6:T$84,G34,FALSE)</f>
        <v>1.8550000000000002</v>
      </c>
      <c r="I34" s="132">
        <v>2.3587962962962963E-2</v>
      </c>
      <c r="J34" s="18"/>
      <c r="K34" s="18"/>
      <c r="L34" s="600">
        <f t="shared" si="2"/>
        <v>1.2414717348927877E-2</v>
      </c>
      <c r="M34" s="594">
        <f>IF(L34="Løype",Poengsammendrag!$F$2,IF(L34="Arr",Poengsammendrag!$F$3,IF(L34="Brutt",50,IF(L34="Disk",50,ROUND(MAXA(100*(MIN(L$10:L$92)/L34),50),0)))))</f>
        <v>51</v>
      </c>
      <c r="N34" s="724">
        <f t="shared" si="3"/>
        <v>6.6925699994220354E-3</v>
      </c>
      <c r="O34" s="596">
        <f>IF(N34="Løype",Poengsammendrag!$F$2,IF(N34="Arr",Poengsammendrag!$F$3,IF(N34="Brutt",50,IF(N34="Disk",50,ROUND(MAXA(100*(MIN(N$10:N$92)/N34),50),0)))))</f>
        <v>60</v>
      </c>
      <c r="S34" s="803" t="s">
        <v>357</v>
      </c>
      <c r="T34" s="736">
        <v>1.3084795321637428E-2</v>
      </c>
      <c r="U34" s="752">
        <v>50</v>
      </c>
      <c r="V34" s="781"/>
      <c r="W34" s="776" t="s">
        <v>356</v>
      </c>
      <c r="X34" s="740">
        <v>60</v>
      </c>
      <c r="AB34" s="828">
        <f t="shared" si="5"/>
        <v>79</v>
      </c>
      <c r="AC34" s="829">
        <f t="shared" si="4"/>
        <v>3</v>
      </c>
    </row>
    <row r="35" spans="2:29" ht="21" customHeight="1" thickBot="1" x14ac:dyDescent="0.3">
      <c r="B35" s="16">
        <f t="shared" si="0"/>
        <v>26</v>
      </c>
      <c r="C35" s="106" t="s">
        <v>248</v>
      </c>
      <c r="D35" s="107" t="s">
        <v>249</v>
      </c>
      <c r="E35" s="599" t="str">
        <f t="shared" si="1"/>
        <v>ErikLund</v>
      </c>
      <c r="F35" s="192">
        <f>YEAR(I$5)-_xlfn.XLOOKUP(E35,Deltakerliste!E$5:E$98,Deltakerliste!I$5:I$98)</f>
        <v>79</v>
      </c>
      <c r="G35" s="192">
        <f>_xlfn.XLOOKUP(E35,Deltakerliste!E$5:E$98,Deltakerliste!H$5:H$98)</f>
        <v>2</v>
      </c>
      <c r="H35" s="592">
        <f>VLOOKUP(F35,Deltakerliste!P$6:T$84,G35,FALSE)</f>
        <v>1.8050000000000002</v>
      </c>
      <c r="I35" s="13">
        <v>2.7083333333333334E-2</v>
      </c>
      <c r="J35" s="13"/>
      <c r="K35" s="17"/>
      <c r="L35" s="600">
        <f t="shared" si="2"/>
        <v>1.4254385964912282E-2</v>
      </c>
      <c r="M35" s="594">
        <f>IF(L35="Løype",Poengsammendrag!$F$2,IF(L35="Arr",Poengsammendrag!$F$3,IF(L35="Brutt",50,IF(L35="Disk",50,ROUND(MAXA(100*(MIN(L$10:L$92)/L35),50),0)))))</f>
        <v>50</v>
      </c>
      <c r="N35" s="724">
        <f t="shared" si="3"/>
        <v>7.8971667395635898E-3</v>
      </c>
      <c r="O35" s="596">
        <f>IF(N35="Løype",Poengsammendrag!$F$2,IF(N35="Arr",Poengsammendrag!$F$3,IF(N35="Brutt",50,IF(N35="Disk",50,ROUND(MAXA(100*(MIN(N$10:N$92)/N35),50),0)))))</f>
        <v>51</v>
      </c>
      <c r="S35" s="803" t="s">
        <v>60</v>
      </c>
      <c r="T35" s="736">
        <v>1.3322368421052633E-2</v>
      </c>
      <c r="U35" s="752">
        <v>50</v>
      </c>
      <c r="V35" s="781"/>
      <c r="W35" s="776" t="s">
        <v>248</v>
      </c>
      <c r="X35" s="740">
        <v>51</v>
      </c>
      <c r="AB35" s="828">
        <f t="shared" si="5"/>
        <v>80</v>
      </c>
      <c r="AC35" s="829">
        <f t="shared" si="4"/>
        <v>1</v>
      </c>
    </row>
    <row r="36" spans="2:29" ht="21" thickBot="1" x14ac:dyDescent="0.3">
      <c r="B36" s="16">
        <f t="shared" si="0"/>
        <v>27</v>
      </c>
      <c r="C36" s="106" t="s">
        <v>90</v>
      </c>
      <c r="D36" s="107" t="s">
        <v>91</v>
      </c>
      <c r="E36" s="599" t="str">
        <f t="shared" si="1"/>
        <v>TorGjermstad</v>
      </c>
      <c r="F36" s="192">
        <f>YEAR(I$5)-_xlfn.XLOOKUP(E36,Deltakerliste!E$5:E$98,Deltakerliste!I$5:I$98)</f>
        <v>76</v>
      </c>
      <c r="G36" s="192">
        <f>_xlfn.XLOOKUP(E36,Deltakerliste!E$5:E$98,Deltakerliste!H$5:H$98)</f>
        <v>2</v>
      </c>
      <c r="H36" s="592">
        <f>VLOOKUP(F36,Deltakerliste!P$6:T$84,G36,FALSE)</f>
        <v>1.655</v>
      </c>
      <c r="I36" s="853">
        <v>2.6064814814814815E-2</v>
      </c>
      <c r="J36" s="86"/>
      <c r="K36" s="13"/>
      <c r="L36" s="600">
        <f t="shared" si="2"/>
        <v>1.371832358674464E-2</v>
      </c>
      <c r="M36" s="594">
        <f>IF(L36="Løype",Poengsammendrag!$F$2,IF(L36="Arr",Poengsammendrag!$F$3,IF(L36="Brutt",50,IF(L36="Disk",50,ROUND(MAXA(100*(MIN(L$10:L$92)/L36),50),0)))))</f>
        <v>50</v>
      </c>
      <c r="N36" s="724">
        <f t="shared" si="3"/>
        <v>8.2890172729574857E-3</v>
      </c>
      <c r="O36" s="596">
        <f>IF(N36="Løype",Poengsammendrag!$F$2,IF(N36="Arr",Poengsammendrag!$F$3,IF(N36="Brutt",50,IF(N36="Disk",50,ROUND(MAXA(100*(MIN(N$10:N$92)/N36),50),0)))))</f>
        <v>50</v>
      </c>
      <c r="S36" s="803" t="s">
        <v>263</v>
      </c>
      <c r="T36" s="736">
        <v>1.3626949317738793E-2</v>
      </c>
      <c r="U36" s="752">
        <v>50</v>
      </c>
      <c r="V36" s="781"/>
      <c r="W36" s="776" t="s">
        <v>90</v>
      </c>
      <c r="X36" s="740">
        <v>50</v>
      </c>
      <c r="AB36" s="828">
        <f t="shared" si="5"/>
        <v>81</v>
      </c>
      <c r="AC36" s="829">
        <f t="shared" si="4"/>
        <v>1</v>
      </c>
    </row>
    <row r="37" spans="2:29" ht="21" customHeight="1" thickBot="1" x14ac:dyDescent="0.3">
      <c r="B37" s="16">
        <f t="shared" si="0"/>
        <v>28</v>
      </c>
      <c r="C37" s="106" t="s">
        <v>60</v>
      </c>
      <c r="D37" s="107" t="s">
        <v>372</v>
      </c>
      <c r="E37" s="599" t="str">
        <f t="shared" si="1"/>
        <v>JosteinGrepstad</v>
      </c>
      <c r="F37" s="192">
        <f>YEAR(I$5)-_xlfn.XLOOKUP(E37,Deltakerliste!E$5:E$98,Deltakerliste!I$5:I$98)</f>
        <v>75</v>
      </c>
      <c r="G37" s="192">
        <f>_xlfn.XLOOKUP(E37,Deltakerliste!E$5:E$98,Deltakerliste!H$5:H$98)</f>
        <v>2</v>
      </c>
      <c r="H37" s="592">
        <f>VLOOKUP(F37,Deltakerliste!P$6:T$84,G37,FALSE)</f>
        <v>1.605</v>
      </c>
      <c r="I37" s="14">
        <v>2.5312500000000002E-2</v>
      </c>
      <c r="J37" s="14"/>
      <c r="K37" s="18"/>
      <c r="L37" s="600">
        <f t="shared" si="2"/>
        <v>1.3322368421052633E-2</v>
      </c>
      <c r="M37" s="594">
        <f>IF(L37="Løype",Poengsammendrag!$F$2,IF(L37="Arr",Poengsammendrag!$F$3,IF(L37="Brutt",50,IF(L37="Disk",50,ROUND(MAXA(100*(MIN(L$10:L$92)/L37),50),0)))))</f>
        <v>50</v>
      </c>
      <c r="N37" s="724">
        <f t="shared" si="3"/>
        <v>8.3005410723069363E-3</v>
      </c>
      <c r="O37" s="596">
        <f>IF(N37="Løype",Poengsammendrag!$F$2,IF(N37="Arr",Poengsammendrag!$F$3,IF(N37="Brutt",50,IF(N37="Disk",50,ROUND(MAXA(100*(MIN(N$10:N$92)/N37),50),0)))))</f>
        <v>50</v>
      </c>
      <c r="S37" s="803" t="s">
        <v>90</v>
      </c>
      <c r="T37" s="736">
        <v>1.371832358674464E-2</v>
      </c>
      <c r="U37" s="752">
        <v>50</v>
      </c>
      <c r="V37" s="781"/>
      <c r="W37" s="776" t="s">
        <v>395</v>
      </c>
      <c r="X37" s="740">
        <v>50</v>
      </c>
      <c r="AB37" s="828">
        <f t="shared" si="5"/>
        <v>82</v>
      </c>
      <c r="AC37" s="829">
        <f t="shared" si="4"/>
        <v>1</v>
      </c>
    </row>
    <row r="38" spans="2:29" ht="21" customHeight="1" thickBot="1" x14ac:dyDescent="0.3">
      <c r="B38" s="16">
        <f t="shared" si="0"/>
        <v>29</v>
      </c>
      <c r="C38" s="106" t="s">
        <v>263</v>
      </c>
      <c r="D38" s="107" t="s">
        <v>264</v>
      </c>
      <c r="E38" s="599" t="str">
        <f t="shared" si="1"/>
        <v>RuneHolt</v>
      </c>
      <c r="F38" s="192">
        <f>YEAR(I$5)-_xlfn.XLOOKUP(E38,Deltakerliste!E$5:E$98,Deltakerliste!I$5:I$98)</f>
        <v>73</v>
      </c>
      <c r="G38" s="192">
        <f>_xlfn.XLOOKUP(E38,Deltakerliste!E$5:E$98,Deltakerliste!H$5:H$98)</f>
        <v>2</v>
      </c>
      <c r="H38" s="592">
        <f>VLOOKUP(F38,Deltakerliste!P$6:T$84,G38,FALSE)</f>
        <v>1.5329999999999999</v>
      </c>
      <c r="I38" s="86">
        <v>2.5891203703703704E-2</v>
      </c>
      <c r="J38" s="134"/>
      <c r="K38" s="17"/>
      <c r="L38" s="600">
        <f t="shared" si="2"/>
        <v>1.3626949317738793E-2</v>
      </c>
      <c r="M38" s="594">
        <f>IF(L38="Løype",Poengsammendrag!$F$2,IF(L38="Arr",Poengsammendrag!$F$3,IF(L38="Brutt",50,IF(L38="Disk",50,ROUND(MAXA(100*(MIN(L$10:L$92)/L38),50),0)))))</f>
        <v>50</v>
      </c>
      <c r="N38" s="724">
        <f t="shared" si="3"/>
        <v>8.8890732666267406E-3</v>
      </c>
      <c r="O38" s="596">
        <f>IF(N38="Løype",Poengsammendrag!$F$2,IF(N38="Arr",Poengsammendrag!$F$3,IF(N38="Brutt",50,IF(N38="Disk",50,ROUND(MAXA(100*(MIN(N$10:N$92)/N38),50),0)))))</f>
        <v>50</v>
      </c>
      <c r="S38" s="803" t="s">
        <v>248</v>
      </c>
      <c r="T38" s="736">
        <v>1.4254385964912282E-2</v>
      </c>
      <c r="U38" s="752">
        <v>50</v>
      </c>
      <c r="V38" s="781"/>
      <c r="W38" s="776" t="s">
        <v>263</v>
      </c>
      <c r="X38" s="740">
        <v>50</v>
      </c>
      <c r="AB38" s="828">
        <f t="shared" si="5"/>
        <v>83</v>
      </c>
      <c r="AC38" s="829">
        <f t="shared" si="4"/>
        <v>1</v>
      </c>
    </row>
    <row r="39" spans="2:29" ht="21" customHeight="1" thickBot="1" x14ac:dyDescent="0.3">
      <c r="B39" s="16">
        <f t="shared" si="0"/>
        <v>30</v>
      </c>
      <c r="C39" s="106" t="s">
        <v>161</v>
      </c>
      <c r="D39" s="107" t="s">
        <v>162</v>
      </c>
      <c r="E39" s="599" t="str">
        <f t="shared" si="1"/>
        <v>Nils OlavVennevik</v>
      </c>
      <c r="F39" s="192">
        <f>YEAR(I$5)-_xlfn.XLOOKUP(E39,Deltakerliste!E$5:E$98,Deltakerliste!I$5:I$98)</f>
        <v>78</v>
      </c>
      <c r="G39" s="192">
        <f>_xlfn.XLOOKUP(E39,Deltakerliste!E$5:E$98,Deltakerliste!H$5:H$98)</f>
        <v>2</v>
      </c>
      <c r="H39" s="592">
        <f>VLOOKUP(F39,Deltakerliste!P$6:T$84,G39,FALSE)</f>
        <v>1.7550000000000001</v>
      </c>
      <c r="I39" s="132"/>
      <c r="J39" s="18" t="s">
        <v>7</v>
      </c>
      <c r="K39" s="18"/>
      <c r="L39" s="600" t="str">
        <f t="shared" si="2"/>
        <v>Arr</v>
      </c>
      <c r="M39" s="594">
        <f>IF(L39="Løype",Poengsammendrag!$F$2,IF(L39="Arr",Poengsammendrag!$F$3,IF(L39="Brutt",50,IF(L39="Disk",50,ROUND(MAXA(100*(MIN(L$10:L$92)/L39),50),0)))))</f>
        <v>94</v>
      </c>
      <c r="N39" s="724" t="str">
        <f t="shared" si="3"/>
        <v>Arr</v>
      </c>
      <c r="O39" s="596">
        <f>IF(N39="Løype",Poengsammendrag!$F$2,IF(N39="Arr",Poengsammendrag!$F$3,IF(N39="Brutt",50,IF(N39="Disk",50,ROUND(MAXA(100*(MIN(N$10:N$92)/N39),50),0)))))</f>
        <v>94</v>
      </c>
      <c r="S39" s="803" t="s">
        <v>161</v>
      </c>
      <c r="T39" s="736" t="s">
        <v>7</v>
      </c>
      <c r="U39" s="752">
        <v>94</v>
      </c>
      <c r="V39" s="781"/>
      <c r="W39" s="776" t="s">
        <v>161</v>
      </c>
      <c r="X39" s="740">
        <v>94</v>
      </c>
      <c r="AB39" s="828">
        <f t="shared" si="5"/>
        <v>84</v>
      </c>
      <c r="AC39" s="829">
        <f t="shared" si="4"/>
        <v>0</v>
      </c>
    </row>
    <row r="40" spans="2:29" ht="21" thickBot="1" x14ac:dyDescent="0.3">
      <c r="B40" s="16">
        <f t="shared" si="0"/>
        <v>31</v>
      </c>
      <c r="C40" s="106" t="s">
        <v>153</v>
      </c>
      <c r="D40" s="107" t="s">
        <v>154</v>
      </c>
      <c r="E40" s="599" t="str">
        <f t="shared" si="1"/>
        <v>ReidunSmaavik</v>
      </c>
      <c r="F40" s="192">
        <f>YEAR(I$5)-_xlfn.XLOOKUP(E40,Deltakerliste!E$5:E$98,Deltakerliste!I$5:I$98)</f>
        <v>71</v>
      </c>
      <c r="G40" s="192">
        <f>_xlfn.XLOOKUP(E40,Deltakerliste!E$5:E$98,Deltakerliste!H$5:H$98)</f>
        <v>4</v>
      </c>
      <c r="H40" s="592">
        <f>VLOOKUP(F40,Deltakerliste!P$6:T$84,G40,FALSE)</f>
        <v>1.9926000000000013</v>
      </c>
      <c r="I40" s="132" t="s">
        <v>306</v>
      </c>
      <c r="J40" s="18"/>
      <c r="K40" s="18"/>
      <c r="L40" s="600" t="str">
        <f t="shared" si="2"/>
        <v>Brutt</v>
      </c>
      <c r="M40" s="594">
        <f>IF(L40="Løype",Poengsammendrag!$F$2,IF(L40="Arr",Poengsammendrag!$F$3,IF(L40="Brutt",50,IF(L40="Disk",50,ROUND(MAXA(100*(MIN(L$10:L$92)/L40),50),0)))))</f>
        <v>50</v>
      </c>
      <c r="N40" s="724" t="str">
        <f t="shared" si="3"/>
        <v>Brutt</v>
      </c>
      <c r="O40" s="596">
        <f>IF(N40="Løype",Poengsammendrag!$F$2,IF(N40="Arr",Poengsammendrag!$F$3,IF(N40="Brutt",50,IF(N40="Disk",50,ROUND(MAXA(100*(MIN(N$10:N$92)/N40),50),0)))))</f>
        <v>50</v>
      </c>
      <c r="S40" s="803" t="s">
        <v>153</v>
      </c>
      <c r="T40" s="736" t="s">
        <v>306</v>
      </c>
      <c r="U40" s="752">
        <v>50</v>
      </c>
      <c r="V40" s="781"/>
      <c r="W40" s="776" t="s">
        <v>153</v>
      </c>
      <c r="X40" s="740">
        <v>50</v>
      </c>
      <c r="AB40" s="828">
        <f t="shared" si="5"/>
        <v>85</v>
      </c>
      <c r="AC40" s="829">
        <f t="shared" si="4"/>
        <v>1</v>
      </c>
    </row>
    <row r="41" spans="2:29" ht="21" thickBot="1" x14ac:dyDescent="0.3">
      <c r="B41" s="16">
        <f t="shared" si="0"/>
        <v>32</v>
      </c>
      <c r="C41" s="106" t="s">
        <v>76</v>
      </c>
      <c r="D41" s="107" t="s">
        <v>77</v>
      </c>
      <c r="E41" s="599" t="str">
        <f t="shared" si="1"/>
        <v>ReinoldEllingsen</v>
      </c>
      <c r="F41" s="192">
        <f>YEAR(I$5)-_xlfn.XLOOKUP(E41,Deltakerliste!E$5:E$98,Deltakerliste!I$5:I$98)</f>
        <v>75</v>
      </c>
      <c r="G41" s="192">
        <f>_xlfn.XLOOKUP(E41,Deltakerliste!E$5:E$98,Deltakerliste!H$5:H$98)</f>
        <v>2</v>
      </c>
      <c r="H41" s="592">
        <f>VLOOKUP(F41,Deltakerliste!P$6:T$84,G41,FALSE)</f>
        <v>1.605</v>
      </c>
      <c r="I41" s="13" t="s">
        <v>319</v>
      </c>
      <c r="J41" s="13"/>
      <c r="K41" s="13"/>
      <c r="L41" s="600" t="str">
        <f t="shared" si="2"/>
        <v>Disk</v>
      </c>
      <c r="M41" s="594">
        <f>IF(L41="Løype",Poengsammendrag!$F$2,IF(L41="Arr",Poengsammendrag!$F$3,IF(L41="Brutt",50,IF(L41="Disk",50,ROUND(MAXA(100*(MIN(L$10:L$92)/L41),50),0)))))</f>
        <v>50</v>
      </c>
      <c r="N41" s="724" t="str">
        <f t="shared" si="3"/>
        <v>Disk</v>
      </c>
      <c r="O41" s="596">
        <f>IF(N41="Løype",Poengsammendrag!$F$2,IF(N41="Arr",Poengsammendrag!$F$3,IF(N41="Brutt",50,IF(N41="Disk",50,ROUND(MAXA(100*(MIN(N$10:N$92)/N41),50),0)))))</f>
        <v>50</v>
      </c>
      <c r="S41" s="803" t="s">
        <v>76</v>
      </c>
      <c r="T41" s="736" t="s">
        <v>319</v>
      </c>
      <c r="U41" s="752">
        <v>50</v>
      </c>
      <c r="V41" s="781"/>
      <c r="W41" s="776" t="s">
        <v>76</v>
      </c>
      <c r="X41" s="740">
        <v>50</v>
      </c>
      <c r="AB41" s="828">
        <f t="shared" si="5"/>
        <v>86</v>
      </c>
      <c r="AC41" s="829">
        <f t="shared" si="4"/>
        <v>1</v>
      </c>
    </row>
    <row r="42" spans="2:29" ht="21" customHeight="1" thickBot="1" x14ac:dyDescent="0.3">
      <c r="B42" s="16">
        <f t="shared" ref="B42:B73" si="6">B41+1</f>
        <v>33</v>
      </c>
      <c r="C42" s="106" t="s">
        <v>265</v>
      </c>
      <c r="D42" s="107" t="s">
        <v>344</v>
      </c>
      <c r="E42" s="599" t="str">
        <f t="shared" ref="E42:E73" si="7">_xlfn.CONCAT(C42:D42)</f>
        <v>ØysteinNytrø</v>
      </c>
      <c r="F42" s="192">
        <f>YEAR(I$5)-_xlfn.XLOOKUP(E42,Deltakerliste!E$5:E$98,Deltakerliste!I$5:I$98)</f>
        <v>66</v>
      </c>
      <c r="G42" s="192">
        <f>_xlfn.XLOOKUP(E42,Deltakerliste!E$5:E$98,Deltakerliste!H$5:H$98)</f>
        <v>2</v>
      </c>
      <c r="H42" s="592">
        <f>VLOOKUP(F42,Deltakerliste!P$6:T$84,G42,FALSE)</f>
        <v>1.3209999999999997</v>
      </c>
      <c r="I42" s="18"/>
      <c r="J42" s="132" t="s">
        <v>319</v>
      </c>
      <c r="K42" s="18"/>
      <c r="L42" s="600" t="str">
        <f t="shared" si="2"/>
        <v>Disk</v>
      </c>
      <c r="M42" s="594">
        <f>IF(L42="Løype",Poengsammendrag!$F$2,IF(L42="Arr",Poengsammendrag!$F$3,IF(L42="Brutt",50,IF(L42="Disk",50,ROUND(MAXA(100*(MIN(L$10:L$92)/L42),50),0)))))</f>
        <v>50</v>
      </c>
      <c r="N42" s="724" t="str">
        <f t="shared" si="3"/>
        <v>Disk</v>
      </c>
      <c r="O42" s="596">
        <f>IF(N42="Løype",Poengsammendrag!$F$2,IF(N42="Arr",Poengsammendrag!$F$3,IF(N42="Brutt",50,IF(N42="Disk",50,ROUND(MAXA(100*(MIN(N$10:N$92)/N42),50),0)))))</f>
        <v>50</v>
      </c>
      <c r="S42" s="803" t="s">
        <v>345</v>
      </c>
      <c r="T42" s="796" t="s">
        <v>319</v>
      </c>
      <c r="U42" s="765">
        <v>50</v>
      </c>
      <c r="V42" s="782"/>
      <c r="W42" s="777" t="s">
        <v>345</v>
      </c>
      <c r="X42" s="762">
        <v>50</v>
      </c>
      <c r="AB42" s="828">
        <f t="shared" si="5"/>
        <v>87</v>
      </c>
      <c r="AC42" s="829">
        <f t="shared" si="4"/>
        <v>1</v>
      </c>
    </row>
    <row r="43" spans="2:29" ht="21" thickBot="1" x14ac:dyDescent="0.3">
      <c r="B43" s="16">
        <f t="shared" si="6"/>
        <v>34</v>
      </c>
      <c r="C43" s="106" t="s">
        <v>106</v>
      </c>
      <c r="D43" s="107" t="s">
        <v>107</v>
      </c>
      <c r="E43" s="599" t="str">
        <f t="shared" si="7"/>
        <v>Jon ArneKlemetsaune</v>
      </c>
      <c r="F43" s="192">
        <f>YEAR(I$5)-_xlfn.XLOOKUP(E43,Deltakerliste!E$5:E$98,Deltakerliste!I$5:I$98)</f>
        <v>77</v>
      </c>
      <c r="G43" s="192">
        <f>_xlfn.XLOOKUP(E43,Deltakerliste!E$5:E$98,Deltakerliste!H$5:H$98)</f>
        <v>2</v>
      </c>
      <c r="H43" s="592">
        <f>VLOOKUP(F43,Deltakerliste!P$6:T$84,G43,FALSE)</f>
        <v>1.7050000000000001</v>
      </c>
      <c r="I43" s="86"/>
      <c r="J43" s="86" t="s">
        <v>319</v>
      </c>
      <c r="K43" s="86"/>
      <c r="L43" s="600" t="str">
        <f t="shared" si="2"/>
        <v>Disk</v>
      </c>
      <c r="M43" s="594">
        <f>IF(L43="Løype",Poengsammendrag!$F$2,IF(L43="Arr",Poengsammendrag!$F$3,IF(L43="Brutt",50,IF(L43="Disk",50,ROUND(MAXA(100*(MIN(L$10:L$92)/L43),50),0)))))</f>
        <v>50</v>
      </c>
      <c r="N43" s="724" t="str">
        <f t="shared" si="3"/>
        <v>Disk</v>
      </c>
      <c r="O43" s="596">
        <f>IF(N43="Løype",Poengsammendrag!$F$2,IF(N43="Arr",Poengsammendrag!$F$3,IF(N43="Brutt",50,IF(N43="Disk",50,ROUND(MAXA(100*(MIN(N$10:N$92)/N43),50),0)))))</f>
        <v>50</v>
      </c>
      <c r="S43" s="803" t="s">
        <v>106</v>
      </c>
      <c r="T43" s="797" t="s">
        <v>319</v>
      </c>
      <c r="U43" s="770">
        <v>50</v>
      </c>
      <c r="V43" s="778"/>
      <c r="W43" s="783" t="s">
        <v>106</v>
      </c>
      <c r="X43" s="740">
        <v>50</v>
      </c>
      <c r="AB43" s="828">
        <f t="shared" si="5"/>
        <v>88</v>
      </c>
      <c r="AC43" s="829">
        <f t="shared" si="4"/>
        <v>0</v>
      </c>
    </row>
    <row r="44" spans="2:29" ht="21" customHeight="1" thickBot="1" x14ac:dyDescent="0.3">
      <c r="B44" s="16">
        <f t="shared" si="6"/>
        <v>35</v>
      </c>
      <c r="C44" s="106" t="s">
        <v>130</v>
      </c>
      <c r="D44" s="107" t="s">
        <v>131</v>
      </c>
      <c r="E44" s="599" t="str">
        <f t="shared" si="7"/>
        <v>AtleMørk</v>
      </c>
      <c r="F44" s="192">
        <f>YEAR(I$5)-_xlfn.XLOOKUP(E44,Deltakerliste!E$5:E$98,Deltakerliste!I$5:I$98)</f>
        <v>77</v>
      </c>
      <c r="G44" s="192">
        <f>_xlfn.XLOOKUP(E44,Deltakerliste!E$5:E$98,Deltakerliste!H$5:H$98)</f>
        <v>2</v>
      </c>
      <c r="H44" s="592">
        <f>VLOOKUP(F44,Deltakerliste!P$6:T$84,G44,FALSE)</f>
        <v>1.7050000000000001</v>
      </c>
      <c r="I44" s="132"/>
      <c r="J44" s="132" t="s">
        <v>62</v>
      </c>
      <c r="K44" s="132"/>
      <c r="L44" s="600" t="str">
        <f t="shared" si="2"/>
        <v>Løype</v>
      </c>
      <c r="M44" s="594">
        <f>IF(L44="Løype",Poengsammendrag!$F$2,IF(L44="Arr",Poengsammendrag!$F$3,IF(L44="Brutt",50,IF(L44="Disk",50,ROUND(MAXA(100*(MIN(L$10:L$92)/L44),50),0)))))</f>
        <v>100</v>
      </c>
      <c r="N44" s="724" t="str">
        <f t="shared" si="3"/>
        <v>Løype</v>
      </c>
      <c r="O44" s="596">
        <f>IF(N44="Løype",Poengsammendrag!$F$2,IF(N44="Arr",Poengsammendrag!$F$3,IF(N44="Brutt",50,IF(N44="Disk",50,ROUND(MAXA(100*(MIN(N$10:N$92)/N44),50),0)))))</f>
        <v>100</v>
      </c>
      <c r="S44" s="803" t="s">
        <v>130</v>
      </c>
      <c r="T44" s="797" t="s">
        <v>62</v>
      </c>
      <c r="U44" s="770">
        <v>100</v>
      </c>
      <c r="V44" s="772"/>
      <c r="W44" s="783" t="s">
        <v>130</v>
      </c>
      <c r="X44" s="740">
        <v>100</v>
      </c>
      <c r="AB44" s="828">
        <f t="shared" si="5"/>
        <v>89</v>
      </c>
      <c r="AC44" s="829">
        <f t="shared" si="4"/>
        <v>0</v>
      </c>
    </row>
    <row r="45" spans="2:29" ht="21" thickBot="1" x14ac:dyDescent="0.3">
      <c r="B45" s="16">
        <f t="shared" si="6"/>
        <v>36</v>
      </c>
      <c r="C45" s="106" t="s">
        <v>60</v>
      </c>
      <c r="D45" s="107" t="s">
        <v>61</v>
      </c>
      <c r="E45" s="599" t="str">
        <f t="shared" si="7"/>
        <v>JosteinAlvestad</v>
      </c>
      <c r="F45" s="192">
        <f>YEAR(I$5)-_xlfn.XLOOKUP(E45,Deltakerliste!E$5:E$98,Deltakerliste!I$5:I$98)</f>
        <v>71</v>
      </c>
      <c r="G45" s="192">
        <f>_xlfn.XLOOKUP(E45,Deltakerliste!E$5:E$98,Deltakerliste!H$5:H$98)</f>
        <v>2</v>
      </c>
      <c r="H45" s="592">
        <f>VLOOKUP(F45,Deltakerliste!P$6:T$84,G45,FALSE)</f>
        <v>1.4609999999999999</v>
      </c>
      <c r="I45" s="13"/>
      <c r="J45" s="13"/>
      <c r="K45" s="17"/>
      <c r="L45" s="600"/>
      <c r="M45" s="594"/>
      <c r="N45" s="724"/>
      <c r="O45" s="596"/>
      <c r="S45" s="803"/>
      <c r="T45" s="797"/>
      <c r="U45" s="770"/>
      <c r="V45" s="772"/>
      <c r="W45" s="783"/>
      <c r="X45" s="740"/>
      <c r="AB45" s="828">
        <f t="shared" si="5"/>
        <v>90</v>
      </c>
      <c r="AC45" s="829">
        <f t="shared" si="4"/>
        <v>0</v>
      </c>
    </row>
    <row r="46" spans="2:29" ht="21" thickBot="1" x14ac:dyDescent="0.3">
      <c r="B46" s="16">
        <f t="shared" si="6"/>
        <v>37</v>
      </c>
      <c r="C46" s="106" t="s">
        <v>64</v>
      </c>
      <c r="D46" s="107" t="s">
        <v>65</v>
      </c>
      <c r="E46" s="599" t="str">
        <f t="shared" si="7"/>
        <v>BjørnBerger</v>
      </c>
      <c r="F46" s="192">
        <f>YEAR(I$5)-_xlfn.XLOOKUP(E46,Deltakerliste!E$5:E$98,Deltakerliste!I$5:I$98)</f>
        <v>75</v>
      </c>
      <c r="G46" s="192">
        <f>_xlfn.XLOOKUP(E46,Deltakerliste!E$5:E$98,Deltakerliste!H$5:H$98)</f>
        <v>2</v>
      </c>
      <c r="H46" s="592">
        <f>VLOOKUP(F46,Deltakerliste!P$6:T$84,G46,FALSE)</f>
        <v>1.605</v>
      </c>
      <c r="I46" s="13"/>
      <c r="J46" s="855"/>
      <c r="K46" s="19"/>
      <c r="L46" s="600"/>
      <c r="M46" s="594"/>
      <c r="N46" s="724"/>
      <c r="O46" s="596"/>
      <c r="S46" s="803"/>
      <c r="T46" s="797"/>
      <c r="U46" s="770"/>
      <c r="V46" s="772"/>
      <c r="W46" s="783"/>
      <c r="X46" s="740"/>
      <c r="AB46" s="828">
        <f t="shared" si="5"/>
        <v>91</v>
      </c>
      <c r="AC46" s="829">
        <f t="shared" si="4"/>
        <v>0</v>
      </c>
    </row>
    <row r="47" spans="2:29" ht="21" customHeight="1" thickBot="1" x14ac:dyDescent="0.3">
      <c r="B47" s="16">
        <f t="shared" si="6"/>
        <v>38</v>
      </c>
      <c r="C47" s="106" t="s">
        <v>66</v>
      </c>
      <c r="D47" s="107" t="s">
        <v>67</v>
      </c>
      <c r="E47" s="599" t="str">
        <f t="shared" si="7"/>
        <v>FrankBjarkø</v>
      </c>
      <c r="F47" s="192">
        <f>YEAR(I$5)-_xlfn.XLOOKUP(E47,Deltakerliste!E$5:E$98,Deltakerliste!I$5:I$98)</f>
        <v>74</v>
      </c>
      <c r="G47" s="192">
        <f>_xlfn.XLOOKUP(E47,Deltakerliste!E$5:E$98,Deltakerliste!H$5:H$98)</f>
        <v>2</v>
      </c>
      <c r="H47" s="592">
        <f>VLOOKUP(F47,Deltakerliste!P$6:T$84,G47,FALSE)</f>
        <v>1.569</v>
      </c>
      <c r="I47" s="13"/>
      <c r="J47" s="13"/>
      <c r="K47" s="13"/>
      <c r="L47" s="600"/>
      <c r="M47" s="594"/>
      <c r="N47" s="724"/>
      <c r="O47" s="596"/>
      <c r="S47" s="803"/>
      <c r="T47" s="797"/>
      <c r="U47" s="770"/>
      <c r="V47" s="772"/>
      <c r="W47" s="783"/>
      <c r="X47" s="740"/>
      <c r="AB47" s="828">
        <f t="shared" si="5"/>
        <v>92</v>
      </c>
      <c r="AC47" s="829">
        <f t="shared" si="4"/>
        <v>0</v>
      </c>
    </row>
    <row r="48" spans="2:29" ht="21" customHeight="1" thickBot="1" x14ac:dyDescent="0.3">
      <c r="B48" s="16">
        <f t="shared" si="6"/>
        <v>39</v>
      </c>
      <c r="C48" s="106" t="s">
        <v>364</v>
      </c>
      <c r="D48" s="107" t="s">
        <v>365</v>
      </c>
      <c r="E48" s="599" t="str">
        <f t="shared" si="7"/>
        <v>GerdBjørset</v>
      </c>
      <c r="F48" s="192">
        <f>YEAR(I$5)-_xlfn.XLOOKUP(E48,Deltakerliste!E$5:E$98,Deltakerliste!I$5:I$98)</f>
        <v>72</v>
      </c>
      <c r="G48" s="192">
        <f>_xlfn.XLOOKUP(E48,Deltakerliste!E$5:E$98,Deltakerliste!H$5:H$98)</f>
        <v>4</v>
      </c>
      <c r="H48" s="592">
        <f>VLOOKUP(F48,Deltakerliste!P$6:T$84,G48,FALSE)</f>
        <v>2.0362000000000013</v>
      </c>
      <c r="I48" s="13"/>
      <c r="J48" s="13"/>
      <c r="K48" s="13"/>
      <c r="L48" s="600"/>
      <c r="M48" s="594"/>
      <c r="N48" s="724"/>
      <c r="O48" s="596"/>
      <c r="S48" s="803"/>
      <c r="T48" s="797"/>
      <c r="U48" s="770"/>
      <c r="V48" s="772"/>
      <c r="W48" s="783"/>
      <c r="X48" s="740"/>
      <c r="AB48" s="828">
        <f t="shared" si="5"/>
        <v>93</v>
      </c>
      <c r="AC48" s="829">
        <f t="shared" si="4"/>
        <v>0</v>
      </c>
    </row>
    <row r="49" spans="2:29" ht="21" customHeight="1" thickBot="1" x14ac:dyDescent="0.3">
      <c r="B49" s="16">
        <f t="shared" si="6"/>
        <v>40</v>
      </c>
      <c r="C49" s="106" t="s">
        <v>64</v>
      </c>
      <c r="D49" s="107" t="s">
        <v>267</v>
      </c>
      <c r="E49" s="599" t="str">
        <f t="shared" si="7"/>
        <v>BjørnBrenne</v>
      </c>
      <c r="F49" s="192">
        <f>YEAR(I$5)-_xlfn.XLOOKUP(E49,Deltakerliste!E$5:E$98,Deltakerliste!I$5:I$98)</f>
        <v>81</v>
      </c>
      <c r="G49" s="192">
        <f>_xlfn.XLOOKUP(E49,Deltakerliste!E$5:E$98,Deltakerliste!H$5:H$98)</f>
        <v>2</v>
      </c>
      <c r="H49" s="592">
        <f>VLOOKUP(F49,Deltakerliste!P$6:T$84,G49,FALSE)</f>
        <v>1.9290000000000003</v>
      </c>
      <c r="I49" s="86"/>
      <c r="J49" s="86"/>
      <c r="K49" s="13"/>
      <c r="L49" s="600"/>
      <c r="M49" s="594"/>
      <c r="N49" s="724"/>
      <c r="O49" s="596"/>
      <c r="S49" s="803"/>
      <c r="T49" s="796"/>
      <c r="U49" s="793"/>
      <c r="V49" s="794"/>
      <c r="W49" s="795"/>
      <c r="X49" s="762"/>
      <c r="AB49" s="828">
        <f t="shared" si="5"/>
        <v>94</v>
      </c>
      <c r="AC49" s="829">
        <f t="shared" si="4"/>
        <v>0</v>
      </c>
    </row>
    <row r="50" spans="2:29" ht="21" thickBot="1" x14ac:dyDescent="0.3">
      <c r="B50" s="16">
        <f t="shared" si="6"/>
        <v>41</v>
      </c>
      <c r="C50" s="106" t="s">
        <v>342</v>
      </c>
      <c r="D50" s="107" t="s">
        <v>388</v>
      </c>
      <c r="E50" s="599" t="str">
        <f t="shared" si="7"/>
        <v>ArildClausen</v>
      </c>
      <c r="F50" s="192">
        <f>YEAR(I$5)-_xlfn.XLOOKUP(E50,Deltakerliste!E$5:E$98,Deltakerliste!I$5:I$98)</f>
        <v>58</v>
      </c>
      <c r="G50" s="192">
        <f>_xlfn.XLOOKUP(E50,Deltakerliste!E$5:E$98,Deltakerliste!H$5:H$98)</f>
        <v>2</v>
      </c>
      <c r="H50" s="592">
        <f>VLOOKUP(F50,Deltakerliste!P$6:T$84,G50,FALSE)</f>
        <v>1.1720000000000002</v>
      </c>
      <c r="I50" s="86"/>
      <c r="J50" s="86"/>
      <c r="K50" s="13"/>
      <c r="L50" s="600"/>
      <c r="M50" s="594"/>
      <c r="N50" s="724"/>
      <c r="O50" s="596"/>
      <c r="S50" s="803"/>
      <c r="T50" s="851"/>
      <c r="U50" s="770"/>
      <c r="V50" s="772"/>
      <c r="W50" s="783"/>
      <c r="X50" s="740"/>
      <c r="AB50" s="830">
        <f t="shared" si="5"/>
        <v>95</v>
      </c>
      <c r="AC50" s="831">
        <f t="shared" si="4"/>
        <v>0</v>
      </c>
    </row>
    <row r="51" spans="2:29" ht="21" customHeight="1" thickBot="1" x14ac:dyDescent="0.3">
      <c r="B51" s="16">
        <f t="shared" si="6"/>
        <v>42</v>
      </c>
      <c r="C51" s="106" t="s">
        <v>70</v>
      </c>
      <c r="D51" s="107" t="s">
        <v>71</v>
      </c>
      <c r="E51" s="599" t="str">
        <f t="shared" si="7"/>
        <v>TrondDamås</v>
      </c>
      <c r="F51" s="192">
        <f>YEAR(I$5)-_xlfn.XLOOKUP(E51,Deltakerliste!E$5:E$98,Deltakerliste!I$5:I$98)</f>
        <v>76</v>
      </c>
      <c r="G51" s="192">
        <f>_xlfn.XLOOKUP(E51,Deltakerliste!E$5:E$98,Deltakerliste!H$5:H$98)</f>
        <v>2</v>
      </c>
      <c r="H51" s="592">
        <f>VLOOKUP(F51,Deltakerliste!P$6:T$84,G51,FALSE)</f>
        <v>1.655</v>
      </c>
      <c r="I51" s="13"/>
      <c r="J51" s="13"/>
      <c r="K51" s="13"/>
      <c r="L51" s="600"/>
      <c r="M51" s="594"/>
      <c r="N51" s="724"/>
      <c r="O51" s="596"/>
      <c r="S51" s="803"/>
      <c r="T51" s="797"/>
      <c r="U51" s="770"/>
      <c r="V51" s="772"/>
      <c r="W51" s="783"/>
      <c r="X51" s="740"/>
    </row>
    <row r="52" spans="2:29" ht="21" thickBot="1" x14ac:dyDescent="0.3">
      <c r="B52" s="16">
        <f t="shared" si="6"/>
        <v>43</v>
      </c>
      <c r="C52" s="106" t="s">
        <v>74</v>
      </c>
      <c r="D52" s="107" t="s">
        <v>75</v>
      </c>
      <c r="E52" s="599" t="str">
        <f t="shared" si="7"/>
        <v>StinaElfving</v>
      </c>
      <c r="F52" s="192">
        <f>YEAR(I$5)-_xlfn.XLOOKUP(E52,Deltakerliste!E$5:E$98,Deltakerliste!I$5:I$98)</f>
        <v>76</v>
      </c>
      <c r="G52" s="192">
        <f>_xlfn.XLOOKUP(E52,Deltakerliste!E$5:E$98,Deltakerliste!H$5:H$98)</f>
        <v>4</v>
      </c>
      <c r="H52" s="592">
        <f>VLOOKUP(F52,Deltakerliste!P$6:T$84,G52,FALSE)</f>
        <v>2.2246000000000015</v>
      </c>
      <c r="I52" s="13"/>
      <c r="J52" s="13"/>
      <c r="K52" s="17"/>
      <c r="L52" s="600"/>
      <c r="M52" s="594"/>
      <c r="N52" s="724"/>
      <c r="O52" s="596"/>
      <c r="S52" s="803"/>
      <c r="T52" s="798"/>
      <c r="U52" s="770"/>
      <c r="V52" s="772"/>
      <c r="W52" s="783"/>
      <c r="X52" s="740"/>
      <c r="AC52" s="651">
        <f>SUM(AC10:AC50)</f>
        <v>35</v>
      </c>
    </row>
    <row r="53" spans="2:29" ht="21" thickBot="1" x14ac:dyDescent="0.3">
      <c r="B53" s="16">
        <f t="shared" si="6"/>
        <v>44</v>
      </c>
      <c r="C53" s="106" t="s">
        <v>216</v>
      </c>
      <c r="D53" s="107" t="s">
        <v>77</v>
      </c>
      <c r="E53" s="599" t="str">
        <f t="shared" si="7"/>
        <v>Åse RitaEllingsen</v>
      </c>
      <c r="F53" s="192">
        <f>YEAR(I$5)-_xlfn.XLOOKUP(E53,Deltakerliste!E$5:E$98,Deltakerliste!I$5:I$98)</f>
        <v>62</v>
      </c>
      <c r="G53" s="192">
        <f>_xlfn.XLOOKUP(E53,Deltakerliste!E$5:E$98,Deltakerliste!H$5:H$98)</f>
        <v>4</v>
      </c>
      <c r="H53" s="592">
        <f>VLOOKUP(F53,Deltakerliste!P$6:T$84,G53,FALSE)</f>
        <v>1.6834000000000005</v>
      </c>
      <c r="I53" s="86"/>
      <c r="J53" s="14"/>
      <c r="K53" s="13"/>
      <c r="L53" s="600"/>
      <c r="M53" s="594"/>
      <c r="N53" s="724"/>
      <c r="O53" s="596"/>
      <c r="S53" s="803"/>
      <c r="T53" s="798"/>
      <c r="U53" s="770"/>
      <c r="V53" s="772"/>
      <c r="W53" s="783"/>
      <c r="X53" s="740"/>
    </row>
    <row r="54" spans="2:29" ht="21" thickBot="1" x14ac:dyDescent="0.3">
      <c r="B54" s="16">
        <f t="shared" si="6"/>
        <v>45</v>
      </c>
      <c r="C54" s="106" t="s">
        <v>80</v>
      </c>
      <c r="D54" s="107" t="s">
        <v>81</v>
      </c>
      <c r="E54" s="599" t="str">
        <f t="shared" si="7"/>
        <v>HalvorFlatberg</v>
      </c>
      <c r="F54" s="192">
        <f>YEAR(I$5)-_xlfn.XLOOKUP(E54,Deltakerliste!E$5:E$98,Deltakerliste!I$5:I$98)</f>
        <v>80</v>
      </c>
      <c r="G54" s="192">
        <f>_xlfn.XLOOKUP(E54,Deltakerliste!E$5:E$98,Deltakerliste!H$5:H$98)</f>
        <v>2</v>
      </c>
      <c r="H54" s="592">
        <f>VLOOKUP(F54,Deltakerliste!P$6:T$84,G54,FALSE)</f>
        <v>1.8550000000000002</v>
      </c>
      <c r="I54" s="86"/>
      <c r="J54" s="86"/>
      <c r="K54" s="13"/>
      <c r="L54" s="600"/>
      <c r="M54" s="594"/>
      <c r="N54" s="724"/>
      <c r="O54" s="596"/>
      <c r="S54" s="846"/>
      <c r="T54" s="847"/>
      <c r="U54" s="848"/>
      <c r="V54" s="778"/>
      <c r="W54" s="849"/>
      <c r="X54" s="850"/>
    </row>
    <row r="55" spans="2:29" ht="21" customHeight="1" thickBot="1" x14ac:dyDescent="0.3">
      <c r="B55" s="16">
        <f t="shared" si="6"/>
        <v>46</v>
      </c>
      <c r="C55" s="106" t="s">
        <v>271</v>
      </c>
      <c r="D55" s="107" t="s">
        <v>272</v>
      </c>
      <c r="E55" s="599" t="str">
        <f t="shared" si="7"/>
        <v>Arne KjellFoldvik</v>
      </c>
      <c r="F55" s="192">
        <f>YEAR(I$5)-_xlfn.XLOOKUP(E55,Deltakerliste!E$5:E$98,Deltakerliste!I$5:I$98)</f>
        <v>92</v>
      </c>
      <c r="G55" s="192">
        <f>_xlfn.XLOOKUP(E55,Deltakerliste!E$5:E$98,Deltakerliste!H$5:H$98)</f>
        <v>2</v>
      </c>
      <c r="H55" s="592">
        <f>VLOOKUP(F55,Deltakerliste!P$6:T$84,G55,FALSE)</f>
        <v>2.8130000000000002</v>
      </c>
      <c r="I55" s="14"/>
      <c r="J55" s="14"/>
      <c r="K55" s="13"/>
      <c r="L55" s="600"/>
      <c r="M55" s="594"/>
      <c r="N55" s="724"/>
      <c r="O55" s="596"/>
      <c r="S55" s="803"/>
      <c r="T55" s="798"/>
      <c r="U55" s="770"/>
      <c r="V55" s="772"/>
      <c r="W55" s="783"/>
      <c r="X55" s="740"/>
    </row>
    <row r="56" spans="2:29" ht="21" thickBot="1" x14ac:dyDescent="0.3">
      <c r="B56" s="16">
        <f t="shared" si="6"/>
        <v>47</v>
      </c>
      <c r="C56" s="106" t="s">
        <v>82</v>
      </c>
      <c r="D56" s="107" t="s">
        <v>83</v>
      </c>
      <c r="E56" s="599" t="str">
        <f t="shared" si="7"/>
        <v>RoarForbord</v>
      </c>
      <c r="F56" s="192">
        <f>YEAR(I$5)-_xlfn.XLOOKUP(E56,Deltakerliste!E$5:E$98,Deltakerliste!I$5:I$98)</f>
        <v>83</v>
      </c>
      <c r="G56" s="192">
        <f>_xlfn.XLOOKUP(E56,Deltakerliste!E$5:E$98,Deltakerliste!H$5:H$98)</f>
        <v>2</v>
      </c>
      <c r="H56" s="592">
        <f>VLOOKUP(F56,Deltakerliste!P$6:T$84,G56,FALSE)</f>
        <v>2.077</v>
      </c>
      <c r="I56" s="86"/>
      <c r="J56" s="86"/>
      <c r="K56" s="13"/>
      <c r="L56" s="600"/>
      <c r="M56" s="594"/>
      <c r="N56" s="724"/>
      <c r="O56" s="596"/>
      <c r="S56" s="803"/>
      <c r="T56" s="798"/>
      <c r="U56" s="770"/>
      <c r="V56" s="772"/>
      <c r="W56" s="783"/>
      <c r="X56" s="740"/>
    </row>
    <row r="57" spans="2:29" ht="21" thickBot="1" x14ac:dyDescent="0.3">
      <c r="B57" s="16">
        <f t="shared" si="6"/>
        <v>48</v>
      </c>
      <c r="C57" s="106" t="s">
        <v>377</v>
      </c>
      <c r="D57" s="107" t="s">
        <v>83</v>
      </c>
      <c r="E57" s="599" t="str">
        <f t="shared" si="7"/>
        <v>HildeForbord</v>
      </c>
      <c r="F57" s="192">
        <f>YEAR(I$5)-_xlfn.XLOOKUP(E57,Deltakerliste!E$5:E$98,Deltakerliste!I$5:I$98)</f>
        <v>60</v>
      </c>
      <c r="G57" s="192">
        <f>_xlfn.XLOOKUP(E57,Deltakerliste!E$5:E$98,Deltakerliste!H$5:H$98)</f>
        <v>4</v>
      </c>
      <c r="H57" s="592">
        <f>VLOOKUP(F57,Deltakerliste!P$6:T$84,G57,FALSE)</f>
        <v>1.6250000000000002</v>
      </c>
      <c r="I57" s="14"/>
      <c r="J57" s="14"/>
      <c r="K57" s="13"/>
      <c r="L57" s="600"/>
      <c r="M57" s="594"/>
      <c r="N57" s="724"/>
      <c r="O57" s="596"/>
      <c r="S57" s="804"/>
      <c r="T57" s="801"/>
      <c r="U57" s="771"/>
      <c r="V57" s="773"/>
      <c r="W57" s="784"/>
      <c r="X57" s="741"/>
    </row>
    <row r="58" spans="2:29" ht="20" customHeight="1" thickBot="1" x14ac:dyDescent="0.3">
      <c r="B58" s="16">
        <f t="shared" si="6"/>
        <v>49</v>
      </c>
      <c r="C58" s="106" t="s">
        <v>84</v>
      </c>
      <c r="D58" s="107" t="s">
        <v>85</v>
      </c>
      <c r="E58" s="599" t="str">
        <f t="shared" si="7"/>
        <v>PaulForseth</v>
      </c>
      <c r="F58" s="192">
        <f>YEAR(I$5)-_xlfn.XLOOKUP(E58,Deltakerliste!E$5:E$98,Deltakerliste!I$5:I$98)</f>
        <v>94</v>
      </c>
      <c r="G58" s="192">
        <f>_xlfn.XLOOKUP(E58,Deltakerliste!E$5:E$98,Deltakerliste!H$5:H$98)</f>
        <v>2</v>
      </c>
      <c r="H58" s="592">
        <f>VLOOKUP(F58,Deltakerliste!P$6:T$84,G58,FALSE)</f>
        <v>2.9810000000000003</v>
      </c>
      <c r="I58" s="86"/>
      <c r="J58" s="86"/>
      <c r="K58" s="17"/>
      <c r="L58" s="600"/>
      <c r="M58" s="594"/>
      <c r="N58" s="724"/>
      <c r="O58" s="596"/>
    </row>
    <row r="59" spans="2:29" ht="21" thickBot="1" x14ac:dyDescent="0.3">
      <c r="B59" s="16">
        <f t="shared" si="6"/>
        <v>50</v>
      </c>
      <c r="C59" s="106" t="s">
        <v>86</v>
      </c>
      <c r="D59" s="107" t="s">
        <v>87</v>
      </c>
      <c r="E59" s="599" t="str">
        <f t="shared" si="7"/>
        <v>KristianFougner</v>
      </c>
      <c r="F59" s="192">
        <f>YEAR(I$5)-_xlfn.XLOOKUP(E59,Deltakerliste!E$5:E$98,Deltakerliste!I$5:I$98)</f>
        <v>76</v>
      </c>
      <c r="G59" s="192">
        <f>_xlfn.XLOOKUP(E59,Deltakerliste!E$5:E$98,Deltakerliste!H$5:H$98)</f>
        <v>2</v>
      </c>
      <c r="H59" s="592">
        <f>VLOOKUP(F59,Deltakerliste!P$6:T$84,G59,FALSE)</f>
        <v>1.655</v>
      </c>
      <c r="I59" s="86"/>
      <c r="J59" s="86"/>
      <c r="K59" s="13"/>
      <c r="L59" s="600"/>
      <c r="M59" s="594"/>
      <c r="N59" s="724"/>
      <c r="O59" s="596"/>
    </row>
    <row r="60" spans="2:29" ht="21" customHeight="1" thickBot="1" x14ac:dyDescent="0.3">
      <c r="B60" s="16">
        <f t="shared" si="6"/>
        <v>51</v>
      </c>
      <c r="C60" s="106" t="s">
        <v>207</v>
      </c>
      <c r="D60" s="107" t="s">
        <v>89</v>
      </c>
      <c r="E60" s="599" t="str">
        <f t="shared" si="7"/>
        <v>AnneFuruholt</v>
      </c>
      <c r="F60" s="192">
        <f>YEAR(I$5)-_xlfn.XLOOKUP(E60,Deltakerliste!E$5:E$98,Deltakerliste!I$5:I$98)</f>
        <v>79</v>
      </c>
      <c r="G60" s="192">
        <f>_xlfn.XLOOKUP(E60,Deltakerliste!E$5:E$98,Deltakerliste!H$5:H$98)</f>
        <v>4</v>
      </c>
      <c r="H60" s="592">
        <f>VLOOKUP(F60,Deltakerliste!P$6:T$84,G60,FALSE)</f>
        <v>2.3974000000000011</v>
      </c>
      <c r="I60" s="13"/>
      <c r="J60" s="13"/>
      <c r="K60" s="13"/>
      <c r="L60" s="600"/>
      <c r="M60" s="594"/>
      <c r="N60" s="724"/>
      <c r="O60" s="596"/>
    </row>
    <row r="61" spans="2:29" ht="21" customHeight="1" thickBot="1" x14ac:dyDescent="0.3">
      <c r="B61" s="16">
        <f t="shared" si="6"/>
        <v>52</v>
      </c>
      <c r="C61" s="106" t="s">
        <v>116</v>
      </c>
      <c r="D61" s="107" t="s">
        <v>353</v>
      </c>
      <c r="E61" s="599" t="str">
        <f t="shared" si="7"/>
        <v>AndersGjermo</v>
      </c>
      <c r="F61" s="192">
        <f>YEAR(I$5)-_xlfn.XLOOKUP(E61,Deltakerliste!E$5:E$98,Deltakerliste!I$5:I$98)</f>
        <v>68</v>
      </c>
      <c r="G61" s="192">
        <f>_xlfn.XLOOKUP(E61,Deltakerliste!E$5:E$98,Deltakerliste!H$5:H$98)</f>
        <v>2</v>
      </c>
      <c r="H61" s="592">
        <f>VLOOKUP(F61,Deltakerliste!P$6:T$84,G61,FALSE)</f>
        <v>1.3729999999999998</v>
      </c>
      <c r="I61" s="132"/>
      <c r="J61" s="132"/>
      <c r="K61" s="18"/>
      <c r="L61" s="600"/>
      <c r="M61" s="594"/>
      <c r="N61" s="724"/>
      <c r="O61" s="596"/>
    </row>
    <row r="62" spans="2:29" ht="21" customHeight="1" thickBot="1" x14ac:dyDescent="0.3">
      <c r="B62" s="16">
        <f t="shared" si="6"/>
        <v>53</v>
      </c>
      <c r="C62" s="106" t="s">
        <v>92</v>
      </c>
      <c r="D62" s="107" t="s">
        <v>93</v>
      </c>
      <c r="E62" s="599" t="str">
        <f t="shared" si="7"/>
        <v>Jens ØysteinGjersvold</v>
      </c>
      <c r="F62" s="192">
        <f>YEAR(I$5)-_xlfn.XLOOKUP(E62,Deltakerliste!E$5:E$98,Deltakerliste!I$5:I$98)</f>
        <v>74</v>
      </c>
      <c r="G62" s="192">
        <f>_xlfn.XLOOKUP(E62,Deltakerliste!E$5:E$98,Deltakerliste!H$5:H$98)</f>
        <v>2</v>
      </c>
      <c r="H62" s="592">
        <f>VLOOKUP(F62,Deltakerliste!P$6:T$84,G62,FALSE)</f>
        <v>1.569</v>
      </c>
      <c r="I62" s="14"/>
      <c r="J62" s="14"/>
      <c r="K62" s="18"/>
      <c r="L62" s="600"/>
      <c r="M62" s="594"/>
      <c r="N62" s="724"/>
      <c r="O62" s="596"/>
    </row>
    <row r="63" spans="2:29" ht="21" thickBot="1" x14ac:dyDescent="0.3">
      <c r="B63" s="16">
        <f t="shared" si="6"/>
        <v>54</v>
      </c>
      <c r="C63" s="106" t="s">
        <v>64</v>
      </c>
      <c r="D63" s="107" t="s">
        <v>366</v>
      </c>
      <c r="E63" s="599" t="str">
        <f t="shared" si="7"/>
        <v>BjørnHafskjold</v>
      </c>
      <c r="F63" s="192">
        <f>YEAR(I$5)-_xlfn.XLOOKUP(E63,Deltakerliste!E$5:E$98,Deltakerliste!I$5:I$98)</f>
        <v>79</v>
      </c>
      <c r="G63" s="192">
        <f>_xlfn.XLOOKUP(E63,Deltakerliste!E$5:E$98,Deltakerliste!H$5:H$98)</f>
        <v>2</v>
      </c>
      <c r="H63" s="592">
        <f>VLOOKUP(F63,Deltakerliste!P$6:T$84,G63,FALSE)</f>
        <v>1.8050000000000002</v>
      </c>
      <c r="I63" s="14"/>
      <c r="J63" s="14"/>
      <c r="K63" s="18"/>
      <c r="L63" s="600"/>
      <c r="M63" s="594"/>
      <c r="N63" s="724"/>
      <c r="O63" s="596"/>
    </row>
    <row r="64" spans="2:29" ht="21" thickBot="1" x14ac:dyDescent="0.3">
      <c r="B64" s="16">
        <f t="shared" si="6"/>
        <v>55</v>
      </c>
      <c r="C64" s="106" t="s">
        <v>63</v>
      </c>
      <c r="D64" s="107" t="s">
        <v>98</v>
      </c>
      <c r="E64" s="599" t="str">
        <f t="shared" si="7"/>
        <v>ToreHeggem</v>
      </c>
      <c r="F64" s="192">
        <f>YEAR(I$5)-_xlfn.XLOOKUP(E64,Deltakerliste!E$5:E$98,Deltakerliste!I$5:I$98)</f>
        <v>73</v>
      </c>
      <c r="G64" s="192">
        <f>_xlfn.XLOOKUP(E64,Deltakerliste!E$5:E$98,Deltakerliste!H$5:H$98)</f>
        <v>2</v>
      </c>
      <c r="H64" s="592">
        <f>VLOOKUP(F64,Deltakerliste!P$6:T$84,G64,FALSE)</f>
        <v>1.5329999999999999</v>
      </c>
      <c r="I64" s="86"/>
      <c r="J64" s="86"/>
      <c r="K64" s="13"/>
      <c r="L64" s="600"/>
      <c r="M64" s="594"/>
      <c r="N64" s="724"/>
      <c r="O64" s="596"/>
    </row>
    <row r="65" spans="2:17" ht="21" thickBot="1" x14ac:dyDescent="0.3">
      <c r="B65" s="16">
        <f t="shared" si="6"/>
        <v>56</v>
      </c>
      <c r="C65" s="106" t="s">
        <v>342</v>
      </c>
      <c r="D65" s="107" t="s">
        <v>343</v>
      </c>
      <c r="E65" s="599" t="str">
        <f t="shared" si="7"/>
        <v>ArildHeggeset</v>
      </c>
      <c r="F65" s="192">
        <f>YEAR(I$5)-_xlfn.XLOOKUP(E65,Deltakerliste!E$5:E$98,Deltakerliste!I$5:I$98)</f>
        <v>59</v>
      </c>
      <c r="G65" s="192">
        <f>_xlfn.XLOOKUP(E65,Deltakerliste!E$5:E$98,Deltakerliste!H$5:H$98)</f>
        <v>2</v>
      </c>
      <c r="H65" s="592">
        <f>VLOOKUP(F65,Deltakerliste!P$6:T$84,G65,FALSE)</f>
        <v>1.1860000000000002</v>
      </c>
      <c r="I65" s="86"/>
      <c r="J65" s="86"/>
      <c r="K65" s="13"/>
      <c r="L65" s="600"/>
      <c r="M65" s="594"/>
      <c r="N65" s="724"/>
      <c r="O65" s="596"/>
    </row>
    <row r="66" spans="2:17" ht="21" thickBot="1" x14ac:dyDescent="0.3">
      <c r="B66" s="16">
        <f t="shared" si="6"/>
        <v>57</v>
      </c>
      <c r="C66" s="106" t="s">
        <v>309</v>
      </c>
      <c r="D66" s="107" t="s">
        <v>310</v>
      </c>
      <c r="E66" s="599" t="str">
        <f t="shared" si="7"/>
        <v>VigdisHeimly</v>
      </c>
      <c r="F66" s="192">
        <f>YEAR(I$5)-_xlfn.XLOOKUP(E66,Deltakerliste!E$5:E$98,Deltakerliste!I$5:I$98)</f>
        <v>67</v>
      </c>
      <c r="G66" s="192">
        <f>_xlfn.XLOOKUP(E66,Deltakerliste!E$5:E$98,Deltakerliste!H$5:H$98)</f>
        <v>4</v>
      </c>
      <c r="H66" s="592">
        <f>VLOOKUP(F66,Deltakerliste!P$6:T$84,G66,FALSE)</f>
        <v>1.8422000000000009</v>
      </c>
      <c r="I66" s="86"/>
      <c r="J66" s="86"/>
      <c r="K66" s="17"/>
      <c r="L66" s="600"/>
      <c r="M66" s="594"/>
      <c r="N66" s="724"/>
      <c r="O66" s="596"/>
    </row>
    <row r="67" spans="2:17" ht="21" thickBot="1" x14ac:dyDescent="0.3">
      <c r="B67" s="16">
        <f t="shared" si="6"/>
        <v>58</v>
      </c>
      <c r="C67" s="106" t="s">
        <v>118</v>
      </c>
      <c r="D67" s="107" t="s">
        <v>383</v>
      </c>
      <c r="E67" s="599" t="str">
        <f t="shared" si="7"/>
        <v>KnutHelland</v>
      </c>
      <c r="F67" s="192">
        <f>YEAR(I$5)-_xlfn.XLOOKUP(E67,Deltakerliste!E$5:E$98,Deltakerliste!I$5:I$98)</f>
        <v>64</v>
      </c>
      <c r="G67" s="192">
        <f>_xlfn.XLOOKUP(E67,Deltakerliste!E$5:E$98,Deltakerliste!H$5:H$98)</f>
        <v>2</v>
      </c>
      <c r="H67" s="592">
        <f>VLOOKUP(F67,Deltakerliste!P$6:T$84,G67,FALSE)</f>
        <v>1.2759999999999998</v>
      </c>
      <c r="I67" s="86"/>
      <c r="J67" s="86"/>
      <c r="K67" s="17"/>
      <c r="L67" s="600"/>
      <c r="M67" s="594"/>
      <c r="N67" s="724"/>
      <c r="O67" s="596"/>
    </row>
    <row r="68" spans="2:17" ht="21" thickBot="1" x14ac:dyDescent="0.3">
      <c r="B68" s="16">
        <f t="shared" si="6"/>
        <v>59</v>
      </c>
      <c r="C68" s="106" t="s">
        <v>99</v>
      </c>
      <c r="D68" s="107" t="s">
        <v>100</v>
      </c>
      <c r="E68" s="599" t="str">
        <f t="shared" si="7"/>
        <v>RobertHirsch</v>
      </c>
      <c r="F68" s="192">
        <f>YEAR(I$5)-_xlfn.XLOOKUP(E68,Deltakerliste!E$5:E$98,Deltakerliste!I$5:I$98)</f>
        <v>69</v>
      </c>
      <c r="G68" s="192">
        <f>_xlfn.XLOOKUP(E68,Deltakerliste!E$5:E$98,Deltakerliste!H$5:H$98)</f>
        <v>2</v>
      </c>
      <c r="H68" s="592">
        <f>VLOOKUP(F68,Deltakerliste!P$6:T$84,G68,FALSE)</f>
        <v>1.3989999999999998</v>
      </c>
      <c r="I68" s="86"/>
      <c r="J68" s="86"/>
      <c r="K68" s="13"/>
      <c r="L68" s="600"/>
      <c r="M68" s="594"/>
      <c r="N68" s="724"/>
      <c r="O68" s="596"/>
    </row>
    <row r="69" spans="2:17" ht="21" thickBot="1" x14ac:dyDescent="0.3">
      <c r="B69" s="16">
        <f t="shared" si="6"/>
        <v>60</v>
      </c>
      <c r="C69" s="106" t="s">
        <v>269</v>
      </c>
      <c r="D69" s="107" t="s">
        <v>270</v>
      </c>
      <c r="E69" s="599" t="str">
        <f t="shared" si="7"/>
        <v>Per OlavJohansen</v>
      </c>
      <c r="F69" s="192">
        <f>YEAR(I$5)-_xlfn.XLOOKUP(E69,Deltakerliste!E$5:E$98,Deltakerliste!I$5:I$98)</f>
        <v>68</v>
      </c>
      <c r="G69" s="192">
        <f>_xlfn.XLOOKUP(E69,Deltakerliste!E$5:E$98,Deltakerliste!H$5:H$98)</f>
        <v>2</v>
      </c>
      <c r="H69" s="592">
        <f>VLOOKUP(F69,Deltakerliste!P$6:T$84,G69,FALSE)</f>
        <v>1.3729999999999998</v>
      </c>
      <c r="I69" s="132"/>
      <c r="J69" s="132"/>
      <c r="K69" s="134"/>
      <c r="L69" s="600"/>
      <c r="M69" s="594"/>
      <c r="N69" s="724"/>
      <c r="O69" s="596"/>
    </row>
    <row r="70" spans="2:17" ht="21" thickBot="1" x14ac:dyDescent="0.3">
      <c r="B70" s="16">
        <f t="shared" si="6"/>
        <v>61</v>
      </c>
      <c r="C70" s="106" t="s">
        <v>63</v>
      </c>
      <c r="D70" s="107" t="s">
        <v>105</v>
      </c>
      <c r="E70" s="599" t="str">
        <f t="shared" si="7"/>
        <v>ToreKiste</v>
      </c>
      <c r="F70" s="192">
        <f>YEAR(I$5)-_xlfn.XLOOKUP(E70,Deltakerliste!E$5:E$98,Deltakerliste!I$5:I$98)</f>
        <v>81</v>
      </c>
      <c r="G70" s="192">
        <f>_xlfn.XLOOKUP(E70,Deltakerliste!E$5:E$98,Deltakerliste!H$5:H$98)</f>
        <v>2</v>
      </c>
      <c r="H70" s="592">
        <f>VLOOKUP(F70,Deltakerliste!P$6:T$84,G70,FALSE)</f>
        <v>1.9290000000000003</v>
      </c>
      <c r="I70" s="86"/>
      <c r="J70" s="86"/>
      <c r="K70" s="13"/>
      <c r="L70" s="600"/>
      <c r="M70" s="594"/>
      <c r="N70" s="724"/>
      <c r="O70" s="596"/>
    </row>
    <row r="71" spans="2:17" ht="21" thickBot="1" x14ac:dyDescent="0.3">
      <c r="B71" s="16">
        <f t="shared" si="6"/>
        <v>62</v>
      </c>
      <c r="C71" s="106" t="s">
        <v>108</v>
      </c>
      <c r="D71" s="107" t="s">
        <v>109</v>
      </c>
      <c r="E71" s="599" t="str">
        <f t="shared" si="7"/>
        <v>Finn FayeKnudsen</v>
      </c>
      <c r="F71" s="192">
        <f>YEAR(I$5)-_xlfn.XLOOKUP(E71,Deltakerliste!E$5:E$98,Deltakerliste!I$5:I$98)</f>
        <v>84</v>
      </c>
      <c r="G71" s="192">
        <f>_xlfn.XLOOKUP(E71,Deltakerliste!E$5:E$98,Deltakerliste!H$5:H$98)</f>
        <v>2</v>
      </c>
      <c r="H71" s="592">
        <f>VLOOKUP(F71,Deltakerliste!P$6:T$84,G71,FALSE)</f>
        <v>2.1509999999999998</v>
      </c>
      <c r="I71" s="86"/>
      <c r="J71" s="86"/>
      <c r="K71" s="13"/>
      <c r="L71" s="600"/>
      <c r="M71" s="594"/>
      <c r="N71" s="724"/>
      <c r="O71" s="596"/>
    </row>
    <row r="72" spans="2:17" ht="21" thickBot="1" x14ac:dyDescent="0.3">
      <c r="B72" s="16">
        <f t="shared" si="6"/>
        <v>63</v>
      </c>
      <c r="C72" s="106" t="s">
        <v>251</v>
      </c>
      <c r="D72" s="107" t="s">
        <v>252</v>
      </c>
      <c r="E72" s="599" t="str">
        <f t="shared" si="7"/>
        <v>OttarKristiansen</v>
      </c>
      <c r="F72" s="192">
        <f>YEAR(I$5)-_xlfn.XLOOKUP(E72,Deltakerliste!E$5:E$98,Deltakerliste!I$5:I$98)</f>
        <v>77</v>
      </c>
      <c r="G72" s="192">
        <f>_xlfn.XLOOKUP(E72,Deltakerliste!E$5:E$98,Deltakerliste!H$5:H$98)</f>
        <v>2</v>
      </c>
      <c r="H72" s="592">
        <f>VLOOKUP(F72,Deltakerliste!P$6:T$84,G72,FALSE)</f>
        <v>1.7050000000000001</v>
      </c>
      <c r="I72" s="86"/>
      <c r="J72" s="86"/>
      <c r="K72" s="17"/>
      <c r="L72" s="600"/>
      <c r="M72" s="594"/>
      <c r="N72" s="724"/>
      <c r="O72" s="596"/>
    </row>
    <row r="73" spans="2:17" ht="21" thickBot="1" x14ac:dyDescent="0.3">
      <c r="B73" s="16">
        <f t="shared" si="6"/>
        <v>64</v>
      </c>
      <c r="C73" s="106" t="s">
        <v>299</v>
      </c>
      <c r="D73" s="107" t="s">
        <v>300</v>
      </c>
      <c r="E73" s="599" t="str">
        <f t="shared" si="7"/>
        <v>OlavKvittem</v>
      </c>
      <c r="F73" s="192">
        <f>YEAR(I$5)-_xlfn.XLOOKUP(E73,Deltakerliste!E$5:E$98,Deltakerliste!I$5:I$98)</f>
        <v>71</v>
      </c>
      <c r="G73" s="192">
        <f>_xlfn.XLOOKUP(E73,Deltakerliste!E$5:E$98,Deltakerliste!H$5:H$98)</f>
        <v>2</v>
      </c>
      <c r="H73" s="592">
        <f>VLOOKUP(F73,Deltakerliste!P$6:T$84,G73,FALSE)</f>
        <v>1.4609999999999999</v>
      </c>
      <c r="I73" s="86"/>
      <c r="J73" s="86"/>
      <c r="K73" s="13"/>
      <c r="L73" s="600"/>
      <c r="M73" s="594"/>
      <c r="N73" s="724"/>
      <c r="O73" s="596"/>
    </row>
    <row r="74" spans="2:17" ht="21" thickBot="1" x14ac:dyDescent="0.3">
      <c r="B74" s="16">
        <f t="shared" ref="B74:B94" si="8">B73+1</f>
        <v>65</v>
      </c>
      <c r="C74" s="106" t="s">
        <v>112</v>
      </c>
      <c r="D74" s="107" t="s">
        <v>113</v>
      </c>
      <c r="E74" s="599" t="str">
        <f t="shared" ref="E74:E94" si="9">_xlfn.CONCAT(C74:D74)</f>
        <v>ToridKvaal</v>
      </c>
      <c r="F74" s="192">
        <f>YEAR(I$5)-_xlfn.XLOOKUP(E74,Deltakerliste!E$5:E$98,Deltakerliste!I$5:I$98)</f>
        <v>84</v>
      </c>
      <c r="G74" s="192">
        <f>_xlfn.XLOOKUP(E74,Deltakerliste!E$5:E$98,Deltakerliste!H$5:H$98)</f>
        <v>4</v>
      </c>
      <c r="H74" s="592">
        <f>VLOOKUP(F74,Deltakerliste!P$6:T$84,G74,FALSE)</f>
        <v>2.7814000000000005</v>
      </c>
      <c r="I74" s="86"/>
      <c r="J74" s="86"/>
      <c r="K74" s="13"/>
      <c r="L74" s="600"/>
      <c r="M74" s="594"/>
      <c r="N74" s="724"/>
      <c r="O74" s="596"/>
    </row>
    <row r="75" spans="2:17" ht="21" thickBot="1" x14ac:dyDescent="0.3">
      <c r="B75" s="16">
        <f t="shared" si="8"/>
        <v>66</v>
      </c>
      <c r="C75" s="106" t="s">
        <v>254</v>
      </c>
      <c r="D75" s="107" t="s">
        <v>255</v>
      </c>
      <c r="E75" s="599" t="str">
        <f t="shared" si="9"/>
        <v>ArnfinnLangeland</v>
      </c>
      <c r="F75" s="192">
        <f>YEAR(I$5)-_xlfn.XLOOKUP(E75,Deltakerliste!E$5:E$98,Deltakerliste!I$5:I$98)</f>
        <v>90</v>
      </c>
      <c r="G75" s="192">
        <f>_xlfn.XLOOKUP(E75,Deltakerliste!E$5:E$98,Deltakerliste!H$5:H$98)</f>
        <v>2</v>
      </c>
      <c r="H75" s="592">
        <f>VLOOKUP(F75,Deltakerliste!P$6:T$84,G75,FALSE)</f>
        <v>2.645</v>
      </c>
      <c r="I75" s="86"/>
      <c r="J75" s="86"/>
      <c r="K75" s="13"/>
      <c r="L75" s="600"/>
      <c r="M75" s="594"/>
      <c r="N75" s="724"/>
      <c r="O75" s="596"/>
      <c r="Q75" s="112"/>
    </row>
    <row r="76" spans="2:17" ht="21" thickBot="1" x14ac:dyDescent="0.3">
      <c r="B76" s="16">
        <f t="shared" si="8"/>
        <v>67</v>
      </c>
      <c r="C76" s="106" t="s">
        <v>116</v>
      </c>
      <c r="D76" s="107" t="s">
        <v>117</v>
      </c>
      <c r="E76" s="599" t="str">
        <f t="shared" si="9"/>
        <v>AndersLauglo</v>
      </c>
      <c r="F76" s="192">
        <f>YEAR(I$5)-_xlfn.XLOOKUP(E76,Deltakerliste!E$5:E$98,Deltakerliste!I$5:I$98)</f>
        <v>87</v>
      </c>
      <c r="G76" s="192">
        <f>_xlfn.XLOOKUP(E76,Deltakerliste!E$5:E$98,Deltakerliste!H$5:H$98)</f>
        <v>2</v>
      </c>
      <c r="H76" s="592">
        <f>VLOOKUP(F76,Deltakerliste!P$6:T$84,G76,FALSE)</f>
        <v>2.3929999999999998</v>
      </c>
      <c r="I76" s="13"/>
      <c r="J76" s="13"/>
      <c r="K76" s="86"/>
      <c r="L76" s="600"/>
      <c r="M76" s="594"/>
      <c r="N76" s="724"/>
      <c r="O76" s="596"/>
    </row>
    <row r="77" spans="2:17" ht="21" thickBot="1" x14ac:dyDescent="0.3">
      <c r="B77" s="16">
        <f t="shared" si="8"/>
        <v>68</v>
      </c>
      <c r="C77" s="106" t="s">
        <v>118</v>
      </c>
      <c r="D77" s="107" t="s">
        <v>119</v>
      </c>
      <c r="E77" s="599" t="str">
        <f t="shared" si="9"/>
        <v>KnutLillealtern</v>
      </c>
      <c r="F77" s="192">
        <f>YEAR(I$5)-_xlfn.XLOOKUP(E77,Deltakerliste!E$5:E$98,Deltakerliste!I$5:I$98)</f>
        <v>77</v>
      </c>
      <c r="G77" s="192">
        <f>_xlfn.XLOOKUP(E77,Deltakerliste!E$5:E$98,Deltakerliste!H$5:H$98)</f>
        <v>2</v>
      </c>
      <c r="H77" s="592">
        <f>VLOOKUP(F77,Deltakerliste!P$6:T$84,G77,FALSE)</f>
        <v>1.7050000000000001</v>
      </c>
      <c r="I77" s="13"/>
      <c r="J77" s="13"/>
      <c r="K77" s="17"/>
      <c r="L77" s="600"/>
      <c r="M77" s="594"/>
      <c r="N77" s="724"/>
      <c r="O77" s="596"/>
    </row>
    <row r="78" spans="2:17" ht="21" thickBot="1" x14ac:dyDescent="0.3">
      <c r="B78" s="16">
        <f t="shared" si="8"/>
        <v>69</v>
      </c>
      <c r="C78" s="106" t="s">
        <v>128</v>
      </c>
      <c r="D78" s="107" t="s">
        <v>129</v>
      </c>
      <c r="E78" s="599" t="str">
        <f t="shared" si="9"/>
        <v>OddMusum</v>
      </c>
      <c r="F78" s="192">
        <f>YEAR(I$5)-_xlfn.XLOOKUP(E78,Deltakerliste!E$5:E$98,Deltakerliste!I$5:I$98)</f>
        <v>84</v>
      </c>
      <c r="G78" s="192">
        <f>_xlfn.XLOOKUP(E78,Deltakerliste!E$5:E$98,Deltakerliste!H$5:H$98)</f>
        <v>2</v>
      </c>
      <c r="H78" s="592">
        <f>VLOOKUP(F78,Deltakerliste!P$6:T$84,G78,FALSE)</f>
        <v>2.1509999999999998</v>
      </c>
      <c r="I78" s="13"/>
      <c r="J78" s="13"/>
      <c r="K78" s="13"/>
      <c r="L78" s="600"/>
      <c r="M78" s="594"/>
      <c r="N78" s="724"/>
      <c r="O78" s="596"/>
    </row>
    <row r="79" spans="2:17" ht="21" thickBot="1" x14ac:dyDescent="0.3">
      <c r="B79" s="16">
        <f t="shared" si="8"/>
        <v>70</v>
      </c>
      <c r="C79" s="106" t="s">
        <v>132</v>
      </c>
      <c r="D79" s="107" t="s">
        <v>133</v>
      </c>
      <c r="E79" s="599" t="str">
        <f t="shared" si="9"/>
        <v>JarleNestvold</v>
      </c>
      <c r="F79" s="192">
        <f>YEAR(I$5)-_xlfn.XLOOKUP(E79,Deltakerliste!E$5:E$98,Deltakerliste!I$5:I$98)</f>
        <v>89</v>
      </c>
      <c r="G79" s="192">
        <f>_xlfn.XLOOKUP(E79,Deltakerliste!E$5:E$98,Deltakerliste!H$5:H$98)</f>
        <v>2</v>
      </c>
      <c r="H79" s="592">
        <f>VLOOKUP(F79,Deltakerliste!P$6:T$84,G79,FALSE)</f>
        <v>2.5609999999999999</v>
      </c>
      <c r="I79" s="132"/>
      <c r="J79" s="18"/>
      <c r="K79" s="18"/>
      <c r="L79" s="600"/>
      <c r="M79" s="594"/>
      <c r="N79" s="724"/>
      <c r="O79" s="596"/>
    </row>
    <row r="80" spans="2:17" ht="21" thickBot="1" x14ac:dyDescent="0.3">
      <c r="B80" s="16">
        <f t="shared" si="8"/>
        <v>71</v>
      </c>
      <c r="C80" s="106" t="s">
        <v>72</v>
      </c>
      <c r="D80" s="107" t="s">
        <v>139</v>
      </c>
      <c r="E80" s="599" t="str">
        <f t="shared" si="9"/>
        <v>KåreOnsøyen</v>
      </c>
      <c r="F80" s="192">
        <f>YEAR(I$5)-_xlfn.XLOOKUP(E80,Deltakerliste!E$5:E$98,Deltakerliste!I$5:I$98)</f>
        <v>78</v>
      </c>
      <c r="G80" s="192">
        <f>_xlfn.XLOOKUP(E80,Deltakerliste!E$5:E$98,Deltakerliste!H$5:H$98)</f>
        <v>2</v>
      </c>
      <c r="H80" s="592">
        <f>VLOOKUP(F80,Deltakerliste!P$6:T$84,G80,FALSE)</f>
        <v>1.7550000000000001</v>
      </c>
      <c r="I80" s="13"/>
      <c r="J80" s="13"/>
      <c r="K80" s="13"/>
      <c r="L80" s="600"/>
      <c r="M80" s="594"/>
      <c r="N80" s="724"/>
      <c r="O80" s="596"/>
    </row>
    <row r="81" spans="2:15" ht="21" thickBot="1" x14ac:dyDescent="0.3">
      <c r="B81" s="16">
        <f t="shared" si="8"/>
        <v>72</v>
      </c>
      <c r="C81" s="106" t="s">
        <v>140</v>
      </c>
      <c r="D81" s="107" t="s">
        <v>141</v>
      </c>
      <c r="E81" s="599" t="str">
        <f t="shared" si="9"/>
        <v>Grete BergeOwren</v>
      </c>
      <c r="F81" s="192">
        <f>YEAR(I$5)-_xlfn.XLOOKUP(E81,Deltakerliste!E$5:E$98,Deltakerliste!I$5:I$98)</f>
        <v>68</v>
      </c>
      <c r="G81" s="192">
        <f>_xlfn.XLOOKUP(E81,Deltakerliste!E$5:E$98,Deltakerliste!H$5:H$98)</f>
        <v>4</v>
      </c>
      <c r="H81" s="592">
        <f>VLOOKUP(F81,Deltakerliste!P$6:T$84,G81,FALSE)</f>
        <v>1.877800000000001</v>
      </c>
      <c r="I81" s="18"/>
      <c r="J81" s="18"/>
      <c r="K81" s="18"/>
      <c r="L81" s="600"/>
      <c r="M81" s="594"/>
      <c r="N81" s="724"/>
      <c r="O81" s="596"/>
    </row>
    <row r="82" spans="2:15" ht="21" thickBot="1" x14ac:dyDescent="0.3">
      <c r="B82" s="16">
        <f t="shared" si="8"/>
        <v>73</v>
      </c>
      <c r="C82" s="106" t="s">
        <v>144</v>
      </c>
      <c r="D82" s="107" t="s">
        <v>145</v>
      </c>
      <c r="E82" s="599" t="str">
        <f t="shared" si="9"/>
        <v>Bjørn Rindstad</v>
      </c>
      <c r="F82" s="192">
        <f>YEAR(I$5)-_xlfn.XLOOKUP(E82,Deltakerliste!E$5:E$98,Deltakerliste!I$5:I$98)</f>
        <v>75</v>
      </c>
      <c r="G82" s="192">
        <f>_xlfn.XLOOKUP(E82,Deltakerliste!E$5:E$98,Deltakerliste!H$5:H$98)</f>
        <v>2</v>
      </c>
      <c r="H82" s="592">
        <f>VLOOKUP(F82,Deltakerliste!P$6:T$84,G82,FALSE)</f>
        <v>1.605</v>
      </c>
      <c r="I82" s="18"/>
      <c r="J82" s="18"/>
      <c r="K82" s="18"/>
      <c r="L82" s="600"/>
      <c r="M82" s="594"/>
      <c r="N82" s="724"/>
      <c r="O82" s="596"/>
    </row>
    <row r="83" spans="2:15" ht="21" thickBot="1" x14ac:dyDescent="0.3">
      <c r="B83" s="16">
        <f t="shared" si="8"/>
        <v>74</v>
      </c>
      <c r="C83" s="111" t="s">
        <v>78</v>
      </c>
      <c r="D83" s="193" t="s">
        <v>146</v>
      </c>
      <c r="E83" s="599" t="str">
        <f t="shared" si="9"/>
        <v>LeifRøhjell</v>
      </c>
      <c r="F83" s="192">
        <f>YEAR(I$5)-_xlfn.XLOOKUP(E83,Deltakerliste!E$5:E$98,Deltakerliste!I$5:I$98)</f>
        <v>82</v>
      </c>
      <c r="G83" s="192">
        <f>_xlfn.XLOOKUP(E83,Deltakerliste!E$5:E$98,Deltakerliste!H$5:H$98)</f>
        <v>2</v>
      </c>
      <c r="H83" s="592">
        <f>VLOOKUP(F83,Deltakerliste!P$6:T$84,G83,FALSE)</f>
        <v>2.0030000000000001</v>
      </c>
      <c r="I83" s="132"/>
      <c r="J83" s="18"/>
      <c r="K83" s="18"/>
      <c r="L83" s="600"/>
      <c r="M83" s="594"/>
      <c r="N83" s="724"/>
      <c r="O83" s="596"/>
    </row>
    <row r="84" spans="2:15" ht="21" thickBot="1" x14ac:dyDescent="0.3">
      <c r="B84" s="16">
        <f t="shared" si="8"/>
        <v>75</v>
      </c>
      <c r="C84" s="111" t="s">
        <v>228</v>
      </c>
      <c r="D84" s="193" t="s">
        <v>229</v>
      </c>
      <c r="E84" s="599" t="str">
        <f t="shared" si="9"/>
        <v>May-LisRønning</v>
      </c>
      <c r="F84" s="192">
        <f>YEAR(I$5)-_xlfn.XLOOKUP(E84,Deltakerliste!E$5:E$98,Deltakerliste!I$5:I$98)</f>
        <v>56</v>
      </c>
      <c r="G84" s="192">
        <f>_xlfn.XLOOKUP(E84,Deltakerliste!E$5:E$98,Deltakerliste!H$5:H$98)</f>
        <v>4</v>
      </c>
      <c r="H84" s="592">
        <f>VLOOKUP(F84,Deltakerliste!P$6:T$84,G84,FALSE)</f>
        <v>1.5329999999999997</v>
      </c>
      <c r="I84" s="18"/>
      <c r="J84" s="18"/>
      <c r="K84" s="18"/>
      <c r="L84" s="600"/>
      <c r="M84" s="594"/>
      <c r="N84" s="724"/>
      <c r="O84" s="596"/>
    </row>
    <row r="85" spans="2:15" ht="21" thickBot="1" x14ac:dyDescent="0.3">
      <c r="B85" s="16">
        <f t="shared" si="8"/>
        <v>76</v>
      </c>
      <c r="C85" s="111" t="s">
        <v>147</v>
      </c>
      <c r="D85" s="108" t="s">
        <v>148</v>
      </c>
      <c r="E85" s="599" t="str">
        <f t="shared" si="9"/>
        <v>ViggoSchei</v>
      </c>
      <c r="F85" s="192">
        <f>YEAR(I$5)-_xlfn.XLOOKUP(E85,Deltakerliste!E$5:E$98,Deltakerliste!I$5:I$98)</f>
        <v>75</v>
      </c>
      <c r="G85" s="192">
        <f>_xlfn.XLOOKUP(E85,Deltakerliste!E$5:E$98,Deltakerliste!H$5:H$98)</f>
        <v>2</v>
      </c>
      <c r="H85" s="592">
        <f>VLOOKUP(F85,Deltakerliste!P$6:T$84,G85,FALSE)</f>
        <v>1.605</v>
      </c>
      <c r="I85" s="18"/>
      <c r="J85" s="132"/>
      <c r="K85" s="18"/>
      <c r="L85" s="600"/>
      <c r="M85" s="594"/>
      <c r="N85" s="724"/>
      <c r="O85" s="596"/>
    </row>
    <row r="86" spans="2:15" ht="21" thickBot="1" x14ac:dyDescent="0.3">
      <c r="B86" s="16">
        <f t="shared" si="8"/>
        <v>77</v>
      </c>
      <c r="C86" s="111" t="s">
        <v>298</v>
      </c>
      <c r="D86" s="193" t="s">
        <v>297</v>
      </c>
      <c r="E86" s="599" t="str">
        <f t="shared" si="9"/>
        <v>ØyvindSchjelderup</v>
      </c>
      <c r="F86" s="192">
        <f>YEAR(I$5)-_xlfn.XLOOKUP(E86,Deltakerliste!E$5:E$98,Deltakerliste!I$5:I$98)</f>
        <v>61</v>
      </c>
      <c r="G86" s="192">
        <f>_xlfn.XLOOKUP(E86,Deltakerliste!E$5:E$98,Deltakerliste!H$5:H$98)</f>
        <v>2</v>
      </c>
      <c r="H86" s="592">
        <f>VLOOKUP(F86,Deltakerliste!P$6:T$84,G86,FALSE)</f>
        <v>1.2190000000000001</v>
      </c>
      <c r="I86" s="18"/>
      <c r="J86" s="18"/>
      <c r="K86" s="18"/>
      <c r="L86" s="600"/>
      <c r="M86" s="594"/>
      <c r="N86" s="724"/>
      <c r="O86" s="596"/>
    </row>
    <row r="87" spans="2:15" ht="21" thickBot="1" x14ac:dyDescent="0.3">
      <c r="B87" s="16">
        <f t="shared" si="8"/>
        <v>78</v>
      </c>
      <c r="C87" s="111" t="s">
        <v>149</v>
      </c>
      <c r="D87" s="193" t="s">
        <v>150</v>
      </c>
      <c r="E87" s="599" t="str">
        <f t="shared" si="9"/>
        <v>BenteSkorge</v>
      </c>
      <c r="F87" s="192">
        <f>YEAR(I$5)-_xlfn.XLOOKUP(E87,Deltakerliste!E$5:E$98,Deltakerliste!I$5:I$98)</f>
        <v>67</v>
      </c>
      <c r="G87" s="192">
        <f>_xlfn.XLOOKUP(E87,Deltakerliste!E$5:E$98,Deltakerliste!H$5:H$98)</f>
        <v>4</v>
      </c>
      <c r="H87" s="592">
        <f>VLOOKUP(F87,Deltakerliste!P$6:T$84,G87,FALSE)</f>
        <v>1.8422000000000009</v>
      </c>
      <c r="I87" s="132"/>
      <c r="J87" s="132"/>
      <c r="K87" s="18"/>
      <c r="L87" s="600"/>
      <c r="M87" s="594"/>
      <c r="N87" s="724"/>
      <c r="O87" s="596"/>
    </row>
    <row r="88" spans="2:15" ht="21" thickBot="1" x14ac:dyDescent="0.3">
      <c r="B88" s="16">
        <f t="shared" si="8"/>
        <v>79</v>
      </c>
      <c r="C88" s="111" t="s">
        <v>155</v>
      </c>
      <c r="D88" s="108" t="s">
        <v>156</v>
      </c>
      <c r="E88" s="599" t="str">
        <f t="shared" si="9"/>
        <v>KjellrunSporild</v>
      </c>
      <c r="F88" s="192">
        <f>YEAR(I$5)-_xlfn.XLOOKUP(E88,Deltakerliste!E$5:E$98,Deltakerliste!I$5:I$98)</f>
        <v>71</v>
      </c>
      <c r="G88" s="192">
        <f>_xlfn.XLOOKUP(E88,Deltakerliste!E$5:E$98,Deltakerliste!H$5:H$98)</f>
        <v>4</v>
      </c>
      <c r="H88" s="592">
        <f>VLOOKUP(F88,Deltakerliste!P$6:T$84,G88,FALSE)</f>
        <v>1.9926000000000013</v>
      </c>
      <c r="I88" s="18"/>
      <c r="J88" s="132"/>
      <c r="K88" s="18"/>
      <c r="L88" s="600"/>
      <c r="M88" s="594"/>
      <c r="N88" s="724"/>
      <c r="O88" s="596"/>
    </row>
    <row r="89" spans="2:15" ht="21" thickBot="1" x14ac:dyDescent="0.3">
      <c r="B89" s="16">
        <f t="shared" si="8"/>
        <v>80</v>
      </c>
      <c r="C89" s="111" t="s">
        <v>232</v>
      </c>
      <c r="D89" s="133" t="s">
        <v>231</v>
      </c>
      <c r="E89" s="599" t="str">
        <f t="shared" si="9"/>
        <v>BeritSunnset</v>
      </c>
      <c r="F89" s="192">
        <f>YEAR(I$5)-_xlfn.XLOOKUP(E89,Deltakerliste!E$5:E$98,Deltakerliste!I$5:I$98)</f>
        <v>63</v>
      </c>
      <c r="G89" s="192">
        <f>_xlfn.XLOOKUP(E89,Deltakerliste!E$5:E$98,Deltakerliste!H$5:H$98)</f>
        <v>4</v>
      </c>
      <c r="H89" s="592">
        <f>VLOOKUP(F89,Deltakerliste!P$6:T$84,G89,FALSE)</f>
        <v>1.7126000000000006</v>
      </c>
      <c r="I89" s="18"/>
      <c r="J89" s="18"/>
      <c r="K89" s="18"/>
      <c r="L89" s="600"/>
      <c r="M89" s="594"/>
      <c r="N89" s="724"/>
      <c r="O89" s="596"/>
    </row>
    <row r="90" spans="2:15" ht="21" thickBot="1" x14ac:dyDescent="0.3">
      <c r="B90" s="16">
        <f t="shared" si="8"/>
        <v>81</v>
      </c>
      <c r="C90" s="193" t="s">
        <v>230</v>
      </c>
      <c r="D90" s="108" t="s">
        <v>231</v>
      </c>
      <c r="E90" s="599" t="str">
        <f t="shared" si="9"/>
        <v>TrineSunnset</v>
      </c>
      <c r="F90" s="192">
        <f>YEAR(I$5)-_xlfn.XLOOKUP(E90,Deltakerliste!E$5:E$98,Deltakerliste!I$5:I$98)</f>
        <v>63</v>
      </c>
      <c r="G90" s="192">
        <f>_xlfn.XLOOKUP(E90,Deltakerliste!E$5:E$98,Deltakerliste!H$5:H$98)</f>
        <v>4</v>
      </c>
      <c r="H90" s="592">
        <f>VLOOKUP(F90,Deltakerliste!P$6:T$84,G90,FALSE)</f>
        <v>1.7126000000000006</v>
      </c>
      <c r="I90" s="18"/>
      <c r="J90" s="18"/>
      <c r="K90" s="18"/>
      <c r="L90" s="600"/>
      <c r="M90" s="594"/>
      <c r="N90" s="724"/>
      <c r="O90" s="596"/>
    </row>
    <row r="91" spans="2:15" ht="21" thickBot="1" x14ac:dyDescent="0.3">
      <c r="B91" s="16">
        <f t="shared" si="8"/>
        <v>82</v>
      </c>
      <c r="C91" s="193" t="s">
        <v>265</v>
      </c>
      <c r="D91" s="108" t="s">
        <v>266</v>
      </c>
      <c r="E91" s="599" t="str">
        <f t="shared" si="9"/>
        <v>ØysteinWiggen</v>
      </c>
      <c r="F91" s="192">
        <f>YEAR(I$5)-_xlfn.XLOOKUP(E91,Deltakerliste!E$5:E$98,Deltakerliste!I$5:I$98)</f>
        <v>60</v>
      </c>
      <c r="G91" s="192">
        <f>_xlfn.XLOOKUP(E91,Deltakerliste!E$5:E$98,Deltakerliste!H$5:H$98)</f>
        <v>2</v>
      </c>
      <c r="H91" s="592">
        <f>VLOOKUP(F91,Deltakerliste!P$6:T$84,G91,FALSE)</f>
        <v>1.2000000000000002</v>
      </c>
      <c r="I91" s="134"/>
      <c r="J91" s="132"/>
      <c r="K91" s="18"/>
      <c r="L91" s="600"/>
      <c r="M91" s="594"/>
      <c r="N91" s="724"/>
      <c r="O91" s="596"/>
    </row>
    <row r="92" spans="2:15" ht="21" thickBot="1" x14ac:dyDescent="0.3">
      <c r="B92" s="16">
        <f t="shared" si="8"/>
        <v>83</v>
      </c>
      <c r="C92" s="193" t="s">
        <v>307</v>
      </c>
      <c r="D92" s="108" t="s">
        <v>308</v>
      </c>
      <c r="E92" s="599" t="str">
        <f t="shared" si="9"/>
        <v>RolfWærnes</v>
      </c>
      <c r="F92" s="192">
        <f>YEAR(I$5)-_xlfn.XLOOKUP(E92,Deltakerliste!E$5:E$98,Deltakerliste!I$5:I$98)</f>
        <v>75</v>
      </c>
      <c r="G92" s="192">
        <f>_xlfn.XLOOKUP(E92,Deltakerliste!E$5:E$98,Deltakerliste!H$5:H$98)</f>
        <v>2</v>
      </c>
      <c r="H92" s="592">
        <f>VLOOKUP(F92,Deltakerliste!P$6:T$84,G92,FALSE)</f>
        <v>1.605</v>
      </c>
      <c r="I92" s="18"/>
      <c r="J92" s="132"/>
      <c r="K92" s="18"/>
      <c r="L92" s="790"/>
      <c r="M92" s="594"/>
      <c r="N92" s="724"/>
      <c r="O92" s="596"/>
    </row>
    <row r="93" spans="2:15" ht="21" thickBot="1" x14ac:dyDescent="0.3">
      <c r="B93" s="16">
        <f t="shared" si="8"/>
        <v>84</v>
      </c>
      <c r="C93" s="193" t="s">
        <v>116</v>
      </c>
      <c r="D93" s="108" t="s">
        <v>165</v>
      </c>
      <c r="E93" s="599" t="str">
        <f t="shared" si="9"/>
        <v>AndersWaage</v>
      </c>
      <c r="F93" s="192">
        <f>YEAR(I$5)-_xlfn.XLOOKUP(E93,Deltakerliste!E$5:E$98,Deltakerliste!I$5:I$98)</f>
        <v>78</v>
      </c>
      <c r="G93" s="192">
        <f>_xlfn.XLOOKUP(E93,Deltakerliste!E$5:E$98,Deltakerliste!H$5:H$98)</f>
        <v>2</v>
      </c>
      <c r="H93" s="592">
        <f>VLOOKUP(F93,Deltakerliste!P$6:T$84,G93,FALSE)</f>
        <v>1.7550000000000001</v>
      </c>
      <c r="I93" s="18"/>
      <c r="J93" s="132"/>
      <c r="K93" s="18"/>
      <c r="L93" s="791"/>
      <c r="M93" s="594"/>
      <c r="N93" s="792"/>
      <c r="O93" s="596"/>
    </row>
    <row r="94" spans="2:15" ht="21" thickBot="1" x14ac:dyDescent="0.3">
      <c r="B94" s="16">
        <f t="shared" si="8"/>
        <v>85</v>
      </c>
      <c r="C94" s="193" t="s">
        <v>166</v>
      </c>
      <c r="D94" s="108" t="s">
        <v>167</v>
      </c>
      <c r="E94" s="599" t="str">
        <f t="shared" si="9"/>
        <v>GunnarØsterbø</v>
      </c>
      <c r="F94" s="192">
        <f>YEAR(I$5)-_xlfn.XLOOKUP(E94,Deltakerliste!E$5:E$98,Deltakerliste!I$5:I$98)</f>
        <v>87</v>
      </c>
      <c r="G94" s="192">
        <f>_xlfn.XLOOKUP(E94,Deltakerliste!E$5:E$98,Deltakerliste!H$5:H$98)</f>
        <v>2</v>
      </c>
      <c r="H94" s="592">
        <f>VLOOKUP(F94,Deltakerliste!P$6:T$84,G94,FALSE)</f>
        <v>2.3929999999999998</v>
      </c>
      <c r="I94" s="18"/>
      <c r="J94" s="132"/>
      <c r="K94" s="18"/>
      <c r="L94" s="725"/>
      <c r="M94" s="717"/>
      <c r="N94" s="726"/>
      <c r="O94" s="719"/>
    </row>
    <row r="100" spans="4:11" ht="17" thickBot="1" x14ac:dyDescent="0.25"/>
    <row r="101" spans="4:11" ht="21" thickTop="1" thickBot="1" x14ac:dyDescent="0.3">
      <c r="D101" s="646" t="s">
        <v>288</v>
      </c>
      <c r="E101" s="647"/>
      <c r="F101" s="666"/>
      <c r="G101" s="666"/>
      <c r="H101" s="666"/>
      <c r="I101" s="648" t="s">
        <v>195</v>
      </c>
      <c r="J101" s="648" t="s">
        <v>196</v>
      </c>
      <c r="K101" s="649" t="s">
        <v>197</v>
      </c>
    </row>
    <row r="102" spans="4:11" ht="20" x14ac:dyDescent="0.25">
      <c r="D102" s="634" t="s">
        <v>172</v>
      </c>
      <c r="E102" s="320"/>
      <c r="F102" s="208"/>
      <c r="G102" s="208"/>
      <c r="H102" s="208"/>
      <c r="I102" s="635">
        <f>COUNT(I10:I96)+COUNTIF(I10:I96,"Brutt")+COUNTIF(I10:I96,"Disk")+COUNTIF(I10:I96,"(*)")</f>
        <v>16</v>
      </c>
      <c r="J102" s="635">
        <f>COUNT(J10:J96)+COUNTIF(J10:J96,"Brutt")+COUNTIF(J10:J96,"Disk")+COUNTIF(J10:J96,"(*)")</f>
        <v>17</v>
      </c>
      <c r="K102" s="636">
        <f>I102+J102</f>
        <v>33</v>
      </c>
    </row>
    <row r="103" spans="4:11" ht="19" x14ac:dyDescent="0.25">
      <c r="D103" s="637" t="s">
        <v>174</v>
      </c>
      <c r="E103" s="320"/>
      <c r="F103" s="208"/>
      <c r="G103" s="208"/>
      <c r="H103" s="208"/>
      <c r="I103" s="635">
        <f>COUNT(I10:I96)</f>
        <v>14</v>
      </c>
      <c r="J103" s="635">
        <f>COUNT(J10:J96)</f>
        <v>15</v>
      </c>
      <c r="K103" s="636">
        <f t="shared" ref="K103" si="10">I103+J103</f>
        <v>29</v>
      </c>
    </row>
    <row r="104" spans="4:11" ht="19" x14ac:dyDescent="0.25">
      <c r="D104" s="637" t="s">
        <v>173</v>
      </c>
      <c r="E104" s="320"/>
      <c r="F104" s="208"/>
      <c r="G104" s="208"/>
      <c r="H104" s="208"/>
      <c r="I104" s="208"/>
      <c r="J104" s="208"/>
      <c r="K104" s="636">
        <f>K102+COUNTIF(L10:L96,"Arr")+COUNTIF(L10:L96,"Løype")</f>
        <v>35</v>
      </c>
    </row>
    <row r="105" spans="4:11" ht="19" x14ac:dyDescent="0.25">
      <c r="D105" s="637" t="s">
        <v>341</v>
      </c>
      <c r="E105" s="320"/>
      <c r="F105" s="208"/>
      <c r="G105" s="208"/>
      <c r="H105" s="208"/>
      <c r="I105" s="208"/>
      <c r="J105" s="208"/>
      <c r="K105" s="638">
        <f>IF(SUM(L10:L96)=0," ",AVERAGEIF(M10:M96,"&gt;0",F10:F96))</f>
        <v>75.400000000000006</v>
      </c>
    </row>
    <row r="106" spans="4:11" ht="19" x14ac:dyDescent="0.25">
      <c r="D106" s="637" t="s">
        <v>296</v>
      </c>
      <c r="E106" s="320"/>
      <c r="F106" s="208"/>
      <c r="G106" s="208"/>
      <c r="H106" s="208"/>
      <c r="I106" s="208"/>
      <c r="J106" s="208"/>
      <c r="K106" s="638">
        <f>AVERAGE(I8:J8)</f>
        <v>2.4</v>
      </c>
    </row>
    <row r="107" spans="4:11" ht="19" x14ac:dyDescent="0.25">
      <c r="D107" s="637" t="s">
        <v>176</v>
      </c>
      <c r="E107" s="320"/>
      <c r="F107" s="208"/>
      <c r="G107" s="208"/>
      <c r="H107" s="208"/>
      <c r="I107" s="112">
        <f>I8*I103</f>
        <v>26.599999999999998</v>
      </c>
      <c r="J107" s="112">
        <f>J8*J103</f>
        <v>43.5</v>
      </c>
      <c r="K107" s="638">
        <f>I107+J107</f>
        <v>70.099999999999994</v>
      </c>
    </row>
    <row r="108" spans="4:11" ht="19" x14ac:dyDescent="0.25">
      <c r="D108" s="639" t="s">
        <v>286</v>
      </c>
      <c r="E108" s="320"/>
      <c r="F108" s="208"/>
      <c r="G108" s="208"/>
      <c r="H108" s="208"/>
      <c r="I108" s="103">
        <f>IF(SUM(I10:I96)=0," ",AVERAGE(I10:I96))</f>
        <v>2.3225033068783069E-2</v>
      </c>
      <c r="J108" s="103">
        <f>IF(SUM(J10:J96)=0," ",AVERAGE(J10:J96))</f>
        <v>2.4205246913580249E-2</v>
      </c>
      <c r="K108" s="640">
        <f>IF(SUM(I10:J96)=0," ",AVERAGE(I10:J96))</f>
        <v>2.3732040229885062E-2</v>
      </c>
    </row>
    <row r="109" spans="4:11" ht="20" thickBot="1" x14ac:dyDescent="0.3">
      <c r="D109" s="641" t="s">
        <v>287</v>
      </c>
      <c r="E109" s="642"/>
      <c r="F109" s="644"/>
      <c r="G109" s="644"/>
      <c r="H109" s="644"/>
      <c r="I109" s="643"/>
      <c r="J109" s="644"/>
      <c r="K109" s="645">
        <f>MIN(L10:L96)</f>
        <v>6.3537675606641121E-3</v>
      </c>
    </row>
    <row r="110" spans="4:11" ht="17" thickTop="1" x14ac:dyDescent="0.2"/>
  </sheetData>
  <autoFilter ref="B9:O94" xr:uid="{3E2AFB74-6841-E847-848E-404ED92ABAE1}">
    <sortState xmlns:xlrd2="http://schemas.microsoft.com/office/spreadsheetml/2017/richdata2" ref="B10:O94">
      <sortCondition ref="N9:N94"/>
    </sortState>
  </autoFilter>
  <mergeCells count="3">
    <mergeCell ref="W7:X7"/>
    <mergeCell ref="S8:U8"/>
    <mergeCell ref="W8:X8"/>
  </mergeCells>
  <pageMargins left="0.7" right="0.7" top="0.75" bottom="0.75" header="0.3" footer="0.3"/>
  <pageSetup paperSize="9" orientation="portrait" horizontalDpi="0" verticalDpi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D0365-05B4-9D46-9FF4-A78501D9153D}">
  <dimension ref="B1:AC110"/>
  <sheetViews>
    <sheetView topLeftCell="D65" workbookViewId="0">
      <selection activeCell="AK32" sqref="AK32"/>
    </sheetView>
  </sheetViews>
  <sheetFormatPr baseColWidth="10" defaultColWidth="10.83203125" defaultRowHeight="16" x14ac:dyDescent="0.2"/>
  <cols>
    <col min="3" max="3" width="14.5" customWidth="1"/>
    <col min="4" max="4" width="20.1640625" customWidth="1"/>
    <col min="5" max="5" width="20.1640625" hidden="1" customWidth="1"/>
    <col min="6" max="6" width="14.5" style="15" customWidth="1"/>
    <col min="7" max="7" width="14.5" style="15" hidden="1" customWidth="1"/>
    <col min="8" max="8" width="14" style="15" customWidth="1"/>
    <col min="9" max="10" width="19.1640625" style="15" customWidth="1"/>
    <col min="11" max="11" width="17.6640625" style="15" customWidth="1"/>
    <col min="12" max="12" width="10.83203125" style="15"/>
    <col min="14" max="14" width="10.83203125" style="15"/>
    <col min="18" max="18" width="12.5" customWidth="1"/>
    <col min="19" max="19" width="13.5" customWidth="1"/>
    <col min="22" max="22" width="1.83203125" customWidth="1"/>
    <col min="23" max="23" width="15.83203125" customWidth="1"/>
    <col min="24" max="24" width="11" customWidth="1"/>
  </cols>
  <sheetData>
    <row r="1" spans="2:29" ht="8" customHeight="1" x14ac:dyDescent="0.2"/>
    <row r="2" spans="2:29" ht="8" customHeight="1" x14ac:dyDescent="0.2"/>
    <row r="5" spans="2:29" ht="26" x14ac:dyDescent="0.3">
      <c r="B5" s="21" t="s">
        <v>326</v>
      </c>
      <c r="C5" s="245" t="s">
        <v>394</v>
      </c>
      <c r="F5" s="667"/>
      <c r="G5" s="667"/>
      <c r="H5" s="671" t="s">
        <v>189</v>
      </c>
      <c r="I5" s="670">
        <f>'Løp 17'!I5+7</f>
        <v>46056</v>
      </c>
    </row>
    <row r="6" spans="2:29" ht="17" thickBot="1" x14ac:dyDescent="0.25">
      <c r="B6" s="15"/>
    </row>
    <row r="7" spans="2:29" ht="59" customHeight="1" thickBot="1" x14ac:dyDescent="0.35">
      <c r="B7" s="12" t="s">
        <v>194</v>
      </c>
      <c r="C7" s="662" t="s">
        <v>57</v>
      </c>
      <c r="D7" s="391" t="s">
        <v>58</v>
      </c>
      <c r="E7" s="663"/>
      <c r="F7" s="663" t="s">
        <v>234</v>
      </c>
      <c r="G7" s="391" t="s">
        <v>280</v>
      </c>
      <c r="H7" s="391" t="s">
        <v>235</v>
      </c>
      <c r="I7" s="391" t="s">
        <v>302</v>
      </c>
      <c r="J7" s="391" t="s">
        <v>303</v>
      </c>
      <c r="K7" s="391" t="s">
        <v>192</v>
      </c>
      <c r="L7" s="194" t="s">
        <v>209</v>
      </c>
      <c r="M7" s="392" t="s">
        <v>55</v>
      </c>
      <c r="N7" s="393" t="s">
        <v>242</v>
      </c>
      <c r="O7" s="393" t="s">
        <v>240</v>
      </c>
      <c r="Q7" s="319"/>
      <c r="R7" s="319"/>
      <c r="S7" s="755" t="str">
        <f>B5</f>
        <v>Løp 18</v>
      </c>
      <c r="T7" s="754" t="str">
        <f>C5</f>
        <v>Havstad</v>
      </c>
      <c r="U7" s="730"/>
      <c r="V7" s="730"/>
      <c r="W7" s="941"/>
      <c r="X7" s="941"/>
    </row>
    <row r="8" spans="2:29" ht="23" customHeight="1" thickTop="1" thickBot="1" x14ac:dyDescent="0.35">
      <c r="B8" s="22"/>
      <c r="C8" s="394"/>
      <c r="D8" s="395"/>
      <c r="E8" s="597"/>
      <c r="F8" s="668"/>
      <c r="G8" s="668"/>
      <c r="H8" s="664"/>
      <c r="I8" s="789">
        <v>2</v>
      </c>
      <c r="J8" s="789">
        <v>3.2</v>
      </c>
      <c r="K8" s="391"/>
      <c r="N8" s="720"/>
      <c r="O8" s="390"/>
      <c r="S8" s="942" t="s">
        <v>312</v>
      </c>
      <c r="T8" s="943"/>
      <c r="U8" s="944"/>
      <c r="V8" s="779"/>
      <c r="W8" s="945" t="s">
        <v>313</v>
      </c>
      <c r="X8" s="940"/>
      <c r="AB8" s="836" t="s">
        <v>361</v>
      </c>
      <c r="AC8" s="827"/>
    </row>
    <row r="9" spans="2:29" ht="21" thickBot="1" x14ac:dyDescent="0.3">
      <c r="B9" s="22"/>
      <c r="C9" s="109"/>
      <c r="D9" s="105"/>
      <c r="E9" s="598"/>
      <c r="F9" s="669"/>
      <c r="G9" s="669"/>
      <c r="H9" s="665"/>
      <c r="I9" s="12"/>
      <c r="J9" s="12"/>
      <c r="K9" s="12"/>
      <c r="N9" s="722"/>
      <c r="O9" s="200"/>
      <c r="Q9" s="110"/>
      <c r="S9" s="731"/>
      <c r="T9" s="727" t="s">
        <v>311</v>
      </c>
      <c r="U9" s="750" t="s">
        <v>55</v>
      </c>
      <c r="V9" s="780"/>
      <c r="W9" s="774"/>
      <c r="X9" s="732" t="s">
        <v>55</v>
      </c>
      <c r="AB9" s="834" t="s">
        <v>234</v>
      </c>
      <c r="AC9" s="835" t="s">
        <v>362</v>
      </c>
    </row>
    <row r="10" spans="2:29" ht="21" thickBot="1" x14ac:dyDescent="0.3">
      <c r="B10" s="16">
        <f t="shared" ref="B10:B41" si="0">B9+1</f>
        <v>1</v>
      </c>
      <c r="C10" s="106" t="s">
        <v>78</v>
      </c>
      <c r="D10" s="107" t="s">
        <v>79</v>
      </c>
      <c r="E10" s="599" t="str">
        <f t="shared" ref="E10:E41" si="1">_xlfn.CONCAT(C10:D10)</f>
        <v>LeifEngen</v>
      </c>
      <c r="F10" s="192">
        <f>YEAR(I$5)-_xlfn.XLOOKUP(E10,Deltakerliste!E$5:E$98,Deltakerliste!I$5:I$98)</f>
        <v>85</v>
      </c>
      <c r="G10" s="192">
        <f>_xlfn.XLOOKUP(E10,Deltakerliste!E$5:E$98,Deltakerliste!H$5:H$98)</f>
        <v>2</v>
      </c>
      <c r="H10" s="592">
        <f>VLOOKUP(F10,Deltakerliste!P$6:T$84,G10,FALSE)</f>
        <v>2.2249999999999996</v>
      </c>
      <c r="I10" s="86">
        <v>1.8865740740740742E-2</v>
      </c>
      <c r="J10" s="86"/>
      <c r="K10" s="13"/>
      <c r="L10" s="600">
        <f t="shared" ref="L10:L44" si="2">IF(OR(I10="Arr",J10="Arr",K10="Arr"),"Arr",IF(OR(I10="Brutt",J10="Brutt",K10="Brutt"),"Brutt",IF(OR(I10="Disk",J10="Disk",K10="Disk"),"Disk",IF(OR(I10="Løype",J10="Løype",K10="Løype"),"Løype",IF(I10&gt;0,I10/I$8,J10/J$8)))))</f>
        <v>9.432870370370371E-3</v>
      </c>
      <c r="M10" s="594">
        <f>IF(L10="Løype",Poengsammendrag!$F$2,IF(L10="Arr",Poengsammendrag!$F$3,IF(L10="Brutt",50,IF(L10="Disk",50,ROUND(MAXA(100*(MIN(L$10:L$92)/L10),50),0)))))</f>
        <v>76</v>
      </c>
      <c r="N10" s="724">
        <f t="shared" ref="N10:N44" si="3">IF(L10="Arr","Arr",IF(L10="Brutt","Brutt",IF(L10="Disk","Disk",IF(L10="Løype","Løype",L10/H10))))</f>
        <v>4.2394923012900546E-3</v>
      </c>
      <c r="O10" s="596">
        <f>IF(N10="Løype",Poengsammendrag!$F$2,IF(N10="Arr",Poengsammendrag!$F$3,IF(N10="Brutt",50,IF(N10="Disk",50,ROUND(MAXA(100*(MIN(N$10:N$92)/N10),50),0)))))</f>
        <v>100</v>
      </c>
      <c r="Q10" s="672"/>
      <c r="R10" s="672"/>
      <c r="S10" s="802" t="s">
        <v>385</v>
      </c>
      <c r="T10" s="734">
        <v>7.1867766203703694E-3</v>
      </c>
      <c r="U10" s="751">
        <v>100</v>
      </c>
      <c r="V10" s="781"/>
      <c r="W10" s="775" t="s">
        <v>338</v>
      </c>
      <c r="X10" s="739">
        <v>100</v>
      </c>
      <c r="AB10" s="832">
        <v>55</v>
      </c>
      <c r="AC10" s="833">
        <f t="shared" ref="AC10:AC50" si="4">COUNTIFS(F$10:F$96,AB10,M$10:M$96,"&gt;0")</f>
        <v>0</v>
      </c>
    </row>
    <row r="11" spans="2:29" ht="21" customHeight="1" thickBot="1" x14ac:dyDescent="0.3">
      <c r="B11" s="16">
        <f t="shared" si="0"/>
        <v>2</v>
      </c>
      <c r="C11" s="106" t="s">
        <v>138</v>
      </c>
      <c r="D11" s="107" t="s">
        <v>137</v>
      </c>
      <c r="E11" s="599" t="str">
        <f t="shared" si="1"/>
        <v>GunnhildOftedal</v>
      </c>
      <c r="F11" s="192">
        <f>YEAR(I$5)-_xlfn.XLOOKUP(E11,Deltakerliste!E$5:E$98,Deltakerliste!I$5:I$98)</f>
        <v>73</v>
      </c>
      <c r="G11" s="192">
        <f>_xlfn.XLOOKUP(E11,Deltakerliste!E$5:E$98,Deltakerliste!H$5:H$98)</f>
        <v>4</v>
      </c>
      <c r="H11" s="592">
        <f>VLOOKUP(F11,Deltakerliste!P$6:T$84,G11,FALSE)</f>
        <v>2.0798000000000014</v>
      </c>
      <c r="I11" s="13"/>
      <c r="J11" s="13">
        <v>3.033564814814815E-2</v>
      </c>
      <c r="K11" s="13"/>
      <c r="L11" s="600">
        <f t="shared" si="2"/>
        <v>9.4798900462962962E-3</v>
      </c>
      <c r="M11" s="594">
        <f>IF(L11="Løype",Poengsammendrag!$F$2,IF(L11="Arr",Poengsammendrag!$F$3,IF(L11="Brutt",50,IF(L11="Disk",50,ROUND(MAXA(100*(MIN(L$10:L$92)/L11),50),0)))))</f>
        <v>76</v>
      </c>
      <c r="N11" s="724">
        <f t="shared" si="3"/>
        <v>4.5580777220387966E-3</v>
      </c>
      <c r="O11" s="596">
        <f>IF(N11="Løype",Poengsammendrag!$F$2,IF(N11="Arr",Poengsammendrag!$F$3,IF(N11="Brutt",50,IF(N11="Disk",50,ROUND(MAXA(100*(MIN(N$10:N$92)/N11),50),0)))))</f>
        <v>93</v>
      </c>
      <c r="Q11" s="672"/>
      <c r="R11" s="672"/>
      <c r="S11" s="803" t="s">
        <v>134</v>
      </c>
      <c r="T11" s="736">
        <v>7.548466435185185E-3</v>
      </c>
      <c r="U11" s="752">
        <v>95</v>
      </c>
      <c r="V11" s="781"/>
      <c r="W11" s="776" t="s">
        <v>138</v>
      </c>
      <c r="X11" s="740">
        <v>93</v>
      </c>
      <c r="AB11" s="828">
        <f>AB10+1</f>
        <v>56</v>
      </c>
      <c r="AC11" s="829">
        <f t="shared" si="4"/>
        <v>0</v>
      </c>
    </row>
    <row r="12" spans="2:29" ht="21" customHeight="1" thickBot="1" x14ac:dyDescent="0.3">
      <c r="B12" s="16">
        <f t="shared" si="0"/>
        <v>3</v>
      </c>
      <c r="C12" s="106" t="s">
        <v>159</v>
      </c>
      <c r="D12" s="107" t="s">
        <v>160</v>
      </c>
      <c r="E12" s="599" t="str">
        <f t="shared" si="1"/>
        <v>EigilSørli</v>
      </c>
      <c r="F12" s="192">
        <f>YEAR(I$5)-_xlfn.XLOOKUP(E12,Deltakerliste!E$5:E$98,Deltakerliste!I$5:I$98)</f>
        <v>86</v>
      </c>
      <c r="G12" s="192">
        <f>_xlfn.XLOOKUP(E12,Deltakerliste!E$5:E$98,Deltakerliste!H$5:H$98)</f>
        <v>2</v>
      </c>
      <c r="H12" s="592">
        <f>VLOOKUP(F12,Deltakerliste!P$6:T$84,G12,FALSE)</f>
        <v>2.3089999999999997</v>
      </c>
      <c r="I12" s="132">
        <v>2.1307870370370369E-2</v>
      </c>
      <c r="J12" s="18"/>
      <c r="K12" s="18"/>
      <c r="L12" s="600">
        <f t="shared" si="2"/>
        <v>1.0653935185185185E-2</v>
      </c>
      <c r="M12" s="594">
        <f>IF(L12="Løype",Poengsammendrag!$F$2,IF(L12="Arr",Poengsammendrag!$F$3,IF(L12="Brutt",50,IF(L12="Disk",50,ROUND(MAXA(100*(MIN(L$10:L$92)/L12),50),0)))))</f>
        <v>67</v>
      </c>
      <c r="N12" s="724">
        <f t="shared" si="3"/>
        <v>4.6140905955760871E-3</v>
      </c>
      <c r="O12" s="596">
        <f>IF(N12="Løype",Poengsammendrag!$F$2,IF(N12="Arr",Poengsammendrag!$F$3,IF(N12="Brutt",50,IF(N12="Disk",50,ROUND(MAXA(100*(MIN(N$10:N$92)/N12),50),0)))))</f>
        <v>92</v>
      </c>
      <c r="Q12" s="672"/>
      <c r="R12" s="672"/>
      <c r="S12" s="803" t="s">
        <v>380</v>
      </c>
      <c r="T12" s="736">
        <v>7.7112268518518519E-3</v>
      </c>
      <c r="U12" s="752">
        <v>93</v>
      </c>
      <c r="V12" s="781"/>
      <c r="W12" s="776" t="s">
        <v>357</v>
      </c>
      <c r="X12" s="740">
        <v>92</v>
      </c>
      <c r="AB12" s="828">
        <f t="shared" ref="AB12:AB50" si="5">AB11+1</f>
        <v>57</v>
      </c>
      <c r="AC12" s="829">
        <f t="shared" si="4"/>
        <v>0</v>
      </c>
    </row>
    <row r="13" spans="2:29" ht="21" customHeight="1" thickBot="1" x14ac:dyDescent="0.3">
      <c r="B13" s="16">
        <f t="shared" si="0"/>
        <v>4</v>
      </c>
      <c r="C13" s="106" t="s">
        <v>64</v>
      </c>
      <c r="D13" s="107" t="s">
        <v>65</v>
      </c>
      <c r="E13" s="599" t="str">
        <f t="shared" si="1"/>
        <v>BjørnBerger</v>
      </c>
      <c r="F13" s="192">
        <f>YEAR(I$5)-_xlfn.XLOOKUP(E13,Deltakerliste!E$5:E$98,Deltakerliste!I$5:I$98)</f>
        <v>75</v>
      </c>
      <c r="G13" s="192">
        <f>_xlfn.XLOOKUP(E13,Deltakerliste!E$5:E$98,Deltakerliste!H$5:H$98)</f>
        <v>2</v>
      </c>
      <c r="H13" s="592">
        <f>VLOOKUP(F13,Deltakerliste!P$6:T$84,G13,FALSE)</f>
        <v>1.605</v>
      </c>
      <c r="I13" s="13"/>
      <c r="J13" s="13">
        <v>2.4675925925925928E-2</v>
      </c>
      <c r="K13" s="19"/>
      <c r="L13" s="600">
        <f t="shared" si="2"/>
        <v>7.7112268518518519E-3</v>
      </c>
      <c r="M13" s="594">
        <f>IF(L13="Løype",Poengsammendrag!$F$2,IF(L13="Arr",Poengsammendrag!$F$3,IF(L13="Brutt",50,IF(L13="Disk",50,ROUND(MAXA(100*(MIN(L$10:L$92)/L13),50),0)))))</f>
        <v>93</v>
      </c>
      <c r="N13" s="724">
        <f t="shared" si="3"/>
        <v>4.8045027114341759E-3</v>
      </c>
      <c r="O13" s="596">
        <f>IF(N13="Løype",Poengsammendrag!$F$2,IF(N13="Arr",Poengsammendrag!$F$3,IF(N13="Brutt",50,IF(N13="Disk",50,ROUND(MAXA(100*(MIN(N$10:N$92)/N13),50),0)))))</f>
        <v>88</v>
      </c>
      <c r="Q13" s="672"/>
      <c r="R13" s="672"/>
      <c r="S13" s="803" t="s">
        <v>120</v>
      </c>
      <c r="T13" s="736">
        <v>8.1597222222222227E-3</v>
      </c>
      <c r="U13" s="752">
        <v>88</v>
      </c>
      <c r="V13" s="781"/>
      <c r="W13" s="776" t="s">
        <v>380</v>
      </c>
      <c r="X13" s="740">
        <v>88</v>
      </c>
      <c r="AB13" s="828">
        <f t="shared" si="5"/>
        <v>58</v>
      </c>
      <c r="AC13" s="829">
        <f t="shared" si="4"/>
        <v>0</v>
      </c>
    </row>
    <row r="14" spans="2:29" ht="21" customHeight="1" thickBot="1" x14ac:dyDescent="0.3">
      <c r="B14" s="16">
        <f t="shared" si="0"/>
        <v>5</v>
      </c>
      <c r="C14" s="106" t="s">
        <v>96</v>
      </c>
      <c r="D14" s="107" t="s">
        <v>97</v>
      </c>
      <c r="E14" s="599" t="str">
        <f t="shared" si="1"/>
        <v>StigHaugskott</v>
      </c>
      <c r="F14" s="192">
        <f>YEAR(I$5)-_xlfn.XLOOKUP(E14,Deltakerliste!E$5:E$98,Deltakerliste!I$5:I$98)</f>
        <v>87</v>
      </c>
      <c r="G14" s="192">
        <f>_xlfn.XLOOKUP(E14,Deltakerliste!E$5:E$98,Deltakerliste!H$5:H$98)</f>
        <v>2</v>
      </c>
      <c r="H14" s="592">
        <f>VLOOKUP(F14,Deltakerliste!P$6:T$84,G14,FALSE)</f>
        <v>2.3929999999999998</v>
      </c>
      <c r="I14" s="86">
        <v>2.3564814814814816E-2</v>
      </c>
      <c r="J14" s="86"/>
      <c r="K14" s="86"/>
      <c r="L14" s="600">
        <f t="shared" si="2"/>
        <v>1.1782407407407408E-2</v>
      </c>
      <c r="M14" s="594">
        <f>IF(L14="Løype",Poengsammendrag!$F$2,IF(L14="Arr",Poengsammendrag!$F$3,IF(L14="Brutt",50,IF(L14="Disk",50,ROUND(MAXA(100*(MIN(L$10:L$92)/L14),50),0)))))</f>
        <v>61</v>
      </c>
      <c r="N14" s="724">
        <f t="shared" si="3"/>
        <v>4.9236972032626032E-3</v>
      </c>
      <c r="O14" s="596">
        <f>IF(N14="Løype",Poengsammendrag!$F$2,IF(N14="Arr",Poengsammendrag!$F$3,IF(N14="Brutt",50,IF(N14="Disk",50,ROUND(MAXA(100*(MIN(N$10:N$92)/N14),50),0)))))</f>
        <v>86</v>
      </c>
      <c r="Q14" s="672"/>
      <c r="R14" s="672"/>
      <c r="S14" s="803" t="s">
        <v>136</v>
      </c>
      <c r="T14" s="736">
        <v>8.3217592592592596E-3</v>
      </c>
      <c r="U14" s="752">
        <v>86</v>
      </c>
      <c r="V14" s="781"/>
      <c r="W14" s="776" t="s">
        <v>96</v>
      </c>
      <c r="X14" s="740">
        <v>86</v>
      </c>
      <c r="AB14" s="828">
        <f t="shared" si="5"/>
        <v>59</v>
      </c>
      <c r="AC14" s="829">
        <f t="shared" si="4"/>
        <v>0</v>
      </c>
    </row>
    <row r="15" spans="2:29" ht="21" customHeight="1" thickBot="1" x14ac:dyDescent="0.3">
      <c r="B15" s="16">
        <f t="shared" si="0"/>
        <v>6</v>
      </c>
      <c r="C15" s="106" t="s">
        <v>124</v>
      </c>
      <c r="D15" s="107" t="s">
        <v>125</v>
      </c>
      <c r="E15" s="599" t="str">
        <f t="shared" si="1"/>
        <v>Heidi Midttun</v>
      </c>
      <c r="F15" s="192">
        <f>YEAR(I$5)-_xlfn.XLOOKUP(E15,Deltakerliste!E$5:E$98,Deltakerliste!I$5:I$98)</f>
        <v>71</v>
      </c>
      <c r="G15" s="192">
        <f>_xlfn.XLOOKUP(E15,Deltakerliste!E$5:E$98,Deltakerliste!H$5:H$98)</f>
        <v>4</v>
      </c>
      <c r="H15" s="592">
        <f>VLOOKUP(F15,Deltakerliste!P$6:T$84,G15,FALSE)</f>
        <v>1.9926000000000013</v>
      </c>
      <c r="I15" s="13">
        <v>1.9664351851851853E-2</v>
      </c>
      <c r="J15" s="13"/>
      <c r="K15" s="13"/>
      <c r="L15" s="600">
        <f t="shared" si="2"/>
        <v>9.8321759259259265E-3</v>
      </c>
      <c r="M15" s="594">
        <f>IF(L15="Løype",Poengsammendrag!$F$2,IF(L15="Arr",Poengsammendrag!$F$3,IF(L15="Brutt",50,IF(L15="Disk",50,ROUND(MAXA(100*(MIN(L$10:L$92)/L15),50),0)))))</f>
        <v>73</v>
      </c>
      <c r="N15" s="724">
        <f t="shared" si="3"/>
        <v>4.934345039609515E-3</v>
      </c>
      <c r="O15" s="596">
        <f>IF(N15="Løype",Poengsammendrag!$F$2,IF(N15="Arr",Poengsammendrag!$F$3,IF(N15="Brutt",50,IF(N15="Disk",50,ROUND(MAXA(100*(MIN(N$10:N$92)/N15),50),0)))))</f>
        <v>86</v>
      </c>
      <c r="Q15" s="672"/>
      <c r="R15" s="672"/>
      <c r="S15" s="803" t="s">
        <v>118</v>
      </c>
      <c r="T15" s="736">
        <v>8.9120370370370378E-3</v>
      </c>
      <c r="U15" s="752">
        <v>81</v>
      </c>
      <c r="V15" s="781"/>
      <c r="W15" s="776" t="s">
        <v>124</v>
      </c>
      <c r="X15" s="740">
        <v>86</v>
      </c>
      <c r="AB15" s="828">
        <f t="shared" si="5"/>
        <v>60</v>
      </c>
      <c r="AC15" s="829">
        <f t="shared" si="4"/>
        <v>0</v>
      </c>
    </row>
    <row r="16" spans="2:29" ht="21" customHeight="1" thickBot="1" x14ac:dyDescent="0.3">
      <c r="B16" s="16">
        <f t="shared" si="0"/>
        <v>7</v>
      </c>
      <c r="C16" s="106" t="s">
        <v>80</v>
      </c>
      <c r="D16" s="107" t="s">
        <v>81</v>
      </c>
      <c r="E16" s="599" t="str">
        <f t="shared" si="1"/>
        <v>HalvorFlatberg</v>
      </c>
      <c r="F16" s="192">
        <f>YEAR(I$5)-_xlfn.XLOOKUP(E16,Deltakerliste!E$5:E$98,Deltakerliste!I$5:I$98)</f>
        <v>80</v>
      </c>
      <c r="G16" s="192">
        <f>_xlfn.XLOOKUP(E16,Deltakerliste!E$5:E$98,Deltakerliste!H$5:H$98)</f>
        <v>2</v>
      </c>
      <c r="H16" s="592">
        <f>VLOOKUP(F16,Deltakerliste!P$6:T$84,G16,FALSE)</f>
        <v>1.8550000000000002</v>
      </c>
      <c r="I16" s="86">
        <v>1.9085648148148147E-2</v>
      </c>
      <c r="J16" s="86"/>
      <c r="K16" s="13"/>
      <c r="L16" s="600">
        <f t="shared" si="2"/>
        <v>9.5428240740740734E-3</v>
      </c>
      <c r="M16" s="594">
        <f>IF(L16="Løype",Poengsammendrag!$F$2,IF(L16="Arr",Poengsammendrag!$F$3,IF(L16="Brutt",50,IF(L16="Disk",50,ROUND(MAXA(100*(MIN(L$10:L$92)/L16),50),0)))))</f>
        <v>75</v>
      </c>
      <c r="N16" s="724">
        <f t="shared" si="3"/>
        <v>5.1443795547569124E-3</v>
      </c>
      <c r="O16" s="596">
        <f>IF(N16="Løype",Poengsammendrag!$F$2,IF(N16="Arr",Poengsammendrag!$F$3,IF(N16="Brutt",50,IF(N16="Disk",50,ROUND(MAXA(100*(MIN(N$10:N$92)/N16),50),0)))))</f>
        <v>82</v>
      </c>
      <c r="Q16" s="672"/>
      <c r="R16" s="672"/>
      <c r="S16" s="803" t="s">
        <v>106</v>
      </c>
      <c r="T16" s="736">
        <v>9.0494791666666657E-3</v>
      </c>
      <c r="U16" s="752">
        <v>79</v>
      </c>
      <c r="V16" s="781"/>
      <c r="W16" s="776" t="s">
        <v>80</v>
      </c>
      <c r="X16" s="740">
        <v>82</v>
      </c>
      <c r="AB16" s="828">
        <f t="shared" si="5"/>
        <v>61</v>
      </c>
      <c r="AC16" s="829">
        <f t="shared" si="4"/>
        <v>1</v>
      </c>
    </row>
    <row r="17" spans="2:29" ht="21" customHeight="1" thickBot="1" x14ac:dyDescent="0.3">
      <c r="B17" s="16">
        <f t="shared" si="0"/>
        <v>8</v>
      </c>
      <c r="C17" s="106" t="s">
        <v>114</v>
      </c>
      <c r="D17" s="107" t="s">
        <v>115</v>
      </c>
      <c r="E17" s="599" t="str">
        <f t="shared" si="1"/>
        <v>MagnusLandstad</v>
      </c>
      <c r="F17" s="192">
        <f>YEAR(I$5)-_xlfn.XLOOKUP(E17,Deltakerliste!E$5:E$98,Deltakerliste!I$5:I$98)</f>
        <v>83</v>
      </c>
      <c r="G17" s="192">
        <f>_xlfn.XLOOKUP(E17,Deltakerliste!E$5:E$98,Deltakerliste!H$5:H$98)</f>
        <v>2</v>
      </c>
      <c r="H17" s="592">
        <f>VLOOKUP(F17,Deltakerliste!P$6:T$84,G17,FALSE)</f>
        <v>2.077</v>
      </c>
      <c r="I17" s="86"/>
      <c r="J17" s="86">
        <v>3.4421296296296297E-2</v>
      </c>
      <c r="K17" s="13"/>
      <c r="L17" s="600">
        <f t="shared" si="2"/>
        <v>1.0756655092592592E-2</v>
      </c>
      <c r="M17" s="594">
        <f>IF(L17="Løype",Poengsammendrag!$F$2,IF(L17="Arr",Poengsammendrag!$F$3,IF(L17="Brutt",50,IF(L17="Disk",50,ROUND(MAXA(100*(MIN(L$10:L$92)/L17),50),0)))))</f>
        <v>67</v>
      </c>
      <c r="N17" s="724">
        <f t="shared" si="3"/>
        <v>5.1789384172328317E-3</v>
      </c>
      <c r="O17" s="596">
        <f>IF(N17="Løype",Poengsammendrag!$F$2,IF(N17="Arr",Poengsammendrag!$F$3,IF(N17="Brutt",50,IF(N17="Disk",50,ROUND(MAXA(100*(MIN(N$10:N$92)/N17),50),0)))))</f>
        <v>82</v>
      </c>
      <c r="Q17" s="672"/>
      <c r="R17" s="672"/>
      <c r="S17" s="803" t="s">
        <v>163</v>
      </c>
      <c r="T17" s="736">
        <v>9.2375578703703699E-3</v>
      </c>
      <c r="U17" s="752">
        <v>78</v>
      </c>
      <c r="V17" s="781"/>
      <c r="W17" s="776" t="s">
        <v>114</v>
      </c>
      <c r="X17" s="740">
        <v>82</v>
      </c>
      <c r="AB17" s="828">
        <f t="shared" si="5"/>
        <v>62</v>
      </c>
      <c r="AC17" s="829">
        <f t="shared" si="4"/>
        <v>0</v>
      </c>
    </row>
    <row r="18" spans="2:29" ht="21" customHeight="1" thickBot="1" x14ac:dyDescent="0.3">
      <c r="B18" s="16">
        <f t="shared" si="0"/>
        <v>9</v>
      </c>
      <c r="C18" s="106" t="s">
        <v>122</v>
      </c>
      <c r="D18" s="107" t="s">
        <v>123</v>
      </c>
      <c r="E18" s="599" t="str">
        <f t="shared" si="1"/>
        <v>MartinMelhuus</v>
      </c>
      <c r="F18" s="192">
        <f>YEAR(I$5)-_xlfn.XLOOKUP(E18,Deltakerliste!E$5:E$98,Deltakerliste!I$5:I$98)</f>
        <v>82</v>
      </c>
      <c r="G18" s="192">
        <f>_xlfn.XLOOKUP(E18,Deltakerliste!E$5:E$98,Deltakerliste!H$5:H$98)</f>
        <v>2</v>
      </c>
      <c r="H18" s="592">
        <f>VLOOKUP(F18,Deltakerliste!P$6:T$84,G18,FALSE)</f>
        <v>2.0030000000000001</v>
      </c>
      <c r="I18" s="13">
        <v>2.0902777777777777E-2</v>
      </c>
      <c r="J18" s="13"/>
      <c r="K18" s="13"/>
      <c r="L18" s="600">
        <f t="shared" si="2"/>
        <v>1.0451388888888889E-2</v>
      </c>
      <c r="M18" s="594">
        <f>IF(L18="Løype",Poengsammendrag!$F$2,IF(L18="Arr",Poengsammendrag!$F$3,IF(L18="Brutt",50,IF(L18="Disk",50,ROUND(MAXA(100*(MIN(L$10:L$92)/L18),50),0)))))</f>
        <v>69</v>
      </c>
      <c r="N18" s="724">
        <f t="shared" si="3"/>
        <v>5.2178676429799741E-3</v>
      </c>
      <c r="O18" s="596">
        <f>IF(N18="Løype",Poengsammendrag!$F$2,IF(N18="Arr",Poengsammendrag!$F$3,IF(N18="Brutt",50,IF(N18="Disk",50,ROUND(MAXA(100*(MIN(N$10:N$92)/N18),50),0)))))</f>
        <v>81</v>
      </c>
      <c r="Q18" s="672"/>
      <c r="R18" s="672"/>
      <c r="S18" s="803" t="s">
        <v>314</v>
      </c>
      <c r="T18" s="736">
        <v>9.2990451388888888E-3</v>
      </c>
      <c r="U18" s="752">
        <v>77</v>
      </c>
      <c r="V18" s="781"/>
      <c r="W18" s="776" t="s">
        <v>122</v>
      </c>
      <c r="X18" s="740">
        <v>81</v>
      </c>
      <c r="AB18" s="828">
        <f t="shared" si="5"/>
        <v>63</v>
      </c>
      <c r="AC18" s="829">
        <f t="shared" si="4"/>
        <v>0</v>
      </c>
    </row>
    <row r="19" spans="2:29" ht="21" thickBot="1" x14ac:dyDescent="0.3">
      <c r="B19" s="16">
        <f t="shared" si="0"/>
        <v>10</v>
      </c>
      <c r="C19" s="106" t="s">
        <v>118</v>
      </c>
      <c r="D19" s="107" t="s">
        <v>119</v>
      </c>
      <c r="E19" s="599" t="str">
        <f t="shared" si="1"/>
        <v>KnutLillealtern</v>
      </c>
      <c r="F19" s="192">
        <f>YEAR(I$5)-_xlfn.XLOOKUP(E19,Deltakerliste!E$5:E$98,Deltakerliste!I$5:I$98)</f>
        <v>77</v>
      </c>
      <c r="G19" s="192">
        <f>_xlfn.XLOOKUP(E19,Deltakerliste!E$5:E$98,Deltakerliste!H$5:H$98)</f>
        <v>2</v>
      </c>
      <c r="H19" s="592">
        <f>VLOOKUP(F19,Deltakerliste!P$6:T$84,G19,FALSE)</f>
        <v>1.7050000000000001</v>
      </c>
      <c r="I19" s="13">
        <v>1.7824074074074076E-2</v>
      </c>
      <c r="J19" s="13"/>
      <c r="K19" s="17"/>
      <c r="L19" s="600">
        <f t="shared" si="2"/>
        <v>8.9120370370370378E-3</v>
      </c>
      <c r="M19" s="594">
        <f>IF(L19="Løype",Poengsammendrag!$F$2,IF(L19="Arr",Poengsammendrag!$F$3,IF(L19="Brutt",50,IF(L19="Disk",50,ROUND(MAXA(100*(MIN(L$10:L$92)/L19),50),0)))))</f>
        <v>81</v>
      </c>
      <c r="N19" s="724">
        <f t="shared" si="3"/>
        <v>5.2270011947431307E-3</v>
      </c>
      <c r="O19" s="596">
        <f>IF(N19="Løype",Poengsammendrag!$F$2,IF(N19="Arr",Poengsammendrag!$F$3,IF(N19="Brutt",50,IF(N19="Disk",50,ROUND(MAXA(100*(MIN(N$10:N$92)/N19),50),0)))))</f>
        <v>81</v>
      </c>
      <c r="Q19" s="672"/>
      <c r="R19" s="672"/>
      <c r="S19" s="803" t="s">
        <v>346</v>
      </c>
      <c r="T19" s="736">
        <v>9.3243634259259252E-3</v>
      </c>
      <c r="U19" s="752">
        <v>77</v>
      </c>
      <c r="V19" s="781"/>
      <c r="W19" s="776" t="s">
        <v>118</v>
      </c>
      <c r="X19" s="740">
        <v>81</v>
      </c>
      <c r="AB19" s="828">
        <f t="shared" si="5"/>
        <v>64</v>
      </c>
      <c r="AC19" s="829">
        <f t="shared" si="4"/>
        <v>0</v>
      </c>
    </row>
    <row r="20" spans="2:29" ht="21" thickBot="1" x14ac:dyDescent="0.3">
      <c r="B20" s="16">
        <f t="shared" si="0"/>
        <v>11</v>
      </c>
      <c r="C20" s="106" t="s">
        <v>134</v>
      </c>
      <c r="D20" s="107" t="s">
        <v>135</v>
      </c>
      <c r="E20" s="599" t="str">
        <f t="shared" si="1"/>
        <v>IngeNørstebø</v>
      </c>
      <c r="F20" s="192">
        <f>YEAR(I$5)-_xlfn.XLOOKUP(E20,Deltakerliste!E$5:E$98,Deltakerliste!I$5:I$98)</f>
        <v>70</v>
      </c>
      <c r="G20" s="192">
        <f>_xlfn.XLOOKUP(E20,Deltakerliste!E$5:E$98,Deltakerliste!H$5:H$98)</f>
        <v>2</v>
      </c>
      <c r="H20" s="592">
        <f>VLOOKUP(F20,Deltakerliste!P$6:T$84,G20,FALSE)</f>
        <v>1.4249999999999998</v>
      </c>
      <c r="I20" s="13"/>
      <c r="J20" s="13">
        <v>2.4155092592592593E-2</v>
      </c>
      <c r="K20" s="13"/>
      <c r="L20" s="600">
        <f t="shared" si="2"/>
        <v>7.548466435185185E-3</v>
      </c>
      <c r="M20" s="594">
        <f>IF(L20="Løype",Poengsammendrag!$F$2,IF(L20="Arr",Poengsammendrag!$F$3,IF(L20="Brutt",50,IF(L20="Disk",50,ROUND(MAXA(100*(MIN(L$10:L$92)/L20),50),0)))))</f>
        <v>95</v>
      </c>
      <c r="N20" s="724">
        <f t="shared" si="3"/>
        <v>5.2971694282001307E-3</v>
      </c>
      <c r="O20" s="596">
        <f>IF(N20="Løype",Poengsammendrag!$F$2,IF(N20="Arr",Poengsammendrag!$F$3,IF(N20="Brutt",50,IF(N20="Disk",50,ROUND(MAXA(100*(MIN(N$10:N$92)/N20),50),0)))))</f>
        <v>80</v>
      </c>
      <c r="Q20" s="672"/>
      <c r="R20" s="672"/>
      <c r="S20" s="803" t="s">
        <v>101</v>
      </c>
      <c r="T20" s="736">
        <v>9.4039351851851836E-3</v>
      </c>
      <c r="U20" s="752">
        <v>76</v>
      </c>
      <c r="V20" s="781"/>
      <c r="W20" s="776" t="s">
        <v>134</v>
      </c>
      <c r="X20" s="740">
        <v>80</v>
      </c>
      <c r="AB20" s="828">
        <f t="shared" si="5"/>
        <v>65</v>
      </c>
      <c r="AC20" s="829">
        <f t="shared" si="4"/>
        <v>0</v>
      </c>
    </row>
    <row r="21" spans="2:29" ht="21" customHeight="1" thickBot="1" x14ac:dyDescent="0.3">
      <c r="B21" s="16">
        <f t="shared" si="0"/>
        <v>12</v>
      </c>
      <c r="C21" s="106" t="s">
        <v>116</v>
      </c>
      <c r="D21" s="107" t="s">
        <v>165</v>
      </c>
      <c r="E21" s="599" t="str">
        <f t="shared" si="1"/>
        <v>AndersWaage</v>
      </c>
      <c r="F21" s="192">
        <f>YEAR(I$5)-_xlfn.XLOOKUP(E21,Deltakerliste!E$5:E$98,Deltakerliste!I$5:I$98)</f>
        <v>78</v>
      </c>
      <c r="G21" s="192">
        <f>_xlfn.XLOOKUP(E21,Deltakerliste!E$5:E$98,Deltakerliste!H$5:H$98)</f>
        <v>2</v>
      </c>
      <c r="H21" s="592">
        <f>VLOOKUP(F21,Deltakerliste!P$6:T$84,G21,FALSE)</f>
        <v>1.7550000000000001</v>
      </c>
      <c r="I21" s="18"/>
      <c r="J21" s="132">
        <v>2.9756944444444444E-2</v>
      </c>
      <c r="K21" s="18"/>
      <c r="L21" s="600">
        <f t="shared" si="2"/>
        <v>9.2990451388888888E-3</v>
      </c>
      <c r="M21" s="594">
        <f>IF(L21="Løype",Poengsammendrag!$F$2,IF(L21="Arr",Poengsammendrag!$F$3,IF(L21="Brutt",50,IF(L21="Disk",50,ROUND(MAXA(100*(MIN(L$10:L$92)/L21),50),0)))))</f>
        <v>77</v>
      </c>
      <c r="N21" s="724">
        <f t="shared" si="3"/>
        <v>5.2986012187401076E-3</v>
      </c>
      <c r="O21" s="596">
        <f>IF(N21="Løype",Poengsammendrag!$F$2,IF(N21="Arr",Poengsammendrag!$F$3,IF(N21="Brutt",50,IF(N21="Disk",50,ROUND(MAXA(100*(MIN(N$10:N$92)/N21),50),0)))))</f>
        <v>80</v>
      </c>
      <c r="Q21" s="672"/>
      <c r="R21" s="672"/>
      <c r="S21" s="803" t="s">
        <v>338</v>
      </c>
      <c r="T21" s="736">
        <v>9.432870370370371E-3</v>
      </c>
      <c r="U21" s="752">
        <v>76</v>
      </c>
      <c r="V21" s="781"/>
      <c r="W21" s="776" t="s">
        <v>314</v>
      </c>
      <c r="X21" s="740">
        <v>80</v>
      </c>
      <c r="AB21" s="828">
        <f t="shared" si="5"/>
        <v>66</v>
      </c>
      <c r="AC21" s="829">
        <f t="shared" si="4"/>
        <v>0</v>
      </c>
    </row>
    <row r="22" spans="2:29" ht="21" customHeight="1" thickBot="1" x14ac:dyDescent="0.3">
      <c r="B22" s="16">
        <f t="shared" si="0"/>
        <v>13</v>
      </c>
      <c r="C22" s="106" t="s">
        <v>136</v>
      </c>
      <c r="D22" s="107" t="s">
        <v>137</v>
      </c>
      <c r="E22" s="599" t="str">
        <f t="shared" si="1"/>
        <v>HaraldOftedal</v>
      </c>
      <c r="F22" s="192">
        <f>YEAR(I$5)-_xlfn.XLOOKUP(E22,Deltakerliste!E$5:E$98,Deltakerliste!I$5:I$98)</f>
        <v>74</v>
      </c>
      <c r="G22" s="192">
        <f>_xlfn.XLOOKUP(E22,Deltakerliste!E$5:E$98,Deltakerliste!H$5:H$98)</f>
        <v>2</v>
      </c>
      <c r="H22" s="592">
        <f>VLOOKUP(F22,Deltakerliste!P$6:T$84,G22,FALSE)</f>
        <v>1.569</v>
      </c>
      <c r="I22" s="132">
        <v>1.6643518518518519E-2</v>
      </c>
      <c r="J22" s="132"/>
      <c r="K22" s="134"/>
      <c r="L22" s="600">
        <f t="shared" si="2"/>
        <v>8.3217592592592596E-3</v>
      </c>
      <c r="M22" s="594">
        <f>IF(L22="Løype",Poengsammendrag!$F$2,IF(L22="Arr",Poengsammendrag!$F$3,IF(L22="Brutt",50,IF(L22="Disk",50,ROUND(MAXA(100*(MIN(L$10:L$92)/L22),50),0)))))</f>
        <v>86</v>
      </c>
      <c r="N22" s="724">
        <f t="shared" si="3"/>
        <v>5.303861860585889E-3</v>
      </c>
      <c r="O22" s="596">
        <f>IF(N22="Løype",Poengsammendrag!$F$2,IF(N22="Arr",Poengsammendrag!$F$3,IF(N22="Brutt",50,IF(N22="Disk",50,ROUND(MAXA(100*(MIN(N$10:N$92)/N22),50),0)))))</f>
        <v>80</v>
      </c>
      <c r="Q22" s="672"/>
      <c r="R22" s="672"/>
      <c r="S22" s="803" t="s">
        <v>138</v>
      </c>
      <c r="T22" s="736">
        <v>9.4798900462962962E-3</v>
      </c>
      <c r="U22" s="752">
        <v>76</v>
      </c>
      <c r="V22" s="781"/>
      <c r="W22" s="776" t="s">
        <v>136</v>
      </c>
      <c r="X22" s="740">
        <v>80</v>
      </c>
      <c r="AB22" s="828">
        <f t="shared" si="5"/>
        <v>67</v>
      </c>
      <c r="AC22" s="829">
        <f t="shared" si="4"/>
        <v>1</v>
      </c>
    </row>
    <row r="23" spans="2:29" ht="21" customHeight="1" thickBot="1" x14ac:dyDescent="0.3">
      <c r="B23" s="16">
        <f t="shared" si="0"/>
        <v>14</v>
      </c>
      <c r="C23" s="106" t="s">
        <v>106</v>
      </c>
      <c r="D23" s="107" t="s">
        <v>107</v>
      </c>
      <c r="E23" s="599" t="str">
        <f t="shared" si="1"/>
        <v>Jon ArneKlemetsaune</v>
      </c>
      <c r="F23" s="192">
        <f>YEAR(I$5)-_xlfn.XLOOKUP(E23,Deltakerliste!E$5:E$98,Deltakerliste!I$5:I$98)</f>
        <v>77</v>
      </c>
      <c r="G23" s="192">
        <f>_xlfn.XLOOKUP(E23,Deltakerliste!E$5:E$98,Deltakerliste!H$5:H$98)</f>
        <v>2</v>
      </c>
      <c r="H23" s="592">
        <f>VLOOKUP(F23,Deltakerliste!P$6:T$84,G23,FALSE)</f>
        <v>1.7050000000000001</v>
      </c>
      <c r="I23" s="86"/>
      <c r="J23" s="86">
        <v>2.8958333333333332E-2</v>
      </c>
      <c r="K23" s="17"/>
      <c r="L23" s="600">
        <f t="shared" si="2"/>
        <v>9.0494791666666657E-3</v>
      </c>
      <c r="M23" s="594">
        <f>IF(L23="Løype",Poengsammendrag!$F$2,IF(L23="Arr",Poengsammendrag!$F$3,IF(L23="Brutt",50,IF(L23="Disk",50,ROUND(MAXA(100*(MIN(L$10:L$92)/L23),50),0)))))</f>
        <v>79</v>
      </c>
      <c r="N23" s="724">
        <f t="shared" si="3"/>
        <v>5.3076124144672528E-3</v>
      </c>
      <c r="O23" s="596">
        <f>IF(N23="Løype",Poengsammendrag!$F$2,IF(N23="Arr",Poengsammendrag!$F$3,IF(N23="Brutt",50,IF(N23="Disk",50,ROUND(MAXA(100*(MIN(N$10:N$92)/N23),50),0)))))</f>
        <v>80</v>
      </c>
      <c r="Q23" s="672"/>
      <c r="R23" s="672"/>
      <c r="S23" s="803" t="s">
        <v>80</v>
      </c>
      <c r="T23" s="736">
        <v>9.5428240740740734E-3</v>
      </c>
      <c r="U23" s="752">
        <v>75</v>
      </c>
      <c r="V23" s="781"/>
      <c r="W23" s="776" t="s">
        <v>106</v>
      </c>
      <c r="X23" s="740">
        <v>80</v>
      </c>
      <c r="AB23" s="828">
        <f t="shared" si="5"/>
        <v>68</v>
      </c>
      <c r="AC23" s="829">
        <f t="shared" si="4"/>
        <v>0</v>
      </c>
    </row>
    <row r="24" spans="2:29" ht="21" thickBot="1" x14ac:dyDescent="0.3">
      <c r="B24" s="16">
        <f t="shared" si="0"/>
        <v>15</v>
      </c>
      <c r="C24" s="106" t="s">
        <v>103</v>
      </c>
      <c r="D24" s="107" t="s">
        <v>104</v>
      </c>
      <c r="E24" s="599" t="str">
        <f t="shared" si="1"/>
        <v>SveinHove</v>
      </c>
      <c r="F24" s="192">
        <f>YEAR(I$5)-_xlfn.XLOOKUP(E24,Deltakerliste!E$5:E$98,Deltakerliste!I$5:I$98)</f>
        <v>79</v>
      </c>
      <c r="G24" s="192">
        <f>_xlfn.XLOOKUP(E24,Deltakerliste!E$5:E$98,Deltakerliste!H$5:H$98)</f>
        <v>2</v>
      </c>
      <c r="H24" s="592">
        <f>VLOOKUP(F24,Deltakerliste!P$6:T$84,G24,FALSE)</f>
        <v>1.8050000000000002</v>
      </c>
      <c r="I24" s="86">
        <v>1.9305555555555555E-2</v>
      </c>
      <c r="J24" s="86"/>
      <c r="K24" s="17"/>
      <c r="L24" s="600">
        <f t="shared" si="2"/>
        <v>9.6527777777777775E-3</v>
      </c>
      <c r="M24" s="594">
        <f>IF(L24="Løype",Poengsammendrag!$F$2,IF(L24="Arr",Poengsammendrag!$F$3,IF(L24="Brutt",50,IF(L24="Disk",50,ROUND(MAXA(100*(MIN(L$10:L$92)/L24),50),0)))))</f>
        <v>74</v>
      </c>
      <c r="N24" s="724">
        <f t="shared" si="3"/>
        <v>5.3477993228685742E-3</v>
      </c>
      <c r="O24" s="596">
        <f>IF(N24="Løype",Poengsammendrag!$F$2,IF(N24="Arr",Poengsammendrag!$F$3,IF(N24="Brutt",50,IF(N24="Disk",50,ROUND(MAXA(100*(MIN(N$10:N$92)/N24),50),0)))))</f>
        <v>79</v>
      </c>
      <c r="Q24" s="672"/>
      <c r="R24" s="672"/>
      <c r="S24" s="803" t="s">
        <v>103</v>
      </c>
      <c r="T24" s="736">
        <v>9.6527777777777775E-3</v>
      </c>
      <c r="U24" s="752">
        <v>74</v>
      </c>
      <c r="V24" s="781"/>
      <c r="W24" s="776" t="s">
        <v>103</v>
      </c>
      <c r="X24" s="740">
        <v>79</v>
      </c>
      <c r="AB24" s="828">
        <f t="shared" si="5"/>
        <v>69</v>
      </c>
      <c r="AC24" s="829">
        <f t="shared" si="4"/>
        <v>0</v>
      </c>
    </row>
    <row r="25" spans="2:29" ht="21" thickBot="1" x14ac:dyDescent="0.3">
      <c r="B25" s="16">
        <f t="shared" si="0"/>
        <v>16</v>
      </c>
      <c r="C25" s="106" t="s">
        <v>170</v>
      </c>
      <c r="D25" s="107" t="s">
        <v>171</v>
      </c>
      <c r="E25" s="599" t="str">
        <f t="shared" si="1"/>
        <v>ØisteinÅsmul</v>
      </c>
      <c r="F25" s="192">
        <f>YEAR(I$5)-_xlfn.XLOOKUP(E25,Deltakerliste!E$5:E$98,Deltakerliste!I$5:I$98)</f>
        <v>81</v>
      </c>
      <c r="G25" s="192">
        <f>_xlfn.XLOOKUP(E25,Deltakerliste!E$5:E$98,Deltakerliste!H$5:H$98)</f>
        <v>2</v>
      </c>
      <c r="H25" s="592">
        <f>VLOOKUP(F25,Deltakerliste!P$6:T$84,G25,FALSE)</f>
        <v>1.9290000000000003</v>
      </c>
      <c r="I25" s="132">
        <v>2.0729166666666667E-2</v>
      </c>
      <c r="J25" s="132"/>
      <c r="K25" s="18"/>
      <c r="L25" s="600">
        <f t="shared" si="2"/>
        <v>1.0364583333333333E-2</v>
      </c>
      <c r="M25" s="594">
        <f>IF(L25="Løype",Poengsammendrag!$F$2,IF(L25="Arr",Poengsammendrag!$F$3,IF(L25="Brutt",50,IF(L25="Disk",50,ROUND(MAXA(100*(MIN(L$10:L$92)/L25),50),0)))))</f>
        <v>69</v>
      </c>
      <c r="N25" s="724">
        <f t="shared" si="3"/>
        <v>5.3730343874200783E-3</v>
      </c>
      <c r="O25" s="596">
        <f>IF(N25="Løype",Poengsammendrag!$F$2,IF(N25="Arr",Poengsammendrag!$F$3,IF(N25="Brutt",50,IF(N25="Disk",50,ROUND(MAXA(100*(MIN(N$10:N$92)/N25),50),0)))))</f>
        <v>79</v>
      </c>
      <c r="Q25" s="672"/>
      <c r="R25" s="672"/>
      <c r="S25" s="803" t="s">
        <v>168</v>
      </c>
      <c r="T25" s="736">
        <v>9.6759259259259264E-3</v>
      </c>
      <c r="U25" s="752">
        <v>74</v>
      </c>
      <c r="V25" s="781"/>
      <c r="W25" s="776" t="s">
        <v>347</v>
      </c>
      <c r="X25" s="740">
        <v>79</v>
      </c>
      <c r="AB25" s="828">
        <f t="shared" si="5"/>
        <v>70</v>
      </c>
      <c r="AC25" s="829">
        <f t="shared" si="4"/>
        <v>1</v>
      </c>
    </row>
    <row r="26" spans="2:29" ht="21" customHeight="1" thickBot="1" x14ac:dyDescent="0.3">
      <c r="B26" s="16">
        <f t="shared" si="0"/>
        <v>17</v>
      </c>
      <c r="C26" s="106" t="s">
        <v>120</v>
      </c>
      <c r="D26" s="107" t="s">
        <v>121</v>
      </c>
      <c r="E26" s="599" t="str">
        <f t="shared" si="1"/>
        <v>KlausLivik</v>
      </c>
      <c r="F26" s="192">
        <f>YEAR(I$5)-_xlfn.XLOOKUP(E26,Deltakerliste!E$5:E$98,Deltakerliste!I$5:I$98)</f>
        <v>72</v>
      </c>
      <c r="G26" s="192">
        <f>_xlfn.XLOOKUP(E26,Deltakerliste!E$5:E$98,Deltakerliste!H$5:H$98)</f>
        <v>2</v>
      </c>
      <c r="H26" s="592">
        <f>VLOOKUP(F26,Deltakerliste!P$6:T$84,G26,FALSE)</f>
        <v>1.4969999999999999</v>
      </c>
      <c r="I26" s="13"/>
      <c r="J26" s="13">
        <v>2.6111111111111113E-2</v>
      </c>
      <c r="K26" s="17"/>
      <c r="L26" s="600">
        <f t="shared" si="2"/>
        <v>8.1597222222222227E-3</v>
      </c>
      <c r="M26" s="594">
        <f>IF(L26="Løype",Poengsammendrag!$F$2,IF(L26="Arr",Poengsammendrag!$F$3,IF(L26="Brutt",50,IF(L26="Disk",50,ROUND(MAXA(100*(MIN(L$10:L$92)/L26),50),0)))))</f>
        <v>88</v>
      </c>
      <c r="N26" s="724">
        <f t="shared" si="3"/>
        <v>5.4507162473094346E-3</v>
      </c>
      <c r="O26" s="596">
        <f>IF(N26="Løype",Poengsammendrag!$F$2,IF(N26="Arr",Poengsammendrag!$F$3,IF(N26="Brutt",50,IF(N26="Disk",50,ROUND(MAXA(100*(MIN(N$10:N$92)/N26),50),0)))))</f>
        <v>78</v>
      </c>
      <c r="Q26" s="672"/>
      <c r="R26" s="672"/>
      <c r="S26" s="803" t="s">
        <v>94</v>
      </c>
      <c r="T26" s="736">
        <v>9.7858796296296305E-3</v>
      </c>
      <c r="U26" s="752">
        <v>73</v>
      </c>
      <c r="V26" s="781"/>
      <c r="W26" s="776" t="s">
        <v>120</v>
      </c>
      <c r="X26" s="740">
        <v>78</v>
      </c>
      <c r="AB26" s="828">
        <f t="shared" si="5"/>
        <v>71</v>
      </c>
      <c r="AC26" s="829">
        <f t="shared" si="4"/>
        <v>1</v>
      </c>
    </row>
    <row r="27" spans="2:29" ht="21" thickBot="1" x14ac:dyDescent="0.3">
      <c r="B27" s="16">
        <f t="shared" si="0"/>
        <v>18</v>
      </c>
      <c r="C27" s="106" t="s">
        <v>142</v>
      </c>
      <c r="D27" s="107" t="s">
        <v>143</v>
      </c>
      <c r="E27" s="599" t="str">
        <f t="shared" si="1"/>
        <v>EgilRepvik</v>
      </c>
      <c r="F27" s="192">
        <f>YEAR(I$5)-_xlfn.XLOOKUP(E27,Deltakerliste!E$5:E$98,Deltakerliste!I$5:I$98)</f>
        <v>80</v>
      </c>
      <c r="G27" s="192">
        <f>_xlfn.XLOOKUP(E27,Deltakerliste!E$5:E$98,Deltakerliste!H$5:H$98)</f>
        <v>2</v>
      </c>
      <c r="H27" s="592">
        <f>VLOOKUP(F27,Deltakerliste!P$6:T$84,G27,FALSE)</f>
        <v>1.8550000000000002</v>
      </c>
      <c r="I27" s="132">
        <v>2.0555555555555556E-2</v>
      </c>
      <c r="J27" s="18"/>
      <c r="K27" s="18"/>
      <c r="L27" s="600">
        <f t="shared" si="2"/>
        <v>1.0277777777777778E-2</v>
      </c>
      <c r="M27" s="594">
        <f>IF(L27="Løype",Poengsammendrag!$F$2,IF(L27="Arr",Poengsammendrag!$F$3,IF(L27="Brutt",50,IF(L27="Disk",50,ROUND(MAXA(100*(MIN(L$10:L$92)/L27),50),0)))))</f>
        <v>70</v>
      </c>
      <c r="N27" s="724">
        <f t="shared" si="3"/>
        <v>5.5405810122791249E-3</v>
      </c>
      <c r="O27" s="596">
        <f>IF(N27="Løype",Poengsammendrag!$F$2,IF(N27="Arr",Poengsammendrag!$F$3,IF(N27="Brutt",50,IF(N27="Disk",50,ROUND(MAXA(100*(MIN(N$10:N$92)/N27),50),0)))))</f>
        <v>77</v>
      </c>
      <c r="Q27" s="672"/>
      <c r="R27" s="672"/>
      <c r="S27" s="803" t="s">
        <v>124</v>
      </c>
      <c r="T27" s="736">
        <v>9.8321759259259265E-3</v>
      </c>
      <c r="U27" s="752">
        <v>73</v>
      </c>
      <c r="V27" s="781"/>
      <c r="W27" s="776" t="s">
        <v>356</v>
      </c>
      <c r="X27" s="740">
        <v>77</v>
      </c>
      <c r="AB27" s="828">
        <f t="shared" si="5"/>
        <v>72</v>
      </c>
      <c r="AC27" s="829">
        <f t="shared" si="4"/>
        <v>3</v>
      </c>
    </row>
    <row r="28" spans="2:29" ht="21" customHeight="1" thickBot="1" x14ac:dyDescent="0.3">
      <c r="B28" s="16">
        <f t="shared" si="0"/>
        <v>19</v>
      </c>
      <c r="C28" s="106" t="s">
        <v>94</v>
      </c>
      <c r="D28" s="107" t="s">
        <v>95</v>
      </c>
      <c r="E28" s="599" t="str">
        <f t="shared" si="1"/>
        <v>TerjeHanssen</v>
      </c>
      <c r="F28" s="192">
        <f>YEAR(I$5)-_xlfn.XLOOKUP(E28,Deltakerliste!E$5:E$98,Deltakerliste!I$5:I$98)</f>
        <v>78</v>
      </c>
      <c r="G28" s="192">
        <f>_xlfn.XLOOKUP(E28,Deltakerliste!E$5:E$98,Deltakerliste!H$5:H$98)</f>
        <v>2</v>
      </c>
      <c r="H28" s="592">
        <f>VLOOKUP(F28,Deltakerliste!P$6:T$84,G28,FALSE)</f>
        <v>1.7550000000000001</v>
      </c>
      <c r="I28" s="86">
        <v>1.9571759259259261E-2</v>
      </c>
      <c r="J28" s="86"/>
      <c r="K28" s="17"/>
      <c r="L28" s="600">
        <f t="shared" si="2"/>
        <v>9.7858796296296305E-3</v>
      </c>
      <c r="M28" s="594">
        <f>IF(L28="Løype",Poengsammendrag!$F$2,IF(L28="Arr",Poengsammendrag!$F$3,IF(L28="Brutt",50,IF(L28="Disk",50,ROUND(MAXA(100*(MIN(L$10:L$92)/L28),50),0)))))</f>
        <v>73</v>
      </c>
      <c r="N28" s="724">
        <f t="shared" si="3"/>
        <v>5.5759997889627518E-3</v>
      </c>
      <c r="O28" s="596">
        <f>IF(N28="Løype",Poengsammendrag!$F$2,IF(N28="Arr",Poengsammendrag!$F$3,IF(N28="Brutt",50,IF(N28="Disk",50,ROUND(MAXA(100*(MIN(N$10:N$92)/N28),50),0)))))</f>
        <v>76</v>
      </c>
      <c r="Q28" s="672"/>
      <c r="R28" s="672"/>
      <c r="S28" s="803" t="s">
        <v>356</v>
      </c>
      <c r="T28" s="736">
        <v>1.0277777777777778E-2</v>
      </c>
      <c r="U28" s="752">
        <v>70</v>
      </c>
      <c r="V28" s="781"/>
      <c r="W28" s="776" t="s">
        <v>94</v>
      </c>
      <c r="X28" s="740">
        <v>76</v>
      </c>
      <c r="AB28" s="828">
        <f t="shared" si="5"/>
        <v>73</v>
      </c>
      <c r="AC28" s="829">
        <f t="shared" si="4"/>
        <v>4</v>
      </c>
    </row>
    <row r="29" spans="2:29" ht="21" thickBot="1" x14ac:dyDescent="0.3">
      <c r="B29" s="16">
        <f t="shared" si="0"/>
        <v>20</v>
      </c>
      <c r="C29" s="106" t="s">
        <v>126</v>
      </c>
      <c r="D29" s="107" t="s">
        <v>383</v>
      </c>
      <c r="E29" s="599" t="str">
        <f t="shared" si="1"/>
        <v>ArneHelland</v>
      </c>
      <c r="F29" s="192">
        <f>YEAR(I$5)-_xlfn.XLOOKUP(E29,Deltakerliste!E$5:E$98,Deltakerliste!I$5:I$98)</f>
        <v>61</v>
      </c>
      <c r="G29" s="192">
        <f>_xlfn.XLOOKUP(E29,Deltakerliste!E$5:E$98,Deltakerliste!H$5:H$98)</f>
        <v>2</v>
      </c>
      <c r="H29" s="592">
        <f>VLOOKUP(F29,Deltakerliste!P$6:T$84,G29,FALSE)</f>
        <v>1.2190000000000001</v>
      </c>
      <c r="I29" s="86"/>
      <c r="J29" s="86">
        <v>2.2997685185185184E-2</v>
      </c>
      <c r="K29" s="17"/>
      <c r="L29" s="600">
        <f t="shared" si="2"/>
        <v>7.1867766203703694E-3</v>
      </c>
      <c r="M29" s="594">
        <f>IF(L29="Løype",Poengsammendrag!$F$2,IF(L29="Arr",Poengsammendrag!$F$3,IF(L29="Brutt",50,IF(L29="Disk",50,ROUND(MAXA(100*(MIN(L$10:L$92)/L29),50),0)))))</f>
        <v>100</v>
      </c>
      <c r="N29" s="724">
        <f t="shared" si="3"/>
        <v>5.8956329945614181E-3</v>
      </c>
      <c r="O29" s="596">
        <f>IF(N29="Løype",Poengsammendrag!$F$2,IF(N29="Arr",Poengsammendrag!$F$3,IF(N29="Brutt",50,IF(N29="Disk",50,ROUND(MAXA(100*(MIN(N$10:N$92)/N29),50),0)))))</f>
        <v>72</v>
      </c>
      <c r="Q29" s="672"/>
      <c r="R29" s="672"/>
      <c r="S29" s="803" t="s">
        <v>347</v>
      </c>
      <c r="T29" s="736">
        <v>1.0364583333333333E-2</v>
      </c>
      <c r="U29" s="752">
        <v>69</v>
      </c>
      <c r="V29" s="781"/>
      <c r="W29" s="776" t="s">
        <v>385</v>
      </c>
      <c r="X29" s="740">
        <v>72</v>
      </c>
      <c r="AB29" s="828">
        <f t="shared" si="5"/>
        <v>74</v>
      </c>
      <c r="AC29" s="829">
        <f t="shared" si="4"/>
        <v>1</v>
      </c>
    </row>
    <row r="30" spans="2:29" ht="21" thickBot="1" x14ac:dyDescent="0.3">
      <c r="B30" s="16">
        <f t="shared" si="0"/>
        <v>21</v>
      </c>
      <c r="C30" s="106" t="s">
        <v>163</v>
      </c>
      <c r="D30" s="107" t="s">
        <v>164</v>
      </c>
      <c r="E30" s="599" t="str">
        <f t="shared" si="1"/>
        <v>ArnulfVilmo</v>
      </c>
      <c r="F30" s="192">
        <f>YEAR(I$5)-_xlfn.XLOOKUP(E30,Deltakerliste!E$5:E$98,Deltakerliste!I$5:I$98)</f>
        <v>73</v>
      </c>
      <c r="G30" s="192">
        <f>_xlfn.XLOOKUP(E30,Deltakerliste!E$5:E$98,Deltakerliste!H$5:H$98)</f>
        <v>2</v>
      </c>
      <c r="H30" s="592">
        <f>VLOOKUP(F30,Deltakerliste!P$6:T$84,G30,FALSE)</f>
        <v>1.5329999999999999</v>
      </c>
      <c r="I30" s="18"/>
      <c r="J30" s="132">
        <v>2.9560185185185186E-2</v>
      </c>
      <c r="K30" s="18"/>
      <c r="L30" s="600">
        <f t="shared" si="2"/>
        <v>9.2375578703703699E-3</v>
      </c>
      <c r="M30" s="594">
        <f>IF(L30="Løype",Poengsammendrag!$F$2,IF(L30="Arr",Poengsammendrag!$F$3,IF(L30="Brutt",50,IF(L30="Disk",50,ROUND(MAXA(100*(MIN(L$10:L$92)/L30),50),0)))))</f>
        <v>78</v>
      </c>
      <c r="N30" s="724">
        <f t="shared" si="3"/>
        <v>6.0258042207243121E-3</v>
      </c>
      <c r="O30" s="596">
        <f>IF(N30="Løype",Poengsammendrag!$F$2,IF(N30="Arr",Poengsammendrag!$F$3,IF(N30="Brutt",50,IF(N30="Disk",50,ROUND(MAXA(100*(MIN(N$10:N$92)/N30),50),0)))))</f>
        <v>70</v>
      </c>
      <c r="Q30" s="672"/>
      <c r="R30" s="672"/>
      <c r="S30" s="803" t="s">
        <v>122</v>
      </c>
      <c r="T30" s="736">
        <v>1.0451388888888889E-2</v>
      </c>
      <c r="U30" s="752">
        <v>69</v>
      </c>
      <c r="V30" s="781"/>
      <c r="W30" s="776" t="s">
        <v>163</v>
      </c>
      <c r="X30" s="740">
        <v>70</v>
      </c>
      <c r="AB30" s="828">
        <f t="shared" si="5"/>
        <v>75</v>
      </c>
      <c r="AC30" s="829">
        <f t="shared" si="4"/>
        <v>3</v>
      </c>
    </row>
    <row r="31" spans="2:29" ht="21" customHeight="1" thickBot="1" x14ac:dyDescent="0.3">
      <c r="B31" s="16">
        <f t="shared" si="0"/>
        <v>22</v>
      </c>
      <c r="C31" s="106" t="s">
        <v>168</v>
      </c>
      <c r="D31" s="107" t="s">
        <v>169</v>
      </c>
      <c r="E31" s="599" t="str">
        <f t="shared" si="1"/>
        <v>SteinØvstedal</v>
      </c>
      <c r="F31" s="192">
        <f>YEAR(I$5)-_xlfn.XLOOKUP(E31,Deltakerliste!E$5:E$98,Deltakerliste!I$5:I$98)</f>
        <v>75</v>
      </c>
      <c r="G31" s="192">
        <f>_xlfn.XLOOKUP(E31,Deltakerliste!E$5:E$98,Deltakerliste!H$5:H$98)</f>
        <v>2</v>
      </c>
      <c r="H31" s="592">
        <f>VLOOKUP(F31,Deltakerliste!P$6:T$84,G31,FALSE)</f>
        <v>1.605</v>
      </c>
      <c r="I31" s="132">
        <v>1.9351851851851853E-2</v>
      </c>
      <c r="J31" s="132"/>
      <c r="K31" s="18"/>
      <c r="L31" s="600">
        <f t="shared" si="2"/>
        <v>9.6759259259259264E-3</v>
      </c>
      <c r="M31" s="594">
        <f>IF(L31="Løype",Poengsammendrag!$F$2,IF(L31="Arr",Poengsammendrag!$F$3,IF(L31="Brutt",50,IF(L31="Disk",50,ROUND(MAXA(100*(MIN(L$10:L$92)/L31),50),0)))))</f>
        <v>74</v>
      </c>
      <c r="N31" s="724">
        <f t="shared" si="3"/>
        <v>6.028614284065998E-3</v>
      </c>
      <c r="O31" s="596">
        <f>IF(N31="Løype",Poengsammendrag!$F$2,IF(N31="Arr",Poengsammendrag!$F$3,IF(N31="Brutt",50,IF(N31="Disk",50,ROUND(MAXA(100*(MIN(N$10:N$92)/N31),50),0)))))</f>
        <v>70</v>
      </c>
      <c r="Q31" s="672"/>
      <c r="R31" s="672"/>
      <c r="S31" s="803" t="s">
        <v>263</v>
      </c>
      <c r="T31" s="736">
        <v>1.0619212962962962E-2</v>
      </c>
      <c r="U31" s="752">
        <v>68</v>
      </c>
      <c r="V31" s="781"/>
      <c r="W31" s="776" t="s">
        <v>168</v>
      </c>
      <c r="X31" s="740">
        <v>70</v>
      </c>
      <c r="AB31" s="828">
        <f t="shared" si="5"/>
        <v>76</v>
      </c>
      <c r="AC31" s="829">
        <f t="shared" si="4"/>
        <v>0</v>
      </c>
    </row>
    <row r="32" spans="2:29" ht="21" customHeight="1" thickBot="1" x14ac:dyDescent="0.3">
      <c r="B32" s="16">
        <f t="shared" si="0"/>
        <v>23</v>
      </c>
      <c r="C32" s="106" t="s">
        <v>101</v>
      </c>
      <c r="D32" s="107" t="s">
        <v>102</v>
      </c>
      <c r="E32" s="599" t="str">
        <f t="shared" si="1"/>
        <v>EvenHofstad</v>
      </c>
      <c r="F32" s="192">
        <f>YEAR(I$5)-_xlfn.XLOOKUP(E32,Deltakerliste!E$5:E$98,Deltakerliste!I$5:I$98)</f>
        <v>72</v>
      </c>
      <c r="G32" s="192">
        <f>_xlfn.XLOOKUP(E32,Deltakerliste!E$5:E$98,Deltakerliste!H$5:H$98)</f>
        <v>2</v>
      </c>
      <c r="H32" s="592">
        <f>VLOOKUP(F32,Deltakerliste!P$6:T$84,G32,FALSE)</f>
        <v>1.4969999999999999</v>
      </c>
      <c r="I32" s="86"/>
      <c r="J32" s="86">
        <v>3.0092592592592591E-2</v>
      </c>
      <c r="K32" s="13"/>
      <c r="L32" s="600">
        <f t="shared" si="2"/>
        <v>9.4039351851851836E-3</v>
      </c>
      <c r="M32" s="594">
        <f>IF(L32="Løype",Poengsammendrag!$F$2,IF(L32="Arr",Poengsammendrag!$F$3,IF(L32="Brutt",50,IF(L32="Disk",50,ROUND(MAXA(100*(MIN(L$10:L$92)/L32),50),0)))))</f>
        <v>76</v>
      </c>
      <c r="N32" s="724">
        <f t="shared" si="3"/>
        <v>6.2818538311190273E-3</v>
      </c>
      <c r="O32" s="596">
        <f>IF(N32="Løype",Poengsammendrag!$F$2,IF(N32="Arr",Poengsammendrag!$F$3,IF(N32="Brutt",50,IF(N32="Disk",50,ROUND(MAXA(100*(MIN(N$10:N$92)/N32),50),0)))))</f>
        <v>67</v>
      </c>
      <c r="S32" s="803" t="s">
        <v>340</v>
      </c>
      <c r="T32" s="736">
        <v>1.0633680555555554E-2</v>
      </c>
      <c r="U32" s="752">
        <v>68</v>
      </c>
      <c r="V32" s="781"/>
      <c r="W32" s="776" t="s">
        <v>101</v>
      </c>
      <c r="X32" s="740">
        <v>67</v>
      </c>
      <c r="AB32" s="828">
        <f t="shared" si="5"/>
        <v>77</v>
      </c>
      <c r="AC32" s="829">
        <f t="shared" si="4"/>
        <v>3</v>
      </c>
    </row>
    <row r="33" spans="2:29" ht="21" customHeight="1" thickBot="1" x14ac:dyDescent="0.3">
      <c r="B33" s="16">
        <f t="shared" si="0"/>
        <v>24</v>
      </c>
      <c r="C33" s="106" t="s">
        <v>108</v>
      </c>
      <c r="D33" s="107" t="s">
        <v>109</v>
      </c>
      <c r="E33" s="599" t="str">
        <f t="shared" si="1"/>
        <v>Finn FayeKnudsen</v>
      </c>
      <c r="F33" s="192">
        <f>YEAR(I$5)-_xlfn.XLOOKUP(E33,Deltakerliste!E$5:E$98,Deltakerliste!I$5:I$98)</f>
        <v>84</v>
      </c>
      <c r="G33" s="192">
        <f>_xlfn.XLOOKUP(E33,Deltakerliste!E$5:E$98,Deltakerliste!H$5:H$98)</f>
        <v>2</v>
      </c>
      <c r="H33" s="592">
        <f>VLOOKUP(F33,Deltakerliste!P$6:T$84,G33,FALSE)</f>
        <v>2.1509999999999998</v>
      </c>
      <c r="I33" s="86">
        <v>2.9652777777777778E-2</v>
      </c>
      <c r="J33" s="86"/>
      <c r="K33" s="13"/>
      <c r="L33" s="600">
        <f t="shared" si="2"/>
        <v>1.4826388888888889E-2</v>
      </c>
      <c r="M33" s="594">
        <f>IF(L33="Løype",Poengsammendrag!$F$2,IF(L33="Arr",Poengsammendrag!$F$3,IF(L33="Brutt",50,IF(L33="Disk",50,ROUND(MAXA(100*(MIN(L$10:L$92)/L33),50),0)))))</f>
        <v>50</v>
      </c>
      <c r="N33" s="724">
        <f t="shared" si="3"/>
        <v>6.8927888837233336E-3</v>
      </c>
      <c r="O33" s="596">
        <f>IF(N33="Løype",Poengsammendrag!$F$2,IF(N33="Arr",Poengsammendrag!$F$3,IF(N33="Brutt",50,IF(N33="Disk",50,ROUND(MAXA(100*(MIN(N$10:N$92)/N33),50),0)))))</f>
        <v>62</v>
      </c>
      <c r="S33" s="803" t="s">
        <v>357</v>
      </c>
      <c r="T33" s="736">
        <v>1.0653935185185185E-2</v>
      </c>
      <c r="U33" s="752">
        <v>67</v>
      </c>
      <c r="V33" s="781"/>
      <c r="W33" s="776" t="s">
        <v>108</v>
      </c>
      <c r="X33" s="740">
        <v>62</v>
      </c>
      <c r="AB33" s="828">
        <f t="shared" si="5"/>
        <v>78</v>
      </c>
      <c r="AC33" s="829">
        <f t="shared" si="4"/>
        <v>3</v>
      </c>
    </row>
    <row r="34" spans="2:29" ht="21" customHeight="1" thickBot="1" x14ac:dyDescent="0.3">
      <c r="B34" s="16">
        <f t="shared" si="0"/>
        <v>25</v>
      </c>
      <c r="C34" s="106" t="s">
        <v>63</v>
      </c>
      <c r="D34" s="107" t="s">
        <v>336</v>
      </c>
      <c r="E34" s="599" t="str">
        <f t="shared" si="1"/>
        <v>ToreFornes</v>
      </c>
      <c r="F34" s="192">
        <f>YEAR(I$5)-_xlfn.XLOOKUP(E34,Deltakerliste!E$5:E$98,Deltakerliste!I$5:I$98)</f>
        <v>67</v>
      </c>
      <c r="G34" s="192">
        <f>_xlfn.XLOOKUP(E34,Deltakerliste!E$5:E$98,Deltakerliste!H$5:H$98)</f>
        <v>2</v>
      </c>
      <c r="H34" s="592">
        <f>VLOOKUP(F34,Deltakerliste!P$6:T$84,G34,FALSE)</f>
        <v>1.3469999999999998</v>
      </c>
      <c r="I34" s="86"/>
      <c r="J34" s="86">
        <v>2.9837962962962962E-2</v>
      </c>
      <c r="K34" s="13"/>
      <c r="L34" s="600">
        <f t="shared" si="2"/>
        <v>9.3243634259259252E-3</v>
      </c>
      <c r="M34" s="594">
        <f>IF(L34="Løype",Poengsammendrag!$F$2,IF(L34="Arr",Poengsammendrag!$F$3,IF(L34="Brutt",50,IF(L34="Disk",50,ROUND(MAXA(100*(MIN(L$10:L$92)/L34),50),0)))))</f>
        <v>77</v>
      </c>
      <c r="N34" s="724">
        <f t="shared" si="3"/>
        <v>6.922318801726746E-3</v>
      </c>
      <c r="O34" s="596">
        <f>IF(N34="Løype",Poengsammendrag!$F$2,IF(N34="Arr",Poengsammendrag!$F$3,IF(N34="Brutt",50,IF(N34="Disk",50,ROUND(MAXA(100*(MIN(N$10:N$92)/N34),50),0)))))</f>
        <v>61</v>
      </c>
      <c r="S34" s="803" t="s">
        <v>110</v>
      </c>
      <c r="T34" s="736">
        <v>1.0731336805555554E-2</v>
      </c>
      <c r="U34" s="752">
        <v>67</v>
      </c>
      <c r="V34" s="781"/>
      <c r="W34" s="776" t="s">
        <v>346</v>
      </c>
      <c r="X34" s="740">
        <v>61</v>
      </c>
      <c r="AB34" s="828">
        <f t="shared" si="5"/>
        <v>79</v>
      </c>
      <c r="AC34" s="829">
        <f t="shared" si="4"/>
        <v>4</v>
      </c>
    </row>
    <row r="35" spans="2:29" ht="21" customHeight="1" thickBot="1" x14ac:dyDescent="0.3">
      <c r="B35" s="16">
        <f t="shared" si="0"/>
        <v>26</v>
      </c>
      <c r="C35" s="106" t="s">
        <v>263</v>
      </c>
      <c r="D35" s="107" t="s">
        <v>264</v>
      </c>
      <c r="E35" s="599" t="str">
        <f t="shared" si="1"/>
        <v>RuneHolt</v>
      </c>
      <c r="F35" s="192">
        <f>YEAR(I$5)-_xlfn.XLOOKUP(E35,Deltakerliste!E$5:E$98,Deltakerliste!I$5:I$98)</f>
        <v>73</v>
      </c>
      <c r="G35" s="192">
        <f>_xlfn.XLOOKUP(E35,Deltakerliste!E$5:E$98,Deltakerliste!H$5:H$98)</f>
        <v>2</v>
      </c>
      <c r="H35" s="592">
        <f>VLOOKUP(F35,Deltakerliste!P$6:T$84,G35,FALSE)</f>
        <v>1.5329999999999999</v>
      </c>
      <c r="I35" s="86">
        <v>2.1238425925925924E-2</v>
      </c>
      <c r="J35" s="134"/>
      <c r="K35" s="17"/>
      <c r="L35" s="600">
        <f t="shared" si="2"/>
        <v>1.0619212962962962E-2</v>
      </c>
      <c r="M35" s="594">
        <f>IF(L35="Løype",Poengsammendrag!$F$2,IF(L35="Arr",Poengsammendrag!$F$3,IF(L35="Brutt",50,IF(L35="Disk",50,ROUND(MAXA(100*(MIN(L$10:L$92)/L35),50),0)))))</f>
        <v>68</v>
      </c>
      <c r="N35" s="724">
        <f t="shared" si="3"/>
        <v>6.9270795583580968E-3</v>
      </c>
      <c r="O35" s="596">
        <f>IF(N35="Løype",Poengsammendrag!$F$2,IF(N35="Arr",Poengsammendrag!$F$3,IF(N35="Brutt",50,IF(N35="Disk",50,ROUND(MAXA(100*(MIN(N$10:N$92)/N35),50),0)))))</f>
        <v>61</v>
      </c>
      <c r="S35" s="803" t="s">
        <v>114</v>
      </c>
      <c r="T35" s="736">
        <v>1.0756655092592592E-2</v>
      </c>
      <c r="U35" s="752">
        <v>67</v>
      </c>
      <c r="V35" s="781"/>
      <c r="W35" s="776" t="s">
        <v>263</v>
      </c>
      <c r="X35" s="740">
        <v>61</v>
      </c>
      <c r="AB35" s="828">
        <f t="shared" si="5"/>
        <v>80</v>
      </c>
      <c r="AC35" s="829">
        <f t="shared" si="4"/>
        <v>2</v>
      </c>
    </row>
    <row r="36" spans="2:29" ht="21" thickBot="1" x14ac:dyDescent="0.3">
      <c r="B36" s="16">
        <f t="shared" si="0"/>
        <v>27</v>
      </c>
      <c r="C36" s="106" t="s">
        <v>63</v>
      </c>
      <c r="D36" s="107" t="s">
        <v>98</v>
      </c>
      <c r="E36" s="599" t="str">
        <f t="shared" si="1"/>
        <v>ToreHeggem</v>
      </c>
      <c r="F36" s="192">
        <f>YEAR(I$5)-_xlfn.XLOOKUP(E36,Deltakerliste!E$5:E$98,Deltakerliste!I$5:I$98)</f>
        <v>73</v>
      </c>
      <c r="G36" s="192">
        <f>_xlfn.XLOOKUP(E36,Deltakerliste!E$5:E$98,Deltakerliste!H$5:H$98)</f>
        <v>2</v>
      </c>
      <c r="H36" s="592">
        <f>VLOOKUP(F36,Deltakerliste!P$6:T$84,G36,FALSE)</f>
        <v>1.5329999999999999</v>
      </c>
      <c r="I36" s="853"/>
      <c r="J36" s="86">
        <v>3.4027777777777775E-2</v>
      </c>
      <c r="K36" s="13"/>
      <c r="L36" s="600">
        <f t="shared" si="2"/>
        <v>1.0633680555555554E-2</v>
      </c>
      <c r="M36" s="594">
        <f>IF(L36="Løype",Poengsammendrag!$F$2,IF(L36="Arr",Poengsammendrag!$F$3,IF(L36="Brutt",50,IF(L36="Disk",50,ROUND(MAXA(100*(MIN(L$10:L$92)/L36),50),0)))))</f>
        <v>68</v>
      </c>
      <c r="N36" s="724">
        <f t="shared" si="3"/>
        <v>6.9365169964485029E-3</v>
      </c>
      <c r="O36" s="596">
        <f>IF(N36="Løype",Poengsammendrag!$F$2,IF(N36="Arr",Poengsammendrag!$F$3,IF(N36="Brutt",50,IF(N36="Disk",50,ROUND(MAXA(100*(MIN(N$10:N$92)/N36),50),0)))))</f>
        <v>61</v>
      </c>
      <c r="S36" s="803" t="s">
        <v>96</v>
      </c>
      <c r="T36" s="736">
        <v>1.1782407407407408E-2</v>
      </c>
      <c r="U36" s="752">
        <v>61</v>
      </c>
      <c r="V36" s="781"/>
      <c r="W36" s="776" t="s">
        <v>340</v>
      </c>
      <c r="X36" s="740">
        <v>61</v>
      </c>
      <c r="AB36" s="828">
        <f t="shared" si="5"/>
        <v>81</v>
      </c>
      <c r="AC36" s="829">
        <f t="shared" si="4"/>
        <v>1</v>
      </c>
    </row>
    <row r="37" spans="2:29" ht="21" customHeight="1" thickBot="1" x14ac:dyDescent="0.3">
      <c r="B37" s="16">
        <f t="shared" si="0"/>
        <v>28</v>
      </c>
      <c r="C37" s="106" t="s">
        <v>248</v>
      </c>
      <c r="D37" s="107" t="s">
        <v>249</v>
      </c>
      <c r="E37" s="599" t="str">
        <f t="shared" si="1"/>
        <v>ErikLund</v>
      </c>
      <c r="F37" s="192">
        <f>YEAR(I$5)-_xlfn.XLOOKUP(E37,Deltakerliste!E$5:E$98,Deltakerliste!I$5:I$98)</f>
        <v>79</v>
      </c>
      <c r="G37" s="192">
        <f>_xlfn.XLOOKUP(E37,Deltakerliste!E$5:E$98,Deltakerliste!H$5:H$98)</f>
        <v>2</v>
      </c>
      <c r="H37" s="592">
        <f>VLOOKUP(F37,Deltakerliste!P$6:T$84,G37,FALSE)</f>
        <v>1.8050000000000002</v>
      </c>
      <c r="I37" s="13">
        <v>2.5486111111111112E-2</v>
      </c>
      <c r="J37" s="13"/>
      <c r="K37" s="17"/>
      <c r="L37" s="600">
        <f t="shared" si="2"/>
        <v>1.2743055555555556E-2</v>
      </c>
      <c r="M37" s="594">
        <f>IF(L37="Løype",Poengsammendrag!$F$2,IF(L37="Arr",Poengsammendrag!$F$3,IF(L37="Brutt",50,IF(L37="Disk",50,ROUND(MAXA(100*(MIN(L$10:L$92)/L37),50),0)))))</f>
        <v>56</v>
      </c>
      <c r="N37" s="724">
        <f t="shared" si="3"/>
        <v>7.0598645737149886E-3</v>
      </c>
      <c r="O37" s="596">
        <f>IF(N37="Løype",Poengsammendrag!$F$2,IF(N37="Arr",Poengsammendrag!$F$3,IF(N37="Brutt",50,IF(N37="Disk",50,ROUND(MAXA(100*(MIN(N$10:N$92)/N37),50),0)))))</f>
        <v>60</v>
      </c>
      <c r="S37" s="803" t="s">
        <v>373</v>
      </c>
      <c r="T37" s="736">
        <v>1.2054398148148147E-2</v>
      </c>
      <c r="U37" s="752">
        <v>60</v>
      </c>
      <c r="V37" s="781"/>
      <c r="W37" s="776" t="s">
        <v>374</v>
      </c>
      <c r="X37" s="740">
        <v>60</v>
      </c>
      <c r="AB37" s="828">
        <f t="shared" si="5"/>
        <v>82</v>
      </c>
      <c r="AC37" s="829">
        <f t="shared" si="4"/>
        <v>1</v>
      </c>
    </row>
    <row r="38" spans="2:29" ht="21" customHeight="1" thickBot="1" x14ac:dyDescent="0.3">
      <c r="B38" s="16">
        <f t="shared" si="0"/>
        <v>29</v>
      </c>
      <c r="C38" s="106" t="s">
        <v>110</v>
      </c>
      <c r="D38" s="107" t="s">
        <v>111</v>
      </c>
      <c r="E38" s="599" t="str">
        <f t="shared" si="1"/>
        <v>Jan ErikKofoed</v>
      </c>
      <c r="F38" s="192">
        <f>YEAR(I$5)-_xlfn.XLOOKUP(E38,Deltakerliste!E$5:E$98,Deltakerliste!I$5:I$98)</f>
        <v>72</v>
      </c>
      <c r="G38" s="192">
        <f>_xlfn.XLOOKUP(E38,Deltakerliste!E$5:E$98,Deltakerliste!H$5:H$98)</f>
        <v>2</v>
      </c>
      <c r="H38" s="592">
        <f>VLOOKUP(F38,Deltakerliste!P$6:T$84,G38,FALSE)</f>
        <v>1.4969999999999999</v>
      </c>
      <c r="I38" s="86"/>
      <c r="J38" s="86">
        <v>3.4340277777777775E-2</v>
      </c>
      <c r="K38" s="13"/>
      <c r="L38" s="600">
        <f t="shared" si="2"/>
        <v>1.0731336805555554E-2</v>
      </c>
      <c r="M38" s="594">
        <f>IF(L38="Løype",Poengsammendrag!$F$2,IF(L38="Arr",Poengsammendrag!$F$3,IF(L38="Brutt",50,IF(L38="Disk",50,ROUND(MAXA(100*(MIN(L$10:L$92)/L38),50),0)))))</f>
        <v>67</v>
      </c>
      <c r="N38" s="724">
        <f t="shared" si="3"/>
        <v>7.1685616603577524E-3</v>
      </c>
      <c r="O38" s="596">
        <f>IF(N38="Løype",Poengsammendrag!$F$2,IF(N38="Arr",Poengsammendrag!$F$3,IF(N38="Brutt",50,IF(N38="Disk",50,ROUND(MAXA(100*(MIN(N$10:N$92)/N38),50),0)))))</f>
        <v>59</v>
      </c>
      <c r="S38" s="803" t="s">
        <v>374</v>
      </c>
      <c r="T38" s="736">
        <v>1.2743055555555556E-2</v>
      </c>
      <c r="U38" s="752">
        <v>56</v>
      </c>
      <c r="V38" s="781"/>
      <c r="W38" s="776" t="s">
        <v>110</v>
      </c>
      <c r="X38" s="740">
        <v>59</v>
      </c>
      <c r="AB38" s="828">
        <f t="shared" si="5"/>
        <v>83</v>
      </c>
      <c r="AC38" s="829">
        <f t="shared" si="4"/>
        <v>2</v>
      </c>
    </row>
    <row r="39" spans="2:29" ht="21" customHeight="1" thickBot="1" x14ac:dyDescent="0.3">
      <c r="B39" s="16">
        <f t="shared" si="0"/>
        <v>30</v>
      </c>
      <c r="C39" s="106" t="s">
        <v>60</v>
      </c>
      <c r="D39" s="107" t="s">
        <v>372</v>
      </c>
      <c r="E39" s="599" t="str">
        <f t="shared" si="1"/>
        <v>JosteinGrepstad</v>
      </c>
      <c r="F39" s="192">
        <f>YEAR(I$5)-_xlfn.XLOOKUP(E39,Deltakerliste!E$5:E$98,Deltakerliste!I$5:I$98)</f>
        <v>75</v>
      </c>
      <c r="G39" s="192">
        <f>_xlfn.XLOOKUP(E39,Deltakerliste!E$5:E$98,Deltakerliste!H$5:H$98)</f>
        <v>2</v>
      </c>
      <c r="H39" s="592">
        <f>VLOOKUP(F39,Deltakerliste!P$6:T$84,G39,FALSE)</f>
        <v>1.605</v>
      </c>
      <c r="I39" s="14">
        <v>2.4108796296296295E-2</v>
      </c>
      <c r="J39" s="14"/>
      <c r="K39" s="18"/>
      <c r="L39" s="600">
        <f t="shared" si="2"/>
        <v>1.2054398148148147E-2</v>
      </c>
      <c r="M39" s="594">
        <f>IF(L39="Løype",Poengsammendrag!$F$2,IF(L39="Arr",Poengsammendrag!$F$3,IF(L39="Brutt",50,IF(L39="Disk",50,ROUND(MAXA(100*(MIN(L$10:L$92)/L39),50),0)))))</f>
        <v>60</v>
      </c>
      <c r="N39" s="724">
        <f t="shared" si="3"/>
        <v>7.5105284412137988E-3</v>
      </c>
      <c r="O39" s="596">
        <f>IF(N39="Løype",Poengsammendrag!$F$2,IF(N39="Arr",Poengsammendrag!$F$3,IF(N39="Brutt",50,IF(N39="Disk",50,ROUND(MAXA(100*(MIN(N$10:N$92)/N39),50),0)))))</f>
        <v>56</v>
      </c>
      <c r="S39" s="803" t="s">
        <v>161</v>
      </c>
      <c r="T39" s="736">
        <v>1.3449074074074073E-2</v>
      </c>
      <c r="U39" s="752">
        <v>53</v>
      </c>
      <c r="V39" s="781"/>
      <c r="W39" s="776" t="s">
        <v>373</v>
      </c>
      <c r="X39" s="740">
        <v>56</v>
      </c>
      <c r="AB39" s="828">
        <f t="shared" si="5"/>
        <v>84</v>
      </c>
      <c r="AC39" s="829">
        <f t="shared" si="4"/>
        <v>1</v>
      </c>
    </row>
    <row r="40" spans="2:29" ht="21" thickBot="1" x14ac:dyDescent="0.3">
      <c r="B40" s="16">
        <f t="shared" si="0"/>
        <v>31</v>
      </c>
      <c r="C40" s="106" t="s">
        <v>161</v>
      </c>
      <c r="D40" s="107" t="s">
        <v>162</v>
      </c>
      <c r="E40" s="599" t="str">
        <f t="shared" si="1"/>
        <v>Nils OlavVennevik</v>
      </c>
      <c r="F40" s="192">
        <f>YEAR(I$5)-_xlfn.XLOOKUP(E40,Deltakerliste!E$5:E$98,Deltakerliste!I$5:I$98)</f>
        <v>78</v>
      </c>
      <c r="G40" s="192">
        <f>_xlfn.XLOOKUP(E40,Deltakerliste!E$5:E$98,Deltakerliste!H$5:H$98)</f>
        <v>2</v>
      </c>
      <c r="H40" s="592">
        <f>VLOOKUP(F40,Deltakerliste!P$6:T$84,G40,FALSE)</f>
        <v>1.7550000000000001</v>
      </c>
      <c r="I40" s="132">
        <v>2.6898148148148147E-2</v>
      </c>
      <c r="J40" s="18"/>
      <c r="K40" s="18"/>
      <c r="L40" s="600">
        <f t="shared" si="2"/>
        <v>1.3449074074074073E-2</v>
      </c>
      <c r="M40" s="594">
        <f>IF(L40="Løype",Poengsammendrag!$F$2,IF(L40="Arr",Poengsammendrag!$F$3,IF(L40="Brutt",50,IF(L40="Disk",50,ROUND(MAXA(100*(MIN(L$10:L$92)/L40),50),0)))))</f>
        <v>53</v>
      </c>
      <c r="N40" s="724">
        <f t="shared" si="3"/>
        <v>7.6632900706974771E-3</v>
      </c>
      <c r="O40" s="596">
        <f>IF(N40="Løype",Poengsammendrag!$F$2,IF(N40="Arr",Poengsammendrag!$F$3,IF(N40="Brutt",50,IF(N40="Disk",50,ROUND(MAXA(100*(MIN(N$10:N$92)/N40),50),0)))))</f>
        <v>55</v>
      </c>
      <c r="S40" s="803" t="s">
        <v>130</v>
      </c>
      <c r="T40" s="736">
        <v>1.375E-2</v>
      </c>
      <c r="U40" s="752">
        <v>52</v>
      </c>
      <c r="V40" s="781"/>
      <c r="W40" s="776" t="s">
        <v>161</v>
      </c>
      <c r="X40" s="740">
        <v>55</v>
      </c>
      <c r="AB40" s="828">
        <f t="shared" si="5"/>
        <v>85</v>
      </c>
      <c r="AC40" s="829">
        <f t="shared" si="4"/>
        <v>1</v>
      </c>
    </row>
    <row r="41" spans="2:29" ht="21" thickBot="1" x14ac:dyDescent="0.3">
      <c r="B41" s="16">
        <f t="shared" si="0"/>
        <v>32</v>
      </c>
      <c r="C41" s="106" t="s">
        <v>130</v>
      </c>
      <c r="D41" s="107" t="s">
        <v>131</v>
      </c>
      <c r="E41" s="599" t="str">
        <f t="shared" si="1"/>
        <v>AtleMørk</v>
      </c>
      <c r="F41" s="192">
        <f>YEAR(I$5)-_xlfn.XLOOKUP(E41,Deltakerliste!E$5:E$98,Deltakerliste!I$5:I$98)</f>
        <v>77</v>
      </c>
      <c r="G41" s="192">
        <f>_xlfn.XLOOKUP(E41,Deltakerliste!E$5:E$98,Deltakerliste!H$5:H$98)</f>
        <v>2</v>
      </c>
      <c r="H41" s="592">
        <f>VLOOKUP(F41,Deltakerliste!P$6:T$84,G41,FALSE)</f>
        <v>1.7050000000000001</v>
      </c>
      <c r="I41" s="132">
        <v>2.75E-2</v>
      </c>
      <c r="J41" s="132"/>
      <c r="K41" s="132"/>
      <c r="L41" s="600">
        <f t="shared" si="2"/>
        <v>1.375E-2</v>
      </c>
      <c r="M41" s="594">
        <f>IF(L41="Løype",Poengsammendrag!$F$2,IF(L41="Arr",Poengsammendrag!$F$3,IF(L41="Brutt",50,IF(L41="Disk",50,ROUND(MAXA(100*(MIN(L$10:L$92)/L41),50),0)))))</f>
        <v>52</v>
      </c>
      <c r="N41" s="724">
        <f t="shared" si="3"/>
        <v>8.0645161290322578E-3</v>
      </c>
      <c r="O41" s="596">
        <f>IF(N41="Løype",Poengsammendrag!$F$2,IF(N41="Arr",Poengsammendrag!$F$3,IF(N41="Brutt",50,IF(N41="Disk",50,ROUND(MAXA(100*(MIN(N$10:N$92)/N41),50),0)))))</f>
        <v>53</v>
      </c>
      <c r="S41" s="803" t="s">
        <v>108</v>
      </c>
      <c r="T41" s="736">
        <v>1.4826388888888889E-2</v>
      </c>
      <c r="U41" s="752">
        <v>50</v>
      </c>
      <c r="V41" s="781"/>
      <c r="W41" s="776" t="s">
        <v>130</v>
      </c>
      <c r="X41" s="740">
        <v>53</v>
      </c>
      <c r="AB41" s="828">
        <f t="shared" si="5"/>
        <v>86</v>
      </c>
      <c r="AC41" s="829">
        <f t="shared" si="4"/>
        <v>1</v>
      </c>
    </row>
    <row r="42" spans="2:29" ht="21" customHeight="1" thickBot="1" x14ac:dyDescent="0.3">
      <c r="B42" s="16">
        <f t="shared" ref="B42:B73" si="6">B41+1</f>
        <v>33</v>
      </c>
      <c r="C42" s="106" t="s">
        <v>207</v>
      </c>
      <c r="D42" s="107" t="s">
        <v>89</v>
      </c>
      <c r="E42" s="599" t="str">
        <f t="shared" ref="E42:E73" si="7">_xlfn.CONCAT(C42:D42)</f>
        <v>AnneFuruholt</v>
      </c>
      <c r="F42" s="192">
        <f>YEAR(I$5)-_xlfn.XLOOKUP(E42,Deltakerliste!E$5:E$98,Deltakerliste!I$5:I$98)</f>
        <v>79</v>
      </c>
      <c r="G42" s="192">
        <f>_xlfn.XLOOKUP(E42,Deltakerliste!E$5:E$98,Deltakerliste!H$5:H$98)</f>
        <v>4</v>
      </c>
      <c r="H42" s="592">
        <f>VLOOKUP(F42,Deltakerliste!P$6:T$84,G42,FALSE)</f>
        <v>2.3974000000000011</v>
      </c>
      <c r="I42" s="13"/>
      <c r="J42" s="13" t="s">
        <v>7</v>
      </c>
      <c r="K42" s="13"/>
      <c r="L42" s="600" t="str">
        <f t="shared" si="2"/>
        <v>Arr</v>
      </c>
      <c r="M42" s="594">
        <f>IF(L42="Løype",Poengsammendrag!$F$2,IF(L42="Arr",Poengsammendrag!$F$3,IF(L42="Brutt",50,IF(L42="Disk",50,ROUND(MAXA(100*(MIN(L$10:L$92)/L42),50),0)))))</f>
        <v>94</v>
      </c>
      <c r="N42" s="724" t="str">
        <f t="shared" si="3"/>
        <v>Arr</v>
      </c>
      <c r="O42" s="596">
        <f>IF(N42="Løype",Poengsammendrag!$F$2,IF(N42="Arr",Poengsammendrag!$F$3,IF(N42="Brutt",50,IF(N42="Disk",50,ROUND(MAXA(100*(MIN(N$10:N$92)/N42),50),0)))))</f>
        <v>94</v>
      </c>
      <c r="S42" s="803" t="s">
        <v>207</v>
      </c>
      <c r="T42" s="796" t="s">
        <v>7</v>
      </c>
      <c r="U42" s="765">
        <v>94</v>
      </c>
      <c r="V42" s="782"/>
      <c r="W42" s="777" t="s">
        <v>207</v>
      </c>
      <c r="X42" s="762">
        <v>94</v>
      </c>
      <c r="AB42" s="828">
        <f t="shared" si="5"/>
        <v>87</v>
      </c>
      <c r="AC42" s="829">
        <f t="shared" si="4"/>
        <v>1</v>
      </c>
    </row>
    <row r="43" spans="2:29" ht="21" thickBot="1" x14ac:dyDescent="0.3">
      <c r="B43" s="16">
        <f t="shared" si="6"/>
        <v>34</v>
      </c>
      <c r="C43" s="106" t="s">
        <v>82</v>
      </c>
      <c r="D43" s="107" t="s">
        <v>83</v>
      </c>
      <c r="E43" s="599" t="str">
        <f t="shared" si="7"/>
        <v>RoarForbord</v>
      </c>
      <c r="F43" s="192">
        <f>YEAR(I$5)-_xlfn.XLOOKUP(E43,Deltakerliste!E$5:E$98,Deltakerliste!I$5:I$98)</f>
        <v>83</v>
      </c>
      <c r="G43" s="192">
        <f>_xlfn.XLOOKUP(E43,Deltakerliste!E$5:E$98,Deltakerliste!H$5:H$98)</f>
        <v>2</v>
      </c>
      <c r="H43" s="592">
        <f>VLOOKUP(F43,Deltakerliste!P$6:T$84,G43,FALSE)</f>
        <v>2.077</v>
      </c>
      <c r="I43" s="86" t="s">
        <v>306</v>
      </c>
      <c r="J43" s="86"/>
      <c r="K43" s="13"/>
      <c r="L43" s="600" t="str">
        <f t="shared" si="2"/>
        <v>Brutt</v>
      </c>
      <c r="M43" s="594">
        <f>IF(L43="Løype",Poengsammendrag!$F$2,IF(L43="Arr",Poengsammendrag!$F$3,IF(L43="Brutt",50,IF(L43="Disk",50,ROUND(MAXA(100*(MIN(L$10:L$92)/L43),50),0)))))</f>
        <v>50</v>
      </c>
      <c r="N43" s="724" t="str">
        <f t="shared" si="3"/>
        <v>Brutt</v>
      </c>
      <c r="O43" s="596">
        <f>IF(N43="Løype",Poengsammendrag!$F$2,IF(N43="Arr",Poengsammendrag!$F$3,IF(N43="Brutt",50,IF(N43="Disk",50,ROUND(MAXA(100*(MIN(N$10:N$92)/N43),50),0)))))</f>
        <v>50</v>
      </c>
      <c r="S43" s="803" t="s">
        <v>82</v>
      </c>
      <c r="T43" s="797" t="s">
        <v>306</v>
      </c>
      <c r="U43" s="770">
        <v>50</v>
      </c>
      <c r="V43" s="778"/>
      <c r="W43" s="783" t="s">
        <v>82</v>
      </c>
      <c r="X43" s="740">
        <v>50</v>
      </c>
      <c r="AB43" s="828">
        <f t="shared" si="5"/>
        <v>88</v>
      </c>
      <c r="AC43" s="829">
        <f t="shared" si="4"/>
        <v>0</v>
      </c>
    </row>
    <row r="44" spans="2:29" ht="21" customHeight="1" thickBot="1" x14ac:dyDescent="0.3">
      <c r="B44" s="16">
        <f t="shared" si="6"/>
        <v>35</v>
      </c>
      <c r="C44" s="106" t="s">
        <v>88</v>
      </c>
      <c r="D44" s="107" t="s">
        <v>89</v>
      </c>
      <c r="E44" s="599" t="str">
        <f t="shared" si="7"/>
        <v>EdgarFuruholt</v>
      </c>
      <c r="F44" s="192">
        <f>YEAR(I$5)-_xlfn.XLOOKUP(E44,Deltakerliste!E$5:E$98,Deltakerliste!I$5:I$98)</f>
        <v>79</v>
      </c>
      <c r="G44" s="192">
        <f>_xlfn.XLOOKUP(E44,Deltakerliste!E$5:E$98,Deltakerliste!H$5:H$98)</f>
        <v>2</v>
      </c>
      <c r="H44" s="592">
        <f>VLOOKUP(F44,Deltakerliste!P$6:T$84,G44,FALSE)</f>
        <v>1.8050000000000002</v>
      </c>
      <c r="I44" s="18"/>
      <c r="J44" s="132" t="s">
        <v>62</v>
      </c>
      <c r="K44" s="18"/>
      <c r="L44" s="600" t="str">
        <f t="shared" si="2"/>
        <v>Løype</v>
      </c>
      <c r="M44" s="594">
        <f>IF(L44="Løype",Poengsammendrag!$F$2,IF(L44="Arr",Poengsammendrag!$F$3,IF(L44="Brutt",50,IF(L44="Disk",50,ROUND(MAXA(100*(MIN(L$10:L$92)/L44),50),0)))))</f>
        <v>100</v>
      </c>
      <c r="N44" s="724" t="str">
        <f t="shared" si="3"/>
        <v>Løype</v>
      </c>
      <c r="O44" s="596">
        <f>IF(N44="Løype",Poengsammendrag!$F$2,IF(N44="Arr",Poengsammendrag!$F$3,IF(N44="Brutt",50,IF(N44="Disk",50,ROUND(MAXA(100*(MIN(N$10:N$92)/N44),50),0)))))</f>
        <v>100</v>
      </c>
      <c r="S44" s="803" t="s">
        <v>88</v>
      </c>
      <c r="T44" s="797" t="s">
        <v>62</v>
      </c>
      <c r="U44" s="770">
        <v>100</v>
      </c>
      <c r="V44" s="772"/>
      <c r="W44" s="783" t="s">
        <v>88</v>
      </c>
      <c r="X44" s="740">
        <v>100</v>
      </c>
      <c r="AB44" s="828">
        <f t="shared" si="5"/>
        <v>89</v>
      </c>
      <c r="AC44" s="829">
        <f t="shared" si="4"/>
        <v>0</v>
      </c>
    </row>
    <row r="45" spans="2:29" ht="21" thickBot="1" x14ac:dyDescent="0.3">
      <c r="B45" s="16">
        <f t="shared" si="6"/>
        <v>36</v>
      </c>
      <c r="C45" s="106" t="s">
        <v>60</v>
      </c>
      <c r="D45" s="107" t="s">
        <v>61</v>
      </c>
      <c r="E45" s="599" t="str">
        <f t="shared" si="7"/>
        <v>JosteinAlvestad</v>
      </c>
      <c r="F45" s="192">
        <f>YEAR(I$5)-_xlfn.XLOOKUP(E45,Deltakerliste!E$5:E$98,Deltakerliste!I$5:I$98)</f>
        <v>71</v>
      </c>
      <c r="G45" s="192">
        <f>_xlfn.XLOOKUP(E45,Deltakerliste!E$5:E$98,Deltakerliste!H$5:H$98)</f>
        <v>2</v>
      </c>
      <c r="H45" s="592">
        <f>VLOOKUP(F45,Deltakerliste!P$6:T$84,G45,FALSE)</f>
        <v>1.4609999999999999</v>
      </c>
      <c r="I45" s="13"/>
      <c r="J45" s="13"/>
      <c r="K45" s="17"/>
      <c r="L45" s="600"/>
      <c r="M45" s="594"/>
      <c r="N45" s="724"/>
      <c r="O45" s="596"/>
      <c r="S45" s="803"/>
      <c r="T45" s="797"/>
      <c r="U45" s="770"/>
      <c r="V45" s="772"/>
      <c r="W45" s="783"/>
      <c r="X45" s="740"/>
      <c r="AB45" s="828">
        <f t="shared" si="5"/>
        <v>90</v>
      </c>
      <c r="AC45" s="829">
        <f t="shared" si="4"/>
        <v>0</v>
      </c>
    </row>
    <row r="46" spans="2:29" ht="21" thickBot="1" x14ac:dyDescent="0.3">
      <c r="B46" s="16">
        <f t="shared" si="6"/>
        <v>37</v>
      </c>
      <c r="C46" s="106" t="s">
        <v>66</v>
      </c>
      <c r="D46" s="107" t="s">
        <v>67</v>
      </c>
      <c r="E46" s="599" t="str">
        <f t="shared" si="7"/>
        <v>FrankBjarkø</v>
      </c>
      <c r="F46" s="192">
        <f>YEAR(I$5)-_xlfn.XLOOKUP(E46,Deltakerliste!E$5:E$98,Deltakerliste!I$5:I$98)</f>
        <v>74</v>
      </c>
      <c r="G46" s="192">
        <f>_xlfn.XLOOKUP(E46,Deltakerliste!E$5:E$98,Deltakerliste!H$5:H$98)</f>
        <v>2</v>
      </c>
      <c r="H46" s="592">
        <f>VLOOKUP(F46,Deltakerliste!P$6:T$84,G46,FALSE)</f>
        <v>1.569</v>
      </c>
      <c r="I46" s="13"/>
      <c r="J46" s="855"/>
      <c r="K46" s="13"/>
      <c r="L46" s="600"/>
      <c r="M46" s="594"/>
      <c r="N46" s="724"/>
      <c r="O46" s="596"/>
      <c r="S46" s="803"/>
      <c r="T46" s="797"/>
      <c r="U46" s="770"/>
      <c r="V46" s="772"/>
      <c r="W46" s="783"/>
      <c r="X46" s="740"/>
      <c r="AB46" s="828">
        <f t="shared" si="5"/>
        <v>91</v>
      </c>
      <c r="AC46" s="829">
        <f t="shared" si="4"/>
        <v>0</v>
      </c>
    </row>
    <row r="47" spans="2:29" ht="21" customHeight="1" thickBot="1" x14ac:dyDescent="0.3">
      <c r="B47" s="16">
        <f t="shared" si="6"/>
        <v>38</v>
      </c>
      <c r="C47" s="106" t="s">
        <v>364</v>
      </c>
      <c r="D47" s="107" t="s">
        <v>365</v>
      </c>
      <c r="E47" s="599" t="str">
        <f t="shared" si="7"/>
        <v>GerdBjørset</v>
      </c>
      <c r="F47" s="192">
        <f>YEAR(I$5)-_xlfn.XLOOKUP(E47,Deltakerliste!E$5:E$98,Deltakerliste!I$5:I$98)</f>
        <v>72</v>
      </c>
      <c r="G47" s="192">
        <f>_xlfn.XLOOKUP(E47,Deltakerliste!E$5:E$98,Deltakerliste!H$5:H$98)</f>
        <v>4</v>
      </c>
      <c r="H47" s="592">
        <f>VLOOKUP(F47,Deltakerliste!P$6:T$84,G47,FALSE)</f>
        <v>2.0362000000000013</v>
      </c>
      <c r="I47" s="13"/>
      <c r="J47" s="13"/>
      <c r="K47" s="13"/>
      <c r="L47" s="600"/>
      <c r="M47" s="594"/>
      <c r="N47" s="724"/>
      <c r="O47" s="596"/>
      <c r="S47" s="803"/>
      <c r="T47" s="797"/>
      <c r="U47" s="770"/>
      <c r="V47" s="772"/>
      <c r="W47" s="783"/>
      <c r="X47" s="740"/>
      <c r="AB47" s="828">
        <f t="shared" si="5"/>
        <v>92</v>
      </c>
      <c r="AC47" s="829">
        <f t="shared" si="4"/>
        <v>0</v>
      </c>
    </row>
    <row r="48" spans="2:29" ht="21" customHeight="1" thickBot="1" x14ac:dyDescent="0.3">
      <c r="B48" s="16">
        <f t="shared" si="6"/>
        <v>39</v>
      </c>
      <c r="C48" s="106" t="s">
        <v>64</v>
      </c>
      <c r="D48" s="107" t="s">
        <v>267</v>
      </c>
      <c r="E48" s="599" t="str">
        <f t="shared" si="7"/>
        <v>BjørnBrenne</v>
      </c>
      <c r="F48" s="192">
        <f>YEAR(I$5)-_xlfn.XLOOKUP(E48,Deltakerliste!E$5:E$98,Deltakerliste!I$5:I$98)</f>
        <v>81</v>
      </c>
      <c r="G48" s="192">
        <f>_xlfn.XLOOKUP(E48,Deltakerliste!E$5:E$98,Deltakerliste!H$5:H$98)</f>
        <v>2</v>
      </c>
      <c r="H48" s="592">
        <f>VLOOKUP(F48,Deltakerliste!P$6:T$84,G48,FALSE)</f>
        <v>1.9290000000000003</v>
      </c>
      <c r="I48" s="86"/>
      <c r="J48" s="86"/>
      <c r="K48" s="13"/>
      <c r="L48" s="600"/>
      <c r="M48" s="594"/>
      <c r="N48" s="724"/>
      <c r="O48" s="596"/>
      <c r="S48" s="803"/>
      <c r="T48" s="797"/>
      <c r="U48" s="770"/>
      <c r="V48" s="772"/>
      <c r="W48" s="783"/>
      <c r="X48" s="740"/>
      <c r="AB48" s="828">
        <f t="shared" si="5"/>
        <v>93</v>
      </c>
      <c r="AC48" s="829">
        <f t="shared" si="4"/>
        <v>0</v>
      </c>
    </row>
    <row r="49" spans="2:29" ht="21" customHeight="1" thickBot="1" x14ac:dyDescent="0.3">
      <c r="B49" s="16">
        <f t="shared" si="6"/>
        <v>40</v>
      </c>
      <c r="C49" s="106" t="s">
        <v>68</v>
      </c>
      <c r="D49" s="107" t="s">
        <v>69</v>
      </c>
      <c r="E49" s="599" t="str">
        <f t="shared" si="7"/>
        <v>JanBøhle</v>
      </c>
      <c r="F49" s="192">
        <f>YEAR(I$5)-_xlfn.XLOOKUP(E49,Deltakerliste!E$5:E$98,Deltakerliste!I$5:I$98)</f>
        <v>74</v>
      </c>
      <c r="G49" s="192">
        <f>_xlfn.XLOOKUP(E49,Deltakerliste!E$5:E$98,Deltakerliste!H$5:H$98)</f>
        <v>2</v>
      </c>
      <c r="H49" s="592">
        <f>VLOOKUP(F49,Deltakerliste!P$6:T$84,G49,FALSE)</f>
        <v>1.569</v>
      </c>
      <c r="I49" s="86"/>
      <c r="J49" s="86"/>
      <c r="K49" s="13"/>
      <c r="L49" s="600"/>
      <c r="M49" s="594"/>
      <c r="N49" s="724"/>
      <c r="O49" s="596"/>
      <c r="S49" s="803"/>
      <c r="T49" s="796"/>
      <c r="U49" s="793"/>
      <c r="V49" s="794"/>
      <c r="W49" s="795"/>
      <c r="X49" s="762"/>
      <c r="AB49" s="828">
        <f t="shared" si="5"/>
        <v>94</v>
      </c>
      <c r="AC49" s="829">
        <f t="shared" si="4"/>
        <v>0</v>
      </c>
    </row>
    <row r="50" spans="2:29" ht="21" thickBot="1" x14ac:dyDescent="0.3">
      <c r="B50" s="16">
        <f t="shared" si="6"/>
        <v>41</v>
      </c>
      <c r="C50" s="106" t="s">
        <v>342</v>
      </c>
      <c r="D50" s="107" t="s">
        <v>388</v>
      </c>
      <c r="E50" s="599" t="str">
        <f t="shared" si="7"/>
        <v>ArildClausen</v>
      </c>
      <c r="F50" s="192">
        <f>YEAR(I$5)-_xlfn.XLOOKUP(E50,Deltakerliste!E$5:E$98,Deltakerliste!I$5:I$98)</f>
        <v>58</v>
      </c>
      <c r="G50" s="192">
        <f>_xlfn.XLOOKUP(E50,Deltakerliste!E$5:E$98,Deltakerliste!H$5:H$98)</f>
        <v>2</v>
      </c>
      <c r="H50" s="592">
        <f>VLOOKUP(F50,Deltakerliste!P$6:T$84,G50,FALSE)</f>
        <v>1.1720000000000002</v>
      </c>
      <c r="I50" s="86"/>
      <c r="J50" s="86"/>
      <c r="K50" s="13"/>
      <c r="L50" s="600"/>
      <c r="M50" s="594"/>
      <c r="N50" s="724"/>
      <c r="O50" s="596"/>
      <c r="S50" s="803"/>
      <c r="T50" s="851"/>
      <c r="U50" s="770"/>
      <c r="V50" s="772"/>
      <c r="W50" s="783"/>
      <c r="X50" s="740"/>
      <c r="AB50" s="830">
        <f t="shared" si="5"/>
        <v>95</v>
      </c>
      <c r="AC50" s="831">
        <f t="shared" si="4"/>
        <v>0</v>
      </c>
    </row>
    <row r="51" spans="2:29" ht="21" customHeight="1" thickBot="1" x14ac:dyDescent="0.3">
      <c r="B51" s="16">
        <f t="shared" si="6"/>
        <v>42</v>
      </c>
      <c r="C51" s="106" t="s">
        <v>70</v>
      </c>
      <c r="D51" s="107" t="s">
        <v>71</v>
      </c>
      <c r="E51" s="599" t="str">
        <f t="shared" si="7"/>
        <v>TrondDamås</v>
      </c>
      <c r="F51" s="192">
        <f>YEAR(I$5)-_xlfn.XLOOKUP(E51,Deltakerliste!E$5:E$98,Deltakerliste!I$5:I$98)</f>
        <v>76</v>
      </c>
      <c r="G51" s="192">
        <f>_xlfn.XLOOKUP(E51,Deltakerliste!E$5:E$98,Deltakerliste!H$5:H$98)</f>
        <v>2</v>
      </c>
      <c r="H51" s="592">
        <f>VLOOKUP(F51,Deltakerliste!P$6:T$84,G51,FALSE)</f>
        <v>1.655</v>
      </c>
      <c r="I51" s="13"/>
      <c r="J51" s="13"/>
      <c r="K51" s="13"/>
      <c r="L51" s="600"/>
      <c r="M51" s="594"/>
      <c r="N51" s="724"/>
      <c r="O51" s="596"/>
      <c r="S51" s="803"/>
      <c r="T51" s="797"/>
      <c r="U51" s="770"/>
      <c r="V51" s="772"/>
      <c r="W51" s="783"/>
      <c r="X51" s="740"/>
    </row>
    <row r="52" spans="2:29" ht="21" thickBot="1" x14ac:dyDescent="0.3">
      <c r="B52" s="16">
        <f t="shared" si="6"/>
        <v>43</v>
      </c>
      <c r="C52" s="106" t="s">
        <v>72</v>
      </c>
      <c r="D52" s="107" t="s">
        <v>73</v>
      </c>
      <c r="E52" s="599" t="str">
        <f t="shared" si="7"/>
        <v>KåreEggereide</v>
      </c>
      <c r="F52" s="192">
        <f>YEAR(I$5)-_xlfn.XLOOKUP(E52,Deltakerliste!E$5:E$98,Deltakerliste!I$5:I$98)</f>
        <v>75</v>
      </c>
      <c r="G52" s="192">
        <f>_xlfn.XLOOKUP(E52,Deltakerliste!E$5:E$98,Deltakerliste!H$5:H$98)</f>
        <v>2</v>
      </c>
      <c r="H52" s="592">
        <f>VLOOKUP(F52,Deltakerliste!P$6:T$84,G52,FALSE)</f>
        <v>1.605</v>
      </c>
      <c r="I52" s="593"/>
      <c r="J52" s="13"/>
      <c r="K52" s="13"/>
      <c r="L52" s="600"/>
      <c r="M52" s="594"/>
      <c r="N52" s="724"/>
      <c r="O52" s="596"/>
      <c r="S52" s="803"/>
      <c r="T52" s="798"/>
      <c r="U52" s="770"/>
      <c r="V52" s="772"/>
      <c r="W52" s="783"/>
      <c r="X52" s="740"/>
      <c r="AC52" s="651">
        <f>SUM(AC10:AC50)</f>
        <v>35</v>
      </c>
    </row>
    <row r="53" spans="2:29" ht="21" thickBot="1" x14ac:dyDescent="0.3">
      <c r="B53" s="16">
        <f t="shared" si="6"/>
        <v>44</v>
      </c>
      <c r="C53" s="106" t="s">
        <v>74</v>
      </c>
      <c r="D53" s="107" t="s">
        <v>75</v>
      </c>
      <c r="E53" s="599" t="str">
        <f t="shared" si="7"/>
        <v>StinaElfving</v>
      </c>
      <c r="F53" s="192">
        <f>YEAR(I$5)-_xlfn.XLOOKUP(E53,Deltakerliste!E$5:E$98,Deltakerliste!I$5:I$98)</f>
        <v>76</v>
      </c>
      <c r="G53" s="192">
        <f>_xlfn.XLOOKUP(E53,Deltakerliste!E$5:E$98,Deltakerliste!H$5:H$98)</f>
        <v>4</v>
      </c>
      <c r="H53" s="592">
        <f>VLOOKUP(F53,Deltakerliste!P$6:T$84,G53,FALSE)</f>
        <v>2.2246000000000015</v>
      </c>
      <c r="I53" s="13"/>
      <c r="J53" s="13"/>
      <c r="K53" s="17"/>
      <c r="L53" s="600"/>
      <c r="M53" s="594"/>
      <c r="N53" s="724"/>
      <c r="O53" s="596"/>
      <c r="S53" s="803"/>
      <c r="T53" s="798"/>
      <c r="U53" s="770"/>
      <c r="V53" s="772"/>
      <c r="W53" s="783"/>
      <c r="X53" s="740"/>
    </row>
    <row r="54" spans="2:29" ht="21" thickBot="1" x14ac:dyDescent="0.3">
      <c r="B54" s="16">
        <f t="shared" si="6"/>
        <v>45</v>
      </c>
      <c r="C54" s="106" t="s">
        <v>76</v>
      </c>
      <c r="D54" s="107" t="s">
        <v>77</v>
      </c>
      <c r="E54" s="599" t="str">
        <f t="shared" si="7"/>
        <v>ReinoldEllingsen</v>
      </c>
      <c r="F54" s="192">
        <f>YEAR(I$5)-_xlfn.XLOOKUP(E54,Deltakerliste!E$5:E$98,Deltakerliste!I$5:I$98)</f>
        <v>75</v>
      </c>
      <c r="G54" s="192">
        <f>_xlfn.XLOOKUP(E54,Deltakerliste!E$5:E$98,Deltakerliste!H$5:H$98)</f>
        <v>2</v>
      </c>
      <c r="H54" s="592">
        <f>VLOOKUP(F54,Deltakerliste!P$6:T$84,G54,FALSE)</f>
        <v>1.605</v>
      </c>
      <c r="I54" s="13"/>
      <c r="J54" s="13"/>
      <c r="K54" s="13"/>
      <c r="L54" s="600"/>
      <c r="M54" s="594"/>
      <c r="N54" s="724"/>
      <c r="O54" s="596"/>
      <c r="S54" s="846"/>
      <c r="T54" s="847"/>
      <c r="U54" s="848"/>
      <c r="V54" s="778"/>
      <c r="W54" s="849"/>
      <c r="X54" s="850"/>
    </row>
    <row r="55" spans="2:29" ht="21" customHeight="1" thickBot="1" x14ac:dyDescent="0.3">
      <c r="B55" s="16">
        <f t="shared" si="6"/>
        <v>46</v>
      </c>
      <c r="C55" s="106" t="s">
        <v>216</v>
      </c>
      <c r="D55" s="107" t="s">
        <v>77</v>
      </c>
      <c r="E55" s="599" t="str">
        <f t="shared" si="7"/>
        <v>Åse RitaEllingsen</v>
      </c>
      <c r="F55" s="192">
        <f>YEAR(I$5)-_xlfn.XLOOKUP(E55,Deltakerliste!E$5:E$98,Deltakerliste!I$5:I$98)</f>
        <v>62</v>
      </c>
      <c r="G55" s="192">
        <f>_xlfn.XLOOKUP(E55,Deltakerliste!E$5:E$98,Deltakerliste!H$5:H$98)</f>
        <v>4</v>
      </c>
      <c r="H55" s="592">
        <f>VLOOKUP(F55,Deltakerliste!P$6:T$84,G55,FALSE)</f>
        <v>1.6834000000000005</v>
      </c>
      <c r="I55" s="86"/>
      <c r="J55" s="14"/>
      <c r="K55" s="13"/>
      <c r="L55" s="600"/>
      <c r="M55" s="594"/>
      <c r="N55" s="724"/>
      <c r="O55" s="596"/>
      <c r="S55" s="803"/>
      <c r="T55" s="798"/>
      <c r="U55" s="770"/>
      <c r="V55" s="772"/>
      <c r="W55" s="783"/>
      <c r="X55" s="740"/>
    </row>
    <row r="56" spans="2:29" ht="21" thickBot="1" x14ac:dyDescent="0.3">
      <c r="B56" s="16">
        <f t="shared" si="6"/>
        <v>47</v>
      </c>
      <c r="C56" s="106" t="s">
        <v>271</v>
      </c>
      <c r="D56" s="107" t="s">
        <v>272</v>
      </c>
      <c r="E56" s="599" t="str">
        <f t="shared" si="7"/>
        <v>Arne KjellFoldvik</v>
      </c>
      <c r="F56" s="192">
        <f>YEAR(I$5)-_xlfn.XLOOKUP(E56,Deltakerliste!E$5:E$98,Deltakerliste!I$5:I$98)</f>
        <v>92</v>
      </c>
      <c r="G56" s="192">
        <f>_xlfn.XLOOKUP(E56,Deltakerliste!E$5:E$98,Deltakerliste!H$5:H$98)</f>
        <v>2</v>
      </c>
      <c r="H56" s="592">
        <f>VLOOKUP(F56,Deltakerliste!P$6:T$84,G56,FALSE)</f>
        <v>2.8130000000000002</v>
      </c>
      <c r="I56" s="14"/>
      <c r="J56" s="14"/>
      <c r="K56" s="13"/>
      <c r="L56" s="600"/>
      <c r="M56" s="594"/>
      <c r="N56" s="724"/>
      <c r="O56" s="596"/>
      <c r="S56" s="803"/>
      <c r="T56" s="798"/>
      <c r="U56" s="770"/>
      <c r="V56" s="772"/>
      <c r="W56" s="783"/>
      <c r="X56" s="740"/>
    </row>
    <row r="57" spans="2:29" ht="21" thickBot="1" x14ac:dyDescent="0.3">
      <c r="B57" s="16">
        <f t="shared" si="6"/>
        <v>48</v>
      </c>
      <c r="C57" s="106" t="s">
        <v>377</v>
      </c>
      <c r="D57" s="107" t="s">
        <v>83</v>
      </c>
      <c r="E57" s="599" t="str">
        <f t="shared" si="7"/>
        <v>HildeForbord</v>
      </c>
      <c r="F57" s="192">
        <f>YEAR(I$5)-_xlfn.XLOOKUP(E57,Deltakerliste!E$5:E$98,Deltakerliste!I$5:I$98)</f>
        <v>60</v>
      </c>
      <c r="G57" s="192">
        <f>_xlfn.XLOOKUP(E57,Deltakerliste!E$5:E$98,Deltakerliste!H$5:H$98)</f>
        <v>4</v>
      </c>
      <c r="H57" s="592">
        <f>VLOOKUP(F57,Deltakerliste!P$6:T$84,G57,FALSE)</f>
        <v>1.6250000000000002</v>
      </c>
      <c r="I57" s="14"/>
      <c r="J57" s="14"/>
      <c r="K57" s="13"/>
      <c r="L57" s="600"/>
      <c r="M57" s="594"/>
      <c r="N57" s="724"/>
      <c r="O57" s="596"/>
      <c r="S57" s="804"/>
      <c r="T57" s="801"/>
      <c r="U57" s="771"/>
      <c r="V57" s="773"/>
      <c r="W57" s="784"/>
      <c r="X57" s="741"/>
    </row>
    <row r="58" spans="2:29" ht="20" customHeight="1" thickBot="1" x14ac:dyDescent="0.3">
      <c r="B58" s="16">
        <f t="shared" si="6"/>
        <v>49</v>
      </c>
      <c r="C58" s="106" t="s">
        <v>84</v>
      </c>
      <c r="D58" s="107" t="s">
        <v>85</v>
      </c>
      <c r="E58" s="599" t="str">
        <f t="shared" si="7"/>
        <v>PaulForseth</v>
      </c>
      <c r="F58" s="192">
        <f>YEAR(I$5)-_xlfn.XLOOKUP(E58,Deltakerliste!E$5:E$98,Deltakerliste!I$5:I$98)</f>
        <v>94</v>
      </c>
      <c r="G58" s="192">
        <f>_xlfn.XLOOKUP(E58,Deltakerliste!E$5:E$98,Deltakerliste!H$5:H$98)</f>
        <v>2</v>
      </c>
      <c r="H58" s="592">
        <f>VLOOKUP(F58,Deltakerliste!P$6:T$84,G58,FALSE)</f>
        <v>2.9810000000000003</v>
      </c>
      <c r="I58" s="86"/>
      <c r="J58" s="86"/>
      <c r="K58" s="17"/>
      <c r="L58" s="600"/>
      <c r="M58" s="594"/>
      <c r="N58" s="724"/>
      <c r="O58" s="596"/>
    </row>
    <row r="59" spans="2:29" ht="21" thickBot="1" x14ac:dyDescent="0.3">
      <c r="B59" s="16">
        <f t="shared" si="6"/>
        <v>50</v>
      </c>
      <c r="C59" s="106" t="s">
        <v>86</v>
      </c>
      <c r="D59" s="107" t="s">
        <v>87</v>
      </c>
      <c r="E59" s="599" t="str">
        <f t="shared" si="7"/>
        <v>KristianFougner</v>
      </c>
      <c r="F59" s="192">
        <f>YEAR(I$5)-_xlfn.XLOOKUP(E59,Deltakerliste!E$5:E$98,Deltakerliste!I$5:I$98)</f>
        <v>76</v>
      </c>
      <c r="G59" s="192">
        <f>_xlfn.XLOOKUP(E59,Deltakerliste!E$5:E$98,Deltakerliste!H$5:H$98)</f>
        <v>2</v>
      </c>
      <c r="H59" s="592">
        <f>VLOOKUP(F59,Deltakerliste!P$6:T$84,G59,FALSE)</f>
        <v>1.655</v>
      </c>
      <c r="I59" s="86"/>
      <c r="J59" s="86"/>
      <c r="K59" s="13"/>
      <c r="L59" s="600"/>
      <c r="M59" s="594"/>
      <c r="N59" s="724"/>
      <c r="O59" s="596"/>
    </row>
    <row r="60" spans="2:29" ht="21" customHeight="1" thickBot="1" x14ac:dyDescent="0.3">
      <c r="B60" s="16">
        <f t="shared" si="6"/>
        <v>51</v>
      </c>
      <c r="C60" s="106" t="s">
        <v>116</v>
      </c>
      <c r="D60" s="107" t="s">
        <v>353</v>
      </c>
      <c r="E60" s="599" t="str">
        <f t="shared" si="7"/>
        <v>AndersGjermo</v>
      </c>
      <c r="F60" s="192">
        <f>YEAR(I$5)-_xlfn.XLOOKUP(E60,Deltakerliste!E$5:E$98,Deltakerliste!I$5:I$98)</f>
        <v>68</v>
      </c>
      <c r="G60" s="192">
        <f>_xlfn.XLOOKUP(E60,Deltakerliste!E$5:E$98,Deltakerliste!H$5:H$98)</f>
        <v>2</v>
      </c>
      <c r="H60" s="592">
        <f>VLOOKUP(F60,Deltakerliste!P$6:T$84,G60,FALSE)</f>
        <v>1.3729999999999998</v>
      </c>
      <c r="I60" s="132"/>
      <c r="J60" s="132"/>
      <c r="K60" s="18"/>
      <c r="L60" s="600"/>
      <c r="M60" s="594"/>
      <c r="N60" s="724"/>
      <c r="O60" s="596"/>
    </row>
    <row r="61" spans="2:29" ht="21" customHeight="1" thickBot="1" x14ac:dyDescent="0.3">
      <c r="B61" s="16">
        <f t="shared" si="6"/>
        <v>52</v>
      </c>
      <c r="C61" s="106" t="s">
        <v>90</v>
      </c>
      <c r="D61" s="107" t="s">
        <v>91</v>
      </c>
      <c r="E61" s="599" t="str">
        <f t="shared" si="7"/>
        <v>TorGjermstad</v>
      </c>
      <c r="F61" s="192">
        <f>YEAR(I$5)-_xlfn.XLOOKUP(E61,Deltakerliste!E$5:E$98,Deltakerliste!I$5:I$98)</f>
        <v>76</v>
      </c>
      <c r="G61" s="192">
        <f>_xlfn.XLOOKUP(E61,Deltakerliste!E$5:E$98,Deltakerliste!H$5:H$98)</f>
        <v>2</v>
      </c>
      <c r="H61" s="592">
        <f>VLOOKUP(F61,Deltakerliste!P$6:T$84,G61,FALSE)</f>
        <v>1.655</v>
      </c>
      <c r="I61" s="86"/>
      <c r="J61" s="86"/>
      <c r="K61" s="13"/>
      <c r="L61" s="600"/>
      <c r="M61" s="594"/>
      <c r="N61" s="724"/>
      <c r="O61" s="596"/>
    </row>
    <row r="62" spans="2:29" ht="21" customHeight="1" thickBot="1" x14ac:dyDescent="0.3">
      <c r="B62" s="16">
        <f t="shared" si="6"/>
        <v>53</v>
      </c>
      <c r="C62" s="106" t="s">
        <v>92</v>
      </c>
      <c r="D62" s="107" t="s">
        <v>93</v>
      </c>
      <c r="E62" s="599" t="str">
        <f t="shared" si="7"/>
        <v>Jens ØysteinGjersvold</v>
      </c>
      <c r="F62" s="192">
        <f>YEAR(I$5)-_xlfn.XLOOKUP(E62,Deltakerliste!E$5:E$98,Deltakerliste!I$5:I$98)</f>
        <v>74</v>
      </c>
      <c r="G62" s="192">
        <f>_xlfn.XLOOKUP(E62,Deltakerliste!E$5:E$98,Deltakerliste!H$5:H$98)</f>
        <v>2</v>
      </c>
      <c r="H62" s="592">
        <f>VLOOKUP(F62,Deltakerliste!P$6:T$84,G62,FALSE)</f>
        <v>1.569</v>
      </c>
      <c r="I62" s="14"/>
      <c r="J62" s="14"/>
      <c r="K62" s="18"/>
      <c r="L62" s="600"/>
      <c r="M62" s="594"/>
      <c r="N62" s="724"/>
      <c r="O62" s="596"/>
    </row>
    <row r="63" spans="2:29" ht="21" thickBot="1" x14ac:dyDescent="0.3">
      <c r="B63" s="16">
        <f t="shared" si="6"/>
        <v>54</v>
      </c>
      <c r="C63" s="106" t="s">
        <v>64</v>
      </c>
      <c r="D63" s="107" t="s">
        <v>366</v>
      </c>
      <c r="E63" s="599" t="str">
        <f t="shared" si="7"/>
        <v>BjørnHafskjold</v>
      </c>
      <c r="F63" s="192">
        <f>YEAR(I$5)-_xlfn.XLOOKUP(E63,Deltakerliste!E$5:E$98,Deltakerliste!I$5:I$98)</f>
        <v>79</v>
      </c>
      <c r="G63" s="192">
        <f>_xlfn.XLOOKUP(E63,Deltakerliste!E$5:E$98,Deltakerliste!H$5:H$98)</f>
        <v>2</v>
      </c>
      <c r="H63" s="592">
        <f>VLOOKUP(F63,Deltakerliste!P$6:T$84,G63,FALSE)</f>
        <v>1.8050000000000002</v>
      </c>
      <c r="I63" s="14"/>
      <c r="J63" s="14"/>
      <c r="K63" s="18"/>
      <c r="L63" s="600"/>
      <c r="M63" s="594"/>
      <c r="N63" s="724"/>
      <c r="O63" s="596"/>
    </row>
    <row r="64" spans="2:29" ht="21" thickBot="1" x14ac:dyDescent="0.3">
      <c r="B64" s="16">
        <f t="shared" si="6"/>
        <v>55</v>
      </c>
      <c r="C64" s="106" t="s">
        <v>342</v>
      </c>
      <c r="D64" s="107" t="s">
        <v>343</v>
      </c>
      <c r="E64" s="599" t="str">
        <f t="shared" si="7"/>
        <v>ArildHeggeset</v>
      </c>
      <c r="F64" s="192">
        <f>YEAR(I$5)-_xlfn.XLOOKUP(E64,Deltakerliste!E$5:E$98,Deltakerliste!I$5:I$98)</f>
        <v>59</v>
      </c>
      <c r="G64" s="192">
        <f>_xlfn.XLOOKUP(E64,Deltakerliste!E$5:E$98,Deltakerliste!H$5:H$98)</f>
        <v>2</v>
      </c>
      <c r="H64" s="592">
        <f>VLOOKUP(F64,Deltakerliste!P$6:T$84,G64,FALSE)</f>
        <v>1.1860000000000002</v>
      </c>
      <c r="I64" s="86"/>
      <c r="J64" s="86"/>
      <c r="K64" s="13"/>
      <c r="L64" s="600"/>
      <c r="M64" s="594"/>
      <c r="N64" s="724"/>
      <c r="O64" s="596"/>
    </row>
    <row r="65" spans="2:17" ht="21" thickBot="1" x14ac:dyDescent="0.3">
      <c r="B65" s="16">
        <f t="shared" si="6"/>
        <v>56</v>
      </c>
      <c r="C65" s="106" t="s">
        <v>309</v>
      </c>
      <c r="D65" s="107" t="s">
        <v>310</v>
      </c>
      <c r="E65" s="599" t="str">
        <f t="shared" si="7"/>
        <v>VigdisHeimly</v>
      </c>
      <c r="F65" s="192">
        <f>YEAR(I$5)-_xlfn.XLOOKUP(E65,Deltakerliste!E$5:E$98,Deltakerliste!I$5:I$98)</f>
        <v>67</v>
      </c>
      <c r="G65" s="192">
        <f>_xlfn.XLOOKUP(E65,Deltakerliste!E$5:E$98,Deltakerliste!H$5:H$98)</f>
        <v>4</v>
      </c>
      <c r="H65" s="592">
        <f>VLOOKUP(F65,Deltakerliste!P$6:T$84,G65,FALSE)</f>
        <v>1.8422000000000009</v>
      </c>
      <c r="I65" s="86"/>
      <c r="J65" s="86"/>
      <c r="K65" s="17"/>
      <c r="L65" s="600"/>
      <c r="M65" s="594"/>
      <c r="N65" s="724"/>
      <c r="O65" s="596"/>
    </row>
    <row r="66" spans="2:17" ht="21" thickBot="1" x14ac:dyDescent="0.3">
      <c r="B66" s="16">
        <f t="shared" si="6"/>
        <v>57</v>
      </c>
      <c r="C66" s="106" t="s">
        <v>118</v>
      </c>
      <c r="D66" s="107" t="s">
        <v>383</v>
      </c>
      <c r="E66" s="599" t="str">
        <f t="shared" si="7"/>
        <v>KnutHelland</v>
      </c>
      <c r="F66" s="192">
        <f>YEAR(I$5)-_xlfn.XLOOKUP(E66,Deltakerliste!E$5:E$98,Deltakerliste!I$5:I$98)</f>
        <v>64</v>
      </c>
      <c r="G66" s="192">
        <f>_xlfn.XLOOKUP(E66,Deltakerliste!E$5:E$98,Deltakerliste!H$5:H$98)</f>
        <v>2</v>
      </c>
      <c r="H66" s="592">
        <f>VLOOKUP(F66,Deltakerliste!P$6:T$84,G66,FALSE)</f>
        <v>1.2759999999999998</v>
      </c>
      <c r="I66" s="86"/>
      <c r="J66" s="86"/>
      <c r="K66" s="17"/>
      <c r="L66" s="600"/>
      <c r="M66" s="594"/>
      <c r="N66" s="724"/>
      <c r="O66" s="596"/>
    </row>
    <row r="67" spans="2:17" ht="21" thickBot="1" x14ac:dyDescent="0.3">
      <c r="B67" s="16">
        <f t="shared" si="6"/>
        <v>58</v>
      </c>
      <c r="C67" s="106" t="s">
        <v>99</v>
      </c>
      <c r="D67" s="107" t="s">
        <v>100</v>
      </c>
      <c r="E67" s="599" t="str">
        <f t="shared" si="7"/>
        <v>RobertHirsch</v>
      </c>
      <c r="F67" s="192">
        <f>YEAR(I$5)-_xlfn.XLOOKUP(E67,Deltakerliste!E$5:E$98,Deltakerliste!I$5:I$98)</f>
        <v>69</v>
      </c>
      <c r="G67" s="192">
        <f>_xlfn.XLOOKUP(E67,Deltakerliste!E$5:E$98,Deltakerliste!H$5:H$98)</f>
        <v>2</v>
      </c>
      <c r="H67" s="592">
        <f>VLOOKUP(F67,Deltakerliste!P$6:T$84,G67,FALSE)</f>
        <v>1.3989999999999998</v>
      </c>
      <c r="I67" s="86"/>
      <c r="J67" s="86"/>
      <c r="K67" s="13"/>
      <c r="L67" s="600"/>
      <c r="M67" s="594"/>
      <c r="N67" s="724"/>
      <c r="O67" s="596"/>
    </row>
    <row r="68" spans="2:17" ht="21" thickBot="1" x14ac:dyDescent="0.3">
      <c r="B68" s="16">
        <f t="shared" si="6"/>
        <v>59</v>
      </c>
      <c r="C68" s="106" t="s">
        <v>269</v>
      </c>
      <c r="D68" s="107" t="s">
        <v>270</v>
      </c>
      <c r="E68" s="599" t="str">
        <f t="shared" si="7"/>
        <v>Per OlavJohansen</v>
      </c>
      <c r="F68" s="192">
        <f>YEAR(I$5)-_xlfn.XLOOKUP(E68,Deltakerliste!E$5:E$98,Deltakerliste!I$5:I$98)</f>
        <v>68</v>
      </c>
      <c r="G68" s="192">
        <f>_xlfn.XLOOKUP(E68,Deltakerliste!E$5:E$98,Deltakerliste!H$5:H$98)</f>
        <v>2</v>
      </c>
      <c r="H68" s="592">
        <f>VLOOKUP(F68,Deltakerliste!P$6:T$84,G68,FALSE)</f>
        <v>1.3729999999999998</v>
      </c>
      <c r="I68" s="132"/>
      <c r="J68" s="132"/>
      <c r="K68" s="134"/>
      <c r="L68" s="600"/>
      <c r="M68" s="594"/>
      <c r="N68" s="724"/>
      <c r="O68" s="596"/>
    </row>
    <row r="69" spans="2:17" ht="21" thickBot="1" x14ac:dyDescent="0.3">
      <c r="B69" s="16">
        <f t="shared" si="6"/>
        <v>60</v>
      </c>
      <c r="C69" s="106" t="s">
        <v>63</v>
      </c>
      <c r="D69" s="107" t="s">
        <v>105</v>
      </c>
      <c r="E69" s="599" t="str">
        <f t="shared" si="7"/>
        <v>ToreKiste</v>
      </c>
      <c r="F69" s="192">
        <f>YEAR(I$5)-_xlfn.XLOOKUP(E69,Deltakerliste!E$5:E$98,Deltakerliste!I$5:I$98)</f>
        <v>81</v>
      </c>
      <c r="G69" s="192">
        <f>_xlfn.XLOOKUP(E69,Deltakerliste!E$5:E$98,Deltakerliste!H$5:H$98)</f>
        <v>2</v>
      </c>
      <c r="H69" s="592">
        <f>VLOOKUP(F69,Deltakerliste!P$6:T$84,G69,FALSE)</f>
        <v>1.9290000000000003</v>
      </c>
      <c r="I69" s="86"/>
      <c r="J69" s="86"/>
      <c r="K69" s="13"/>
      <c r="L69" s="600"/>
      <c r="M69" s="594"/>
      <c r="N69" s="724"/>
      <c r="O69" s="596"/>
    </row>
    <row r="70" spans="2:17" ht="21" thickBot="1" x14ac:dyDescent="0.3">
      <c r="B70" s="16">
        <f t="shared" si="6"/>
        <v>61</v>
      </c>
      <c r="C70" s="106" t="s">
        <v>251</v>
      </c>
      <c r="D70" s="107" t="s">
        <v>252</v>
      </c>
      <c r="E70" s="599" t="str">
        <f t="shared" si="7"/>
        <v>OttarKristiansen</v>
      </c>
      <c r="F70" s="192">
        <f>YEAR(I$5)-_xlfn.XLOOKUP(E70,Deltakerliste!E$5:E$98,Deltakerliste!I$5:I$98)</f>
        <v>77</v>
      </c>
      <c r="G70" s="192">
        <f>_xlfn.XLOOKUP(E70,Deltakerliste!E$5:E$98,Deltakerliste!H$5:H$98)</f>
        <v>2</v>
      </c>
      <c r="H70" s="592">
        <f>VLOOKUP(F70,Deltakerliste!P$6:T$84,G70,FALSE)</f>
        <v>1.7050000000000001</v>
      </c>
      <c r="I70" s="86"/>
      <c r="J70" s="86"/>
      <c r="K70" s="17"/>
      <c r="L70" s="600"/>
      <c r="M70" s="594"/>
      <c r="N70" s="724"/>
      <c r="O70" s="596"/>
    </row>
    <row r="71" spans="2:17" ht="21" thickBot="1" x14ac:dyDescent="0.3">
      <c r="B71" s="16">
        <f t="shared" si="6"/>
        <v>62</v>
      </c>
      <c r="C71" s="106" t="s">
        <v>299</v>
      </c>
      <c r="D71" s="107" t="s">
        <v>300</v>
      </c>
      <c r="E71" s="599" t="str">
        <f t="shared" si="7"/>
        <v>OlavKvittem</v>
      </c>
      <c r="F71" s="192">
        <f>YEAR(I$5)-_xlfn.XLOOKUP(E71,Deltakerliste!E$5:E$98,Deltakerliste!I$5:I$98)</f>
        <v>71</v>
      </c>
      <c r="G71" s="192">
        <f>_xlfn.XLOOKUP(E71,Deltakerliste!E$5:E$98,Deltakerliste!H$5:H$98)</f>
        <v>2</v>
      </c>
      <c r="H71" s="592">
        <f>VLOOKUP(F71,Deltakerliste!P$6:T$84,G71,FALSE)</f>
        <v>1.4609999999999999</v>
      </c>
      <c r="I71" s="86"/>
      <c r="J71" s="86"/>
      <c r="K71" s="13"/>
      <c r="L71" s="600"/>
      <c r="M71" s="594"/>
      <c r="N71" s="724"/>
      <c r="O71" s="596"/>
    </row>
    <row r="72" spans="2:17" ht="21" thickBot="1" x14ac:dyDescent="0.3">
      <c r="B72" s="16">
        <f t="shared" si="6"/>
        <v>63</v>
      </c>
      <c r="C72" s="106" t="s">
        <v>112</v>
      </c>
      <c r="D72" s="107" t="s">
        <v>113</v>
      </c>
      <c r="E72" s="599" t="str">
        <f t="shared" si="7"/>
        <v>ToridKvaal</v>
      </c>
      <c r="F72" s="192">
        <f>YEAR(I$5)-_xlfn.XLOOKUP(E72,Deltakerliste!E$5:E$98,Deltakerliste!I$5:I$98)</f>
        <v>84</v>
      </c>
      <c r="G72" s="192">
        <f>_xlfn.XLOOKUP(E72,Deltakerliste!E$5:E$98,Deltakerliste!H$5:H$98)</f>
        <v>4</v>
      </c>
      <c r="H72" s="592">
        <f>VLOOKUP(F72,Deltakerliste!P$6:T$84,G72,FALSE)</f>
        <v>2.7814000000000005</v>
      </c>
      <c r="I72" s="86"/>
      <c r="J72" s="86"/>
      <c r="K72" s="13"/>
      <c r="L72" s="600"/>
      <c r="M72" s="594"/>
      <c r="N72" s="724"/>
      <c r="O72" s="596"/>
    </row>
    <row r="73" spans="2:17" ht="21" thickBot="1" x14ac:dyDescent="0.3">
      <c r="B73" s="16">
        <f t="shared" si="6"/>
        <v>64</v>
      </c>
      <c r="C73" s="106" t="s">
        <v>254</v>
      </c>
      <c r="D73" s="107" t="s">
        <v>255</v>
      </c>
      <c r="E73" s="599" t="str">
        <f t="shared" si="7"/>
        <v>ArnfinnLangeland</v>
      </c>
      <c r="F73" s="192">
        <f>YEAR(I$5)-_xlfn.XLOOKUP(E73,Deltakerliste!E$5:E$98,Deltakerliste!I$5:I$98)</f>
        <v>90</v>
      </c>
      <c r="G73" s="192">
        <f>_xlfn.XLOOKUP(E73,Deltakerliste!E$5:E$98,Deltakerliste!H$5:H$98)</f>
        <v>2</v>
      </c>
      <c r="H73" s="592">
        <f>VLOOKUP(F73,Deltakerliste!P$6:T$84,G73,FALSE)</f>
        <v>2.645</v>
      </c>
      <c r="I73" s="86"/>
      <c r="J73" s="86"/>
      <c r="K73" s="13"/>
      <c r="L73" s="600"/>
      <c r="M73" s="594"/>
      <c r="N73" s="724"/>
      <c r="O73" s="596"/>
    </row>
    <row r="74" spans="2:17" ht="21" thickBot="1" x14ac:dyDescent="0.3">
      <c r="B74" s="16">
        <f t="shared" ref="B74:B94" si="8">B73+1</f>
        <v>65</v>
      </c>
      <c r="C74" s="106" t="s">
        <v>116</v>
      </c>
      <c r="D74" s="107" t="s">
        <v>117</v>
      </c>
      <c r="E74" s="599" t="str">
        <f t="shared" ref="E74:E94" si="9">_xlfn.CONCAT(C74:D74)</f>
        <v>AndersLauglo</v>
      </c>
      <c r="F74" s="192">
        <f>YEAR(I$5)-_xlfn.XLOOKUP(E74,Deltakerliste!E$5:E$98,Deltakerliste!I$5:I$98)</f>
        <v>87</v>
      </c>
      <c r="G74" s="192">
        <f>_xlfn.XLOOKUP(E74,Deltakerliste!E$5:E$98,Deltakerliste!H$5:H$98)</f>
        <v>2</v>
      </c>
      <c r="H74" s="592">
        <f>VLOOKUP(F74,Deltakerliste!P$6:T$84,G74,FALSE)</f>
        <v>2.3929999999999998</v>
      </c>
      <c r="I74" s="13"/>
      <c r="J74" s="13"/>
      <c r="K74" s="86"/>
      <c r="L74" s="600"/>
      <c r="M74" s="594"/>
      <c r="N74" s="724"/>
      <c r="O74" s="596"/>
    </row>
    <row r="75" spans="2:17" ht="21" thickBot="1" x14ac:dyDescent="0.3">
      <c r="B75" s="16">
        <f t="shared" si="8"/>
        <v>66</v>
      </c>
      <c r="C75" s="106" t="s">
        <v>222</v>
      </c>
      <c r="D75" s="107" t="s">
        <v>221</v>
      </c>
      <c r="E75" s="599" t="str">
        <f t="shared" si="9"/>
        <v>Kjell Maroni</v>
      </c>
      <c r="F75" s="192">
        <f>YEAR(I$5)-_xlfn.XLOOKUP(E75,Deltakerliste!E$5:E$98,Deltakerliste!I$5:I$98)</f>
        <v>70</v>
      </c>
      <c r="G75" s="192">
        <f>_xlfn.XLOOKUP(E75,Deltakerliste!E$5:E$98,Deltakerliste!H$5:H$98)</f>
        <v>2</v>
      </c>
      <c r="H75" s="592">
        <f>VLOOKUP(F75,Deltakerliste!P$6:T$84,G75,FALSE)</f>
        <v>1.4249999999999998</v>
      </c>
      <c r="I75" s="13"/>
      <c r="J75" s="13"/>
      <c r="K75" s="13"/>
      <c r="L75" s="600"/>
      <c r="M75" s="594"/>
      <c r="N75" s="724"/>
      <c r="O75" s="596"/>
      <c r="Q75" s="112"/>
    </row>
    <row r="76" spans="2:17" ht="21" thickBot="1" x14ac:dyDescent="0.3">
      <c r="B76" s="16">
        <f t="shared" si="8"/>
        <v>67</v>
      </c>
      <c r="C76" s="106" t="s">
        <v>126</v>
      </c>
      <c r="D76" s="107" t="s">
        <v>127</v>
      </c>
      <c r="E76" s="599" t="str">
        <f t="shared" si="9"/>
        <v>ArneMikkelsen</v>
      </c>
      <c r="F76" s="192">
        <f>YEAR(I$5)-_xlfn.XLOOKUP(E76,Deltakerliste!E$5:E$98,Deltakerliste!I$5:I$98)</f>
        <v>73</v>
      </c>
      <c r="G76" s="192">
        <f>_xlfn.XLOOKUP(E76,Deltakerliste!E$5:E$98,Deltakerliste!H$5:H$98)</f>
        <v>2</v>
      </c>
      <c r="H76" s="592">
        <f>VLOOKUP(F76,Deltakerliste!P$6:T$84,G76,FALSE)</f>
        <v>1.5329999999999999</v>
      </c>
      <c r="I76" s="13"/>
      <c r="J76" s="13"/>
      <c r="K76" s="13"/>
      <c r="L76" s="600"/>
      <c r="M76" s="594"/>
      <c r="N76" s="724"/>
      <c r="O76" s="596"/>
    </row>
    <row r="77" spans="2:17" ht="21" thickBot="1" x14ac:dyDescent="0.3">
      <c r="B77" s="16">
        <f t="shared" si="8"/>
        <v>68</v>
      </c>
      <c r="C77" s="106" t="s">
        <v>128</v>
      </c>
      <c r="D77" s="107" t="s">
        <v>129</v>
      </c>
      <c r="E77" s="599" t="str">
        <f t="shared" si="9"/>
        <v>OddMusum</v>
      </c>
      <c r="F77" s="192">
        <f>YEAR(I$5)-_xlfn.XLOOKUP(E77,Deltakerliste!E$5:E$98,Deltakerliste!I$5:I$98)</f>
        <v>84</v>
      </c>
      <c r="G77" s="192">
        <f>_xlfn.XLOOKUP(E77,Deltakerliste!E$5:E$98,Deltakerliste!H$5:H$98)</f>
        <v>2</v>
      </c>
      <c r="H77" s="592">
        <f>VLOOKUP(F77,Deltakerliste!P$6:T$84,G77,FALSE)</f>
        <v>2.1509999999999998</v>
      </c>
      <c r="I77" s="13"/>
      <c r="J77" s="13"/>
      <c r="K77" s="13"/>
      <c r="L77" s="600"/>
      <c r="M77" s="594"/>
      <c r="N77" s="724"/>
      <c r="O77" s="596"/>
    </row>
    <row r="78" spans="2:17" ht="21" thickBot="1" x14ac:dyDescent="0.3">
      <c r="B78" s="16">
        <f t="shared" si="8"/>
        <v>69</v>
      </c>
      <c r="C78" s="106" t="s">
        <v>132</v>
      </c>
      <c r="D78" s="107" t="s">
        <v>133</v>
      </c>
      <c r="E78" s="599" t="str">
        <f t="shared" si="9"/>
        <v>JarleNestvold</v>
      </c>
      <c r="F78" s="192">
        <f>YEAR(I$5)-_xlfn.XLOOKUP(E78,Deltakerliste!E$5:E$98,Deltakerliste!I$5:I$98)</f>
        <v>89</v>
      </c>
      <c r="G78" s="192">
        <f>_xlfn.XLOOKUP(E78,Deltakerliste!E$5:E$98,Deltakerliste!H$5:H$98)</f>
        <v>2</v>
      </c>
      <c r="H78" s="592">
        <f>VLOOKUP(F78,Deltakerliste!P$6:T$84,G78,FALSE)</f>
        <v>2.5609999999999999</v>
      </c>
      <c r="I78" s="132"/>
      <c r="J78" s="18"/>
      <c r="K78" s="18"/>
      <c r="L78" s="600"/>
      <c r="M78" s="594"/>
      <c r="N78" s="724"/>
      <c r="O78" s="596"/>
    </row>
    <row r="79" spans="2:17" ht="21" thickBot="1" x14ac:dyDescent="0.3">
      <c r="B79" s="16">
        <f t="shared" si="8"/>
        <v>70</v>
      </c>
      <c r="C79" s="106" t="s">
        <v>265</v>
      </c>
      <c r="D79" s="107" t="s">
        <v>344</v>
      </c>
      <c r="E79" s="599" t="str">
        <f t="shared" si="9"/>
        <v>ØysteinNytrø</v>
      </c>
      <c r="F79" s="192">
        <f>YEAR(I$5)-_xlfn.XLOOKUP(E79,Deltakerliste!E$5:E$98,Deltakerliste!I$5:I$98)</f>
        <v>66</v>
      </c>
      <c r="G79" s="192">
        <f>_xlfn.XLOOKUP(E79,Deltakerliste!E$5:E$98,Deltakerliste!H$5:H$98)</f>
        <v>2</v>
      </c>
      <c r="H79" s="592">
        <f>VLOOKUP(F79,Deltakerliste!P$6:T$84,G79,FALSE)</f>
        <v>1.3209999999999997</v>
      </c>
      <c r="I79" s="18"/>
      <c r="J79" s="132"/>
      <c r="K79" s="18"/>
      <c r="L79" s="600"/>
      <c r="M79" s="594"/>
      <c r="N79" s="724"/>
      <c r="O79" s="596"/>
    </row>
    <row r="80" spans="2:17" ht="21" thickBot="1" x14ac:dyDescent="0.3">
      <c r="B80" s="16">
        <f t="shared" si="8"/>
        <v>71</v>
      </c>
      <c r="C80" s="106" t="s">
        <v>72</v>
      </c>
      <c r="D80" s="107" t="s">
        <v>139</v>
      </c>
      <c r="E80" s="599" t="str">
        <f t="shared" si="9"/>
        <v>KåreOnsøyen</v>
      </c>
      <c r="F80" s="192">
        <f>YEAR(I$5)-_xlfn.XLOOKUP(E80,Deltakerliste!E$5:E$98,Deltakerliste!I$5:I$98)</f>
        <v>78</v>
      </c>
      <c r="G80" s="192">
        <f>_xlfn.XLOOKUP(E80,Deltakerliste!E$5:E$98,Deltakerliste!H$5:H$98)</f>
        <v>2</v>
      </c>
      <c r="H80" s="592">
        <f>VLOOKUP(F80,Deltakerliste!P$6:T$84,G80,FALSE)</f>
        <v>1.7550000000000001</v>
      </c>
      <c r="I80" s="13"/>
      <c r="J80" s="13"/>
      <c r="K80" s="13"/>
      <c r="L80" s="600"/>
      <c r="M80" s="594"/>
      <c r="N80" s="724"/>
      <c r="O80" s="596"/>
    </row>
    <row r="81" spans="2:15" ht="21" thickBot="1" x14ac:dyDescent="0.3">
      <c r="B81" s="16">
        <f t="shared" si="8"/>
        <v>72</v>
      </c>
      <c r="C81" s="106" t="s">
        <v>140</v>
      </c>
      <c r="D81" s="107" t="s">
        <v>141</v>
      </c>
      <c r="E81" s="599" t="str">
        <f t="shared" si="9"/>
        <v>Grete BergeOwren</v>
      </c>
      <c r="F81" s="192">
        <f>YEAR(I$5)-_xlfn.XLOOKUP(E81,Deltakerliste!E$5:E$98,Deltakerliste!I$5:I$98)</f>
        <v>68</v>
      </c>
      <c r="G81" s="192">
        <f>_xlfn.XLOOKUP(E81,Deltakerliste!E$5:E$98,Deltakerliste!H$5:H$98)</f>
        <v>4</v>
      </c>
      <c r="H81" s="592">
        <f>VLOOKUP(F81,Deltakerliste!P$6:T$84,G81,FALSE)</f>
        <v>1.877800000000001</v>
      </c>
      <c r="I81" s="18"/>
      <c r="J81" s="18"/>
      <c r="K81" s="18"/>
      <c r="L81" s="600"/>
      <c r="M81" s="594"/>
      <c r="N81" s="724"/>
      <c r="O81" s="596"/>
    </row>
    <row r="82" spans="2:15" ht="21" thickBot="1" x14ac:dyDescent="0.3">
      <c r="B82" s="16">
        <f t="shared" si="8"/>
        <v>73</v>
      </c>
      <c r="C82" s="106" t="s">
        <v>144</v>
      </c>
      <c r="D82" s="107" t="s">
        <v>145</v>
      </c>
      <c r="E82" s="599" t="str">
        <f t="shared" si="9"/>
        <v>Bjørn Rindstad</v>
      </c>
      <c r="F82" s="192">
        <f>YEAR(I$5)-_xlfn.XLOOKUP(E82,Deltakerliste!E$5:E$98,Deltakerliste!I$5:I$98)</f>
        <v>75</v>
      </c>
      <c r="G82" s="192">
        <f>_xlfn.XLOOKUP(E82,Deltakerliste!E$5:E$98,Deltakerliste!H$5:H$98)</f>
        <v>2</v>
      </c>
      <c r="H82" s="592">
        <f>VLOOKUP(F82,Deltakerliste!P$6:T$84,G82,FALSE)</f>
        <v>1.605</v>
      </c>
      <c r="I82" s="18"/>
      <c r="J82" s="18"/>
      <c r="K82" s="18"/>
      <c r="L82" s="600"/>
      <c r="M82" s="594"/>
      <c r="N82" s="724"/>
      <c r="O82" s="596"/>
    </row>
    <row r="83" spans="2:15" ht="21" thickBot="1" x14ac:dyDescent="0.3">
      <c r="B83" s="16">
        <f t="shared" si="8"/>
        <v>74</v>
      </c>
      <c r="C83" s="111" t="s">
        <v>78</v>
      </c>
      <c r="D83" s="193" t="s">
        <v>146</v>
      </c>
      <c r="E83" s="599" t="str">
        <f t="shared" si="9"/>
        <v>LeifRøhjell</v>
      </c>
      <c r="F83" s="192">
        <f>YEAR(I$5)-_xlfn.XLOOKUP(E83,Deltakerliste!E$5:E$98,Deltakerliste!I$5:I$98)</f>
        <v>82</v>
      </c>
      <c r="G83" s="192">
        <f>_xlfn.XLOOKUP(E83,Deltakerliste!E$5:E$98,Deltakerliste!H$5:H$98)</f>
        <v>2</v>
      </c>
      <c r="H83" s="592">
        <f>VLOOKUP(F83,Deltakerliste!P$6:T$84,G83,FALSE)</f>
        <v>2.0030000000000001</v>
      </c>
      <c r="I83" s="132"/>
      <c r="J83" s="18"/>
      <c r="K83" s="18"/>
      <c r="L83" s="600"/>
      <c r="M83" s="594"/>
      <c r="N83" s="724"/>
      <c r="O83" s="596"/>
    </row>
    <row r="84" spans="2:15" ht="21" thickBot="1" x14ac:dyDescent="0.3">
      <c r="B84" s="16">
        <f t="shared" si="8"/>
        <v>75</v>
      </c>
      <c r="C84" s="111" t="s">
        <v>228</v>
      </c>
      <c r="D84" s="193" t="s">
        <v>229</v>
      </c>
      <c r="E84" s="599" t="str">
        <f t="shared" si="9"/>
        <v>May-LisRønning</v>
      </c>
      <c r="F84" s="192">
        <f>YEAR(I$5)-_xlfn.XLOOKUP(E84,Deltakerliste!E$5:E$98,Deltakerliste!I$5:I$98)</f>
        <v>56</v>
      </c>
      <c r="G84" s="192">
        <f>_xlfn.XLOOKUP(E84,Deltakerliste!E$5:E$98,Deltakerliste!H$5:H$98)</f>
        <v>4</v>
      </c>
      <c r="H84" s="592">
        <f>VLOOKUP(F84,Deltakerliste!P$6:T$84,G84,FALSE)</f>
        <v>1.5329999999999997</v>
      </c>
      <c r="I84" s="18"/>
      <c r="J84" s="18"/>
      <c r="K84" s="18"/>
      <c r="L84" s="600"/>
      <c r="M84" s="594"/>
      <c r="N84" s="724"/>
      <c r="O84" s="596"/>
    </row>
    <row r="85" spans="2:15" ht="21" thickBot="1" x14ac:dyDescent="0.3">
      <c r="B85" s="16">
        <f t="shared" si="8"/>
        <v>76</v>
      </c>
      <c r="C85" s="111" t="s">
        <v>147</v>
      </c>
      <c r="D85" s="108" t="s">
        <v>148</v>
      </c>
      <c r="E85" s="599" t="str">
        <f t="shared" si="9"/>
        <v>ViggoSchei</v>
      </c>
      <c r="F85" s="192">
        <f>YEAR(I$5)-_xlfn.XLOOKUP(E85,Deltakerliste!E$5:E$98,Deltakerliste!I$5:I$98)</f>
        <v>75</v>
      </c>
      <c r="G85" s="192">
        <f>_xlfn.XLOOKUP(E85,Deltakerliste!E$5:E$98,Deltakerliste!H$5:H$98)</f>
        <v>2</v>
      </c>
      <c r="H85" s="592">
        <f>VLOOKUP(F85,Deltakerliste!P$6:T$84,G85,FALSE)</f>
        <v>1.605</v>
      </c>
      <c r="I85" s="18"/>
      <c r="J85" s="132"/>
      <c r="K85" s="18"/>
      <c r="L85" s="600"/>
      <c r="M85" s="594"/>
      <c r="N85" s="724"/>
      <c r="O85" s="596"/>
    </row>
    <row r="86" spans="2:15" ht="21" thickBot="1" x14ac:dyDescent="0.3">
      <c r="B86" s="16">
        <f t="shared" si="8"/>
        <v>77</v>
      </c>
      <c r="C86" s="111" t="s">
        <v>298</v>
      </c>
      <c r="D86" s="193" t="s">
        <v>297</v>
      </c>
      <c r="E86" s="599" t="str">
        <f t="shared" si="9"/>
        <v>ØyvindSchjelderup</v>
      </c>
      <c r="F86" s="192">
        <f>YEAR(I$5)-_xlfn.XLOOKUP(E86,Deltakerliste!E$5:E$98,Deltakerliste!I$5:I$98)</f>
        <v>61</v>
      </c>
      <c r="G86" s="192">
        <f>_xlfn.XLOOKUP(E86,Deltakerliste!E$5:E$98,Deltakerliste!H$5:H$98)</f>
        <v>2</v>
      </c>
      <c r="H86" s="592">
        <f>VLOOKUP(F86,Deltakerliste!P$6:T$84,G86,FALSE)</f>
        <v>1.2190000000000001</v>
      </c>
      <c r="I86" s="18"/>
      <c r="J86" s="18"/>
      <c r="K86" s="18"/>
      <c r="L86" s="600"/>
      <c r="M86" s="594"/>
      <c r="N86" s="724"/>
      <c r="O86" s="596"/>
    </row>
    <row r="87" spans="2:15" ht="21" thickBot="1" x14ac:dyDescent="0.3">
      <c r="B87" s="16">
        <f t="shared" si="8"/>
        <v>78</v>
      </c>
      <c r="C87" s="111" t="s">
        <v>149</v>
      </c>
      <c r="D87" s="193" t="s">
        <v>150</v>
      </c>
      <c r="E87" s="599" t="str">
        <f t="shared" si="9"/>
        <v>BenteSkorge</v>
      </c>
      <c r="F87" s="192">
        <f>YEAR(I$5)-_xlfn.XLOOKUP(E87,Deltakerliste!E$5:E$98,Deltakerliste!I$5:I$98)</f>
        <v>67</v>
      </c>
      <c r="G87" s="192">
        <f>_xlfn.XLOOKUP(E87,Deltakerliste!E$5:E$98,Deltakerliste!H$5:H$98)</f>
        <v>4</v>
      </c>
      <c r="H87" s="592">
        <f>VLOOKUP(F87,Deltakerliste!P$6:T$84,G87,FALSE)</f>
        <v>1.8422000000000009</v>
      </c>
      <c r="I87" s="132"/>
      <c r="J87" s="132"/>
      <c r="K87" s="18"/>
      <c r="L87" s="600"/>
      <c r="M87" s="594"/>
      <c r="N87" s="724"/>
      <c r="O87" s="596"/>
    </row>
    <row r="88" spans="2:15" ht="21" thickBot="1" x14ac:dyDescent="0.3">
      <c r="B88" s="16">
        <f t="shared" si="8"/>
        <v>79</v>
      </c>
      <c r="C88" s="111" t="s">
        <v>153</v>
      </c>
      <c r="D88" s="108" t="s">
        <v>154</v>
      </c>
      <c r="E88" s="599" t="str">
        <f t="shared" si="9"/>
        <v>ReidunSmaavik</v>
      </c>
      <c r="F88" s="192">
        <f>YEAR(I$5)-_xlfn.XLOOKUP(E88,Deltakerliste!E$5:E$98,Deltakerliste!I$5:I$98)</f>
        <v>71</v>
      </c>
      <c r="G88" s="192">
        <f>_xlfn.XLOOKUP(E88,Deltakerliste!E$5:E$98,Deltakerliste!H$5:H$98)</f>
        <v>4</v>
      </c>
      <c r="H88" s="592">
        <f>VLOOKUP(F88,Deltakerliste!P$6:T$84,G88,FALSE)</f>
        <v>1.9926000000000013</v>
      </c>
      <c r="I88" s="132"/>
      <c r="J88" s="18"/>
      <c r="K88" s="18"/>
      <c r="L88" s="600"/>
      <c r="M88" s="594"/>
      <c r="N88" s="724"/>
      <c r="O88" s="596"/>
    </row>
    <row r="89" spans="2:15" ht="21" thickBot="1" x14ac:dyDescent="0.3">
      <c r="B89" s="16">
        <f t="shared" si="8"/>
        <v>80</v>
      </c>
      <c r="C89" s="111" t="s">
        <v>155</v>
      </c>
      <c r="D89" s="108" t="s">
        <v>156</v>
      </c>
      <c r="E89" s="599" t="str">
        <f t="shared" si="9"/>
        <v>KjellrunSporild</v>
      </c>
      <c r="F89" s="192">
        <f>YEAR(I$5)-_xlfn.XLOOKUP(E89,Deltakerliste!E$5:E$98,Deltakerliste!I$5:I$98)</f>
        <v>71</v>
      </c>
      <c r="G89" s="192">
        <f>_xlfn.XLOOKUP(E89,Deltakerliste!E$5:E$98,Deltakerliste!H$5:H$98)</f>
        <v>4</v>
      </c>
      <c r="H89" s="592">
        <f>VLOOKUP(F89,Deltakerliste!P$6:T$84,G89,FALSE)</f>
        <v>1.9926000000000013</v>
      </c>
      <c r="I89" s="18"/>
      <c r="J89" s="132"/>
      <c r="K89" s="18"/>
      <c r="L89" s="600"/>
      <c r="M89" s="594"/>
      <c r="N89" s="724"/>
      <c r="O89" s="596"/>
    </row>
    <row r="90" spans="2:15" ht="21" thickBot="1" x14ac:dyDescent="0.3">
      <c r="B90" s="16">
        <f t="shared" si="8"/>
        <v>81</v>
      </c>
      <c r="C90" s="193" t="s">
        <v>232</v>
      </c>
      <c r="D90" s="133" t="s">
        <v>231</v>
      </c>
      <c r="E90" s="599" t="str">
        <f t="shared" si="9"/>
        <v>BeritSunnset</v>
      </c>
      <c r="F90" s="192">
        <f>YEAR(I$5)-_xlfn.XLOOKUP(E90,Deltakerliste!E$5:E$98,Deltakerliste!I$5:I$98)</f>
        <v>63</v>
      </c>
      <c r="G90" s="192">
        <f>_xlfn.XLOOKUP(E90,Deltakerliste!E$5:E$98,Deltakerliste!H$5:H$98)</f>
        <v>4</v>
      </c>
      <c r="H90" s="592">
        <f>VLOOKUP(F90,Deltakerliste!P$6:T$84,G90,FALSE)</f>
        <v>1.7126000000000006</v>
      </c>
      <c r="I90" s="18"/>
      <c r="J90" s="18"/>
      <c r="K90" s="18"/>
      <c r="L90" s="600"/>
      <c r="M90" s="594"/>
      <c r="N90" s="724"/>
      <c r="O90" s="596"/>
    </row>
    <row r="91" spans="2:15" ht="21" thickBot="1" x14ac:dyDescent="0.3">
      <c r="B91" s="16">
        <f t="shared" si="8"/>
        <v>82</v>
      </c>
      <c r="C91" s="193" t="s">
        <v>230</v>
      </c>
      <c r="D91" s="108" t="s">
        <v>231</v>
      </c>
      <c r="E91" s="599" t="str">
        <f t="shared" si="9"/>
        <v>TrineSunnset</v>
      </c>
      <c r="F91" s="192">
        <f>YEAR(I$5)-_xlfn.XLOOKUP(E91,Deltakerliste!E$5:E$98,Deltakerliste!I$5:I$98)</f>
        <v>63</v>
      </c>
      <c r="G91" s="192">
        <f>_xlfn.XLOOKUP(E91,Deltakerliste!E$5:E$98,Deltakerliste!H$5:H$98)</f>
        <v>4</v>
      </c>
      <c r="H91" s="592">
        <f>VLOOKUP(F91,Deltakerliste!P$6:T$84,G91,FALSE)</f>
        <v>1.7126000000000006</v>
      </c>
      <c r="I91" s="18"/>
      <c r="J91" s="18"/>
      <c r="K91" s="18"/>
      <c r="L91" s="600"/>
      <c r="M91" s="594"/>
      <c r="N91" s="724"/>
      <c r="O91" s="596"/>
    </row>
    <row r="92" spans="2:15" ht="21" thickBot="1" x14ac:dyDescent="0.3">
      <c r="B92" s="16">
        <f t="shared" si="8"/>
        <v>83</v>
      </c>
      <c r="C92" s="193" t="s">
        <v>265</v>
      </c>
      <c r="D92" s="108" t="s">
        <v>266</v>
      </c>
      <c r="E92" s="599" t="str">
        <f t="shared" si="9"/>
        <v>ØysteinWiggen</v>
      </c>
      <c r="F92" s="192">
        <f>YEAR(I$5)-_xlfn.XLOOKUP(E92,Deltakerliste!E$5:E$98,Deltakerliste!I$5:I$98)</f>
        <v>60</v>
      </c>
      <c r="G92" s="192">
        <f>_xlfn.XLOOKUP(E92,Deltakerliste!E$5:E$98,Deltakerliste!H$5:H$98)</f>
        <v>2</v>
      </c>
      <c r="H92" s="592">
        <f>VLOOKUP(F92,Deltakerliste!P$6:T$84,G92,FALSE)</f>
        <v>1.2000000000000002</v>
      </c>
      <c r="I92" s="134"/>
      <c r="J92" s="132"/>
      <c r="K92" s="18"/>
      <c r="L92" s="790"/>
      <c r="M92" s="594"/>
      <c r="N92" s="724"/>
      <c r="O92" s="596"/>
    </row>
    <row r="93" spans="2:15" ht="21" thickBot="1" x14ac:dyDescent="0.3">
      <c r="B93" s="16">
        <f t="shared" si="8"/>
        <v>84</v>
      </c>
      <c r="C93" s="193" t="s">
        <v>307</v>
      </c>
      <c r="D93" s="108" t="s">
        <v>308</v>
      </c>
      <c r="E93" s="599" t="str">
        <f t="shared" si="9"/>
        <v>RolfWærnes</v>
      </c>
      <c r="F93" s="192">
        <f>YEAR(I$5)-_xlfn.XLOOKUP(E93,Deltakerliste!E$5:E$98,Deltakerliste!I$5:I$98)</f>
        <v>75</v>
      </c>
      <c r="G93" s="192">
        <f>_xlfn.XLOOKUP(E93,Deltakerliste!E$5:E$98,Deltakerliste!H$5:H$98)</f>
        <v>2</v>
      </c>
      <c r="H93" s="592">
        <f>VLOOKUP(F93,Deltakerliste!P$6:T$84,G93,FALSE)</f>
        <v>1.605</v>
      </c>
      <c r="I93" s="18"/>
      <c r="J93" s="132"/>
      <c r="K93" s="18"/>
      <c r="L93" s="791"/>
      <c r="M93" s="594"/>
      <c r="N93" s="792"/>
      <c r="O93" s="596"/>
    </row>
    <row r="94" spans="2:15" ht="21" thickBot="1" x14ac:dyDescent="0.3">
      <c r="B94" s="16">
        <f t="shared" si="8"/>
        <v>85</v>
      </c>
      <c r="C94" s="193" t="s">
        <v>166</v>
      </c>
      <c r="D94" s="108" t="s">
        <v>167</v>
      </c>
      <c r="E94" s="599" t="str">
        <f t="shared" si="9"/>
        <v>GunnarØsterbø</v>
      </c>
      <c r="F94" s="192">
        <f>YEAR(I$5)-_xlfn.XLOOKUP(E94,Deltakerliste!E$5:E$98,Deltakerliste!I$5:I$98)</f>
        <v>87</v>
      </c>
      <c r="G94" s="192">
        <f>_xlfn.XLOOKUP(E94,Deltakerliste!E$5:E$98,Deltakerliste!H$5:H$98)</f>
        <v>2</v>
      </c>
      <c r="H94" s="592">
        <f>VLOOKUP(F94,Deltakerliste!P$6:T$84,G94,FALSE)</f>
        <v>2.3929999999999998</v>
      </c>
      <c r="I94" s="18"/>
      <c r="J94" s="132"/>
      <c r="K94" s="18"/>
      <c r="L94" s="725"/>
      <c r="M94" s="717"/>
      <c r="N94" s="726"/>
      <c r="O94" s="719"/>
    </row>
    <row r="100" spans="4:11" ht="17" thickBot="1" x14ac:dyDescent="0.25"/>
    <row r="101" spans="4:11" ht="21" thickTop="1" thickBot="1" x14ac:dyDescent="0.3">
      <c r="D101" s="646" t="s">
        <v>288</v>
      </c>
      <c r="E101" s="647"/>
      <c r="F101" s="666"/>
      <c r="G101" s="666"/>
      <c r="H101" s="666"/>
      <c r="I101" s="648" t="s">
        <v>195</v>
      </c>
      <c r="J101" s="648" t="s">
        <v>196</v>
      </c>
      <c r="K101" s="649" t="s">
        <v>197</v>
      </c>
    </row>
    <row r="102" spans="4:11" ht="20" x14ac:dyDescent="0.25">
      <c r="D102" s="634" t="s">
        <v>172</v>
      </c>
      <c r="E102" s="320"/>
      <c r="F102" s="208"/>
      <c r="G102" s="208"/>
      <c r="H102" s="208"/>
      <c r="I102" s="635">
        <f>COUNT(I10:I96)+COUNTIF(I10:I96,"Brutt")+COUNTIF(I10:I96,"Disk")+COUNTIF(I10:I96,"(*)")</f>
        <v>20</v>
      </c>
      <c r="J102" s="635">
        <f>COUNT(J10:J96)+COUNTIF(J10:J96,"Brutt")+COUNTIF(J10:J96,"Disk")+COUNTIF(J10:J96,"(*)")</f>
        <v>13</v>
      </c>
      <c r="K102" s="636">
        <f>I102+J102</f>
        <v>33</v>
      </c>
    </row>
    <row r="103" spans="4:11" ht="19" x14ac:dyDescent="0.25">
      <c r="D103" s="637" t="s">
        <v>174</v>
      </c>
      <c r="E103" s="320"/>
      <c r="F103" s="208"/>
      <c r="G103" s="208"/>
      <c r="H103" s="208"/>
      <c r="I103" s="635">
        <f>COUNT(I10:I96)</f>
        <v>19</v>
      </c>
      <c r="J103" s="635">
        <f>COUNT(J10:J96)</f>
        <v>13</v>
      </c>
      <c r="K103" s="636">
        <f t="shared" ref="K103" si="10">I103+J103</f>
        <v>32</v>
      </c>
    </row>
    <row r="104" spans="4:11" ht="19" x14ac:dyDescent="0.25">
      <c r="D104" s="637" t="s">
        <v>173</v>
      </c>
      <c r="E104" s="320"/>
      <c r="F104" s="208"/>
      <c r="G104" s="208"/>
      <c r="H104" s="208"/>
      <c r="I104" s="208"/>
      <c r="J104" s="208"/>
      <c r="K104" s="636">
        <f>K102+COUNTIF(L10:L96,"Arr")+COUNTIF(L10:L96,"Løype")</f>
        <v>35</v>
      </c>
    </row>
    <row r="105" spans="4:11" ht="19" x14ac:dyDescent="0.25">
      <c r="D105" s="637" t="s">
        <v>341</v>
      </c>
      <c r="E105" s="320"/>
      <c r="F105" s="208"/>
      <c r="G105" s="208"/>
      <c r="H105" s="208"/>
      <c r="I105" s="208"/>
      <c r="J105" s="208"/>
      <c r="K105" s="638">
        <f>IF(SUM(L10:L96)=0," ",AVERAGEIF(M10:M96,"&gt;0",F10:F96))</f>
        <v>76.8</v>
      </c>
    </row>
    <row r="106" spans="4:11" ht="19" x14ac:dyDescent="0.25">
      <c r="D106" s="637" t="s">
        <v>296</v>
      </c>
      <c r="E106" s="320"/>
      <c r="F106" s="208"/>
      <c r="G106" s="208"/>
      <c r="H106" s="208"/>
      <c r="I106" s="208"/>
      <c r="J106" s="208"/>
      <c r="K106" s="638">
        <f>AVERAGE(I8:J8)</f>
        <v>2.6</v>
      </c>
    </row>
    <row r="107" spans="4:11" ht="19" x14ac:dyDescent="0.25">
      <c r="D107" s="637" t="s">
        <v>176</v>
      </c>
      <c r="E107" s="320"/>
      <c r="F107" s="208"/>
      <c r="G107" s="208"/>
      <c r="H107" s="208"/>
      <c r="I107" s="112">
        <f>I8*I103</f>
        <v>38</v>
      </c>
      <c r="J107" s="112">
        <f>J8*J103</f>
        <v>41.6</v>
      </c>
      <c r="K107" s="638">
        <f>I107+J107</f>
        <v>79.599999999999994</v>
      </c>
    </row>
    <row r="108" spans="4:11" ht="19" x14ac:dyDescent="0.25">
      <c r="D108" s="639" t="s">
        <v>286</v>
      </c>
      <c r="E108" s="320"/>
      <c r="F108" s="208"/>
      <c r="G108" s="208"/>
      <c r="H108" s="208"/>
      <c r="I108" s="103">
        <f>IF(SUM(I10:I96)=0," ",AVERAGE(I10:I96))</f>
        <v>2.1697733918128657E-2</v>
      </c>
      <c r="J108" s="103">
        <f>IF(SUM(J10:J96)=0," ",AVERAGE(J10:J96))</f>
        <v>2.9174679487179486E-2</v>
      </c>
      <c r="K108" s="640">
        <f>IF(SUM(I10:J96)=0," ",AVERAGE(I10:J96))</f>
        <v>2.4735243055555554E-2</v>
      </c>
    </row>
    <row r="109" spans="4:11" ht="20" thickBot="1" x14ac:dyDescent="0.3">
      <c r="D109" s="641" t="s">
        <v>287</v>
      </c>
      <c r="E109" s="642"/>
      <c r="F109" s="644"/>
      <c r="G109" s="644"/>
      <c r="H109" s="644"/>
      <c r="I109" s="643"/>
      <c r="J109" s="644"/>
      <c r="K109" s="645">
        <f>MIN(L10:L96)</f>
        <v>7.1867766203703694E-3</v>
      </c>
    </row>
    <row r="110" spans="4:11" ht="17" thickTop="1" x14ac:dyDescent="0.2"/>
  </sheetData>
  <autoFilter ref="C9:O94" xr:uid="{29DD0365-05B4-9D46-9FF4-A78501D9153D}">
    <sortState xmlns:xlrd2="http://schemas.microsoft.com/office/spreadsheetml/2017/richdata2" ref="C10:O94">
      <sortCondition ref="N9:N94"/>
    </sortState>
  </autoFilter>
  <mergeCells count="3">
    <mergeCell ref="W7:X7"/>
    <mergeCell ref="S8:U8"/>
    <mergeCell ref="W8:X8"/>
  </mergeCells>
  <pageMargins left="0.7" right="0.7" top="0.75" bottom="0.75" header="0.3" footer="0.3"/>
  <pageSetup paperSize="9" orientation="portrait" horizontalDpi="0" verticalDpi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043C1-834A-524D-A8B9-A163E2AAEE14}">
  <dimension ref="B1:AC110"/>
  <sheetViews>
    <sheetView topLeftCell="A4" workbookViewId="0">
      <selection activeCell="F11" sqref="F11"/>
    </sheetView>
  </sheetViews>
  <sheetFormatPr baseColWidth="10" defaultColWidth="10.83203125" defaultRowHeight="16" x14ac:dyDescent="0.2"/>
  <cols>
    <col min="3" max="3" width="14.5" customWidth="1"/>
    <col min="4" max="4" width="20.1640625" customWidth="1"/>
    <col min="5" max="5" width="20.1640625" hidden="1" customWidth="1"/>
    <col min="6" max="6" width="14.5" style="15" customWidth="1"/>
    <col min="7" max="7" width="14.5" style="15" hidden="1" customWidth="1"/>
    <col min="8" max="8" width="14" style="15" customWidth="1"/>
    <col min="9" max="10" width="19.1640625" style="15" customWidth="1"/>
    <col min="11" max="11" width="17.6640625" style="15" customWidth="1"/>
    <col min="12" max="12" width="10.83203125" style="15"/>
    <col min="14" max="14" width="10.83203125" style="15"/>
    <col min="18" max="18" width="12.5" customWidth="1"/>
    <col min="19" max="19" width="13.5" customWidth="1"/>
    <col min="22" max="22" width="1.83203125" customWidth="1"/>
    <col min="23" max="23" width="15.83203125" customWidth="1"/>
    <col min="24" max="24" width="11" customWidth="1"/>
  </cols>
  <sheetData>
    <row r="1" spans="2:29" ht="8" customHeight="1" x14ac:dyDescent="0.2"/>
    <row r="2" spans="2:29" ht="8" customHeight="1" x14ac:dyDescent="0.2"/>
    <row r="5" spans="2:29" ht="26" x14ac:dyDescent="0.3">
      <c r="B5" s="21" t="s">
        <v>327</v>
      </c>
      <c r="C5" s="245" t="s">
        <v>399</v>
      </c>
      <c r="F5" s="667"/>
      <c r="G5" s="667"/>
      <c r="H5" s="671" t="s">
        <v>189</v>
      </c>
      <c r="I5" s="670">
        <f>'Løp 18'!I5+7</f>
        <v>46063</v>
      </c>
    </row>
    <row r="6" spans="2:29" ht="17" thickBot="1" x14ac:dyDescent="0.25">
      <c r="B6" s="15"/>
    </row>
    <row r="7" spans="2:29" ht="59" customHeight="1" thickBot="1" x14ac:dyDescent="0.35">
      <c r="B7" s="12" t="s">
        <v>194</v>
      </c>
      <c r="C7" s="662" t="s">
        <v>57</v>
      </c>
      <c r="D7" s="391" t="s">
        <v>58</v>
      </c>
      <c r="E7" s="663"/>
      <c r="F7" s="663" t="s">
        <v>234</v>
      </c>
      <c r="G7" s="391" t="s">
        <v>280</v>
      </c>
      <c r="H7" s="391" t="s">
        <v>235</v>
      </c>
      <c r="I7" s="391" t="s">
        <v>302</v>
      </c>
      <c r="J7" s="391" t="s">
        <v>303</v>
      </c>
      <c r="K7" s="391" t="s">
        <v>192</v>
      </c>
      <c r="L7" s="194" t="s">
        <v>209</v>
      </c>
      <c r="M7" s="392" t="s">
        <v>55</v>
      </c>
      <c r="N7" s="393" t="s">
        <v>242</v>
      </c>
      <c r="O7" s="393" t="s">
        <v>240</v>
      </c>
      <c r="Q7" s="319"/>
      <c r="R7" s="319"/>
      <c r="S7" s="755" t="str">
        <f>B5</f>
        <v>Løp 19</v>
      </c>
      <c r="T7" s="754" t="str">
        <f>C5</f>
        <v>Rostenskogen</v>
      </c>
      <c r="U7" s="730"/>
      <c r="V7" s="730"/>
      <c r="W7" s="941"/>
      <c r="X7" s="941"/>
    </row>
    <row r="8" spans="2:29" ht="23" customHeight="1" thickTop="1" thickBot="1" x14ac:dyDescent="0.35">
      <c r="B8" s="22"/>
      <c r="C8" s="394"/>
      <c r="D8" s="395"/>
      <c r="E8" s="597"/>
      <c r="F8" s="668"/>
      <c r="G8" s="668"/>
      <c r="H8" s="664"/>
      <c r="I8" s="789">
        <v>1.8</v>
      </c>
      <c r="J8" s="789">
        <v>2.7</v>
      </c>
      <c r="K8" s="391"/>
      <c r="N8" s="720"/>
      <c r="O8" s="390"/>
      <c r="S8" s="942" t="s">
        <v>312</v>
      </c>
      <c r="T8" s="943"/>
      <c r="U8" s="944"/>
      <c r="V8" s="779"/>
      <c r="W8" s="945" t="s">
        <v>313</v>
      </c>
      <c r="X8" s="940"/>
      <c r="AB8" s="836" t="s">
        <v>361</v>
      </c>
      <c r="AC8" s="827"/>
    </row>
    <row r="9" spans="2:29" ht="21" thickBot="1" x14ac:dyDescent="0.3">
      <c r="B9" s="22"/>
      <c r="C9" s="109"/>
      <c r="D9" s="105"/>
      <c r="E9" s="598"/>
      <c r="F9" s="669"/>
      <c r="G9" s="669"/>
      <c r="H9" s="665"/>
      <c r="I9" s="12"/>
      <c r="J9" s="12"/>
      <c r="K9" s="12"/>
      <c r="N9" s="722"/>
      <c r="O9" s="200"/>
      <c r="Q9" s="110"/>
      <c r="S9" s="731"/>
      <c r="T9" s="727" t="s">
        <v>311</v>
      </c>
      <c r="U9" s="750" t="s">
        <v>55</v>
      </c>
      <c r="V9" s="780"/>
      <c r="W9" s="774"/>
      <c r="X9" s="732" t="s">
        <v>55</v>
      </c>
      <c r="AB9" s="834" t="s">
        <v>234</v>
      </c>
      <c r="AC9" s="835" t="s">
        <v>362</v>
      </c>
    </row>
    <row r="10" spans="2:29" ht="21" thickBot="1" x14ac:dyDescent="0.3">
      <c r="B10" s="16">
        <f t="shared" ref="B10:B41" si="0">B9+1</f>
        <v>1</v>
      </c>
      <c r="C10" s="106" t="s">
        <v>116</v>
      </c>
      <c r="D10" s="107" t="s">
        <v>165</v>
      </c>
      <c r="E10" s="599" t="str">
        <f t="shared" ref="E10:E41" si="1">_xlfn.CONCAT(C10:D10)</f>
        <v>AndersWaage</v>
      </c>
      <c r="F10" s="192">
        <f>YEAR(I$5)-_xlfn.XLOOKUP(E10,Deltakerliste!E$5:E$98,Deltakerliste!I$5:I$98)</f>
        <v>78</v>
      </c>
      <c r="G10" s="192">
        <f>_xlfn.XLOOKUP(E10,Deltakerliste!E$5:E$98,Deltakerliste!H$5:H$98)</f>
        <v>2</v>
      </c>
      <c r="H10" s="592">
        <f>VLOOKUP(F10,Deltakerliste!P$6:T$84,G10,FALSE)</f>
        <v>1.7550000000000001</v>
      </c>
      <c r="I10" s="18"/>
      <c r="J10" s="132">
        <v>2.298611111111111E-2</v>
      </c>
      <c r="K10" s="18"/>
      <c r="L10" s="600">
        <f t="shared" ref="L10:L48" si="2">IF(OR(I10="Arr",J10="Arr",K10="Arr"),"Arr",IF(OR(I10="Brutt",J10="Brutt",K10="Brutt"),"Brutt",IF(OR(I10="Disk",J10="Disk",K10="Disk"),"Disk",IF(OR(I10="Løype",J10="Løype",K10="Løype"),"Løype",IF(I10&gt;0,I10/I$8,J10/J$8)))))</f>
        <v>8.5133744855967076E-3</v>
      </c>
      <c r="M10" s="594">
        <f>IF(L10="Løype",Poengsammendrag!$F$2,IF(L10="Arr",Poengsammendrag!$F$3,IF(L10="Brutt",50,IF(L10="Disk",50,ROUND(MAXA(100*(MIN(L$10:L$92)/L10),50),0)))))</f>
        <v>96</v>
      </c>
      <c r="N10" s="724">
        <f t="shared" ref="N10:N48" si="3">IF(L10="Arr","Arr",IF(L10="Brutt","Brutt",IF(L10="Disk","Disk",IF(L10="Løype","Løype",L10/H10))))</f>
        <v>4.8509256328186368E-3</v>
      </c>
      <c r="O10" s="596">
        <f>IF(N10="Løype",Poengsammendrag!$F$2,IF(N10="Arr",Poengsammendrag!$F$3,IF(N10="Brutt",50,IF(N10="Disk",50,ROUND(MAXA(100*(MIN(N$10:N$92)/N10),50),0)))))</f>
        <v>100</v>
      </c>
      <c r="Q10" s="672"/>
      <c r="R10" s="672"/>
      <c r="S10" s="802" t="s">
        <v>136</v>
      </c>
      <c r="T10" s="734">
        <v>8.2004458161865565E-3</v>
      </c>
      <c r="U10" s="751">
        <v>100</v>
      </c>
      <c r="V10" s="781"/>
      <c r="W10" s="775" t="s">
        <v>314</v>
      </c>
      <c r="X10" s="739">
        <v>100</v>
      </c>
      <c r="AB10" s="832">
        <v>55</v>
      </c>
      <c r="AC10" s="833">
        <f t="shared" ref="AC10:AC50" si="4">COUNTIFS(F$10:F$96,AB10,M$10:M$96,"&gt;0")</f>
        <v>0</v>
      </c>
    </row>
    <row r="11" spans="2:29" ht="21" customHeight="1" thickBot="1" x14ac:dyDescent="0.3">
      <c r="B11" s="16">
        <f t="shared" si="0"/>
        <v>2</v>
      </c>
      <c r="C11" s="106" t="s">
        <v>138</v>
      </c>
      <c r="D11" s="107" t="s">
        <v>137</v>
      </c>
      <c r="E11" s="599" t="str">
        <f t="shared" si="1"/>
        <v>GunnhildOftedal</v>
      </c>
      <c r="F11" s="192">
        <f>YEAR(I$5)-_xlfn.XLOOKUP(E11,Deltakerliste!E$5:E$98,Deltakerliste!I$5:I$98)</f>
        <v>73</v>
      </c>
      <c r="G11" s="192">
        <f>_xlfn.XLOOKUP(E11,Deltakerliste!E$5:E$98,Deltakerliste!H$5:H$98)</f>
        <v>4</v>
      </c>
      <c r="H11" s="592">
        <f>VLOOKUP(F11,Deltakerliste!P$6:T$84,G11,FALSE)</f>
        <v>2.0798000000000014</v>
      </c>
      <c r="I11" s="13"/>
      <c r="J11" s="13">
        <v>2.7523148148148147E-2</v>
      </c>
      <c r="K11" s="13"/>
      <c r="L11" s="600">
        <f t="shared" si="2"/>
        <v>1.0193758573388202E-2</v>
      </c>
      <c r="M11" s="594">
        <f>IF(L11="Løype",Poengsammendrag!$F$2,IF(L11="Arr",Poengsammendrag!$F$3,IF(L11="Brutt",50,IF(L11="Disk",50,ROUND(MAXA(100*(MIN(L$10:L$92)/L11),50),0)))))</f>
        <v>80</v>
      </c>
      <c r="N11" s="724">
        <f t="shared" si="3"/>
        <v>4.9013167484316736E-3</v>
      </c>
      <c r="O11" s="596">
        <f>IF(N11="Løype",Poengsammendrag!$F$2,IF(N11="Arr",Poengsammendrag!$F$3,IF(N11="Brutt",50,IF(N11="Disk",50,ROUND(MAXA(100*(MIN(N$10:N$92)/N11),50),0)))))</f>
        <v>99</v>
      </c>
      <c r="Q11" s="672"/>
      <c r="R11" s="672"/>
      <c r="S11" s="803" t="s">
        <v>385</v>
      </c>
      <c r="T11" s="736">
        <v>8.2347393689986281E-3</v>
      </c>
      <c r="U11" s="752">
        <v>100</v>
      </c>
      <c r="V11" s="781"/>
      <c r="W11" s="776" t="s">
        <v>138</v>
      </c>
      <c r="X11" s="740">
        <v>99</v>
      </c>
      <c r="AB11" s="828">
        <f>AB10+1</f>
        <v>56</v>
      </c>
      <c r="AC11" s="829">
        <f t="shared" si="4"/>
        <v>0</v>
      </c>
    </row>
    <row r="12" spans="2:29" ht="21" customHeight="1" thickBot="1" x14ac:dyDescent="0.3">
      <c r="B12" s="16">
        <f t="shared" si="0"/>
        <v>3</v>
      </c>
      <c r="C12" s="106" t="s">
        <v>136</v>
      </c>
      <c r="D12" s="107" t="s">
        <v>137</v>
      </c>
      <c r="E12" s="599" t="str">
        <f t="shared" si="1"/>
        <v>HaraldOftedal</v>
      </c>
      <c r="F12" s="192">
        <f>YEAR(I$5)-_xlfn.XLOOKUP(E12,Deltakerliste!E$5:E$98,Deltakerliste!I$5:I$98)</f>
        <v>74</v>
      </c>
      <c r="G12" s="192">
        <f>_xlfn.XLOOKUP(E12,Deltakerliste!E$5:E$98,Deltakerliste!H$5:H$98)</f>
        <v>2</v>
      </c>
      <c r="H12" s="592">
        <f>VLOOKUP(F12,Deltakerliste!P$6:T$84,G12,FALSE)</f>
        <v>1.569</v>
      </c>
      <c r="I12" s="132"/>
      <c r="J12" s="132">
        <v>2.2141203703703705E-2</v>
      </c>
      <c r="K12" s="134"/>
      <c r="L12" s="600">
        <f t="shared" si="2"/>
        <v>8.2004458161865565E-3</v>
      </c>
      <c r="M12" s="594">
        <f>IF(L12="Løype",Poengsammendrag!$F$2,IF(L12="Arr",Poengsammendrag!$F$3,IF(L12="Brutt",50,IF(L12="Disk",50,ROUND(MAXA(100*(MIN(L$10:L$92)/L12),50),0)))))</f>
        <v>100</v>
      </c>
      <c r="N12" s="724">
        <f t="shared" si="3"/>
        <v>5.2265429038792586E-3</v>
      </c>
      <c r="O12" s="596">
        <f>IF(N12="Løype",Poengsammendrag!$F$2,IF(N12="Arr",Poengsammendrag!$F$3,IF(N12="Brutt",50,IF(N12="Disk",50,ROUND(MAXA(100*(MIN(N$10:N$92)/N12),50),0)))))</f>
        <v>93</v>
      </c>
      <c r="Q12" s="672"/>
      <c r="R12" s="672"/>
      <c r="S12" s="803" t="s">
        <v>386</v>
      </c>
      <c r="T12" s="736">
        <v>8.2861796982167356E-3</v>
      </c>
      <c r="U12" s="752">
        <v>99</v>
      </c>
      <c r="V12" s="781"/>
      <c r="W12" s="776" t="s">
        <v>136</v>
      </c>
      <c r="X12" s="740">
        <v>93</v>
      </c>
      <c r="AB12" s="828">
        <f t="shared" ref="AB12:AB50" si="5">AB11+1</f>
        <v>57</v>
      </c>
      <c r="AC12" s="829">
        <f t="shared" si="4"/>
        <v>0</v>
      </c>
    </row>
    <row r="13" spans="2:29" ht="21" customHeight="1" thickBot="1" x14ac:dyDescent="0.3">
      <c r="B13" s="16">
        <f t="shared" si="0"/>
        <v>4</v>
      </c>
      <c r="C13" s="106" t="s">
        <v>159</v>
      </c>
      <c r="D13" s="107" t="s">
        <v>160</v>
      </c>
      <c r="E13" s="599" t="str">
        <f t="shared" si="1"/>
        <v>EigilSørli</v>
      </c>
      <c r="F13" s="192">
        <f>YEAR(I$5)-_xlfn.XLOOKUP(E13,Deltakerliste!E$5:E$98,Deltakerliste!I$5:I$98)</f>
        <v>86</v>
      </c>
      <c r="G13" s="192">
        <f>_xlfn.XLOOKUP(E13,Deltakerliste!E$5:E$98,Deltakerliste!H$5:H$98)</f>
        <v>2</v>
      </c>
      <c r="H13" s="592">
        <f>VLOOKUP(F13,Deltakerliste!P$6:T$84,G13,FALSE)</f>
        <v>2.3089999999999997</v>
      </c>
      <c r="I13" s="132">
        <v>2.2152777777777778E-2</v>
      </c>
      <c r="J13" s="18"/>
      <c r="K13" s="18"/>
      <c r="L13" s="600">
        <f t="shared" si="2"/>
        <v>1.2307098765432099E-2</v>
      </c>
      <c r="M13" s="594">
        <f>IF(L13="Løype",Poengsammendrag!$F$2,IF(L13="Arr",Poengsammendrag!$F$3,IF(L13="Brutt",50,IF(L13="Disk",50,ROUND(MAXA(100*(MIN(L$10:L$92)/L13),50),0)))))</f>
        <v>67</v>
      </c>
      <c r="N13" s="724">
        <f t="shared" si="3"/>
        <v>5.33005576675275E-3</v>
      </c>
      <c r="O13" s="596">
        <f>IF(N13="Løype",Poengsammendrag!$F$2,IF(N13="Arr",Poengsammendrag!$F$3,IF(N13="Brutt",50,IF(N13="Disk",50,ROUND(MAXA(100*(MIN(N$10:N$92)/N13),50),0)))))</f>
        <v>91</v>
      </c>
      <c r="Q13" s="672"/>
      <c r="R13" s="672"/>
      <c r="S13" s="803" t="s">
        <v>314</v>
      </c>
      <c r="T13" s="736">
        <v>8.5133744855967076E-3</v>
      </c>
      <c r="U13" s="752">
        <v>96</v>
      </c>
      <c r="V13" s="781"/>
      <c r="W13" s="776" t="s">
        <v>357</v>
      </c>
      <c r="X13" s="740">
        <v>91</v>
      </c>
      <c r="AB13" s="828">
        <f t="shared" si="5"/>
        <v>58</v>
      </c>
      <c r="AC13" s="829">
        <f t="shared" si="4"/>
        <v>0</v>
      </c>
    </row>
    <row r="14" spans="2:29" ht="21" customHeight="1" thickBot="1" x14ac:dyDescent="0.3">
      <c r="B14" s="16">
        <f t="shared" si="0"/>
        <v>5</v>
      </c>
      <c r="C14" s="106" t="s">
        <v>307</v>
      </c>
      <c r="D14" s="107" t="s">
        <v>308</v>
      </c>
      <c r="E14" s="599" t="str">
        <f t="shared" si="1"/>
        <v>RolfWærnes</v>
      </c>
      <c r="F14" s="192">
        <f>YEAR(I$5)-_xlfn.XLOOKUP(E14,Deltakerliste!E$5:E$98,Deltakerliste!I$5:I$98)</f>
        <v>75</v>
      </c>
      <c r="G14" s="192">
        <f>_xlfn.XLOOKUP(E14,Deltakerliste!E$5:E$98,Deltakerliste!H$5:H$98)</f>
        <v>2</v>
      </c>
      <c r="H14" s="592">
        <f>VLOOKUP(F14,Deltakerliste!P$6:T$84,G14,FALSE)</f>
        <v>1.605</v>
      </c>
      <c r="I14" s="18"/>
      <c r="J14" s="132">
        <v>2.3287037037037037E-2</v>
      </c>
      <c r="K14" s="18"/>
      <c r="L14" s="600">
        <f t="shared" si="2"/>
        <v>8.6248285322359387E-3</v>
      </c>
      <c r="M14" s="594">
        <f>IF(L14="Løype",Poengsammendrag!$F$2,IF(L14="Arr",Poengsammendrag!$F$3,IF(L14="Brutt",50,IF(L14="Disk",50,ROUND(MAXA(100*(MIN(L$10:L$92)/L14),50),0)))))</f>
        <v>95</v>
      </c>
      <c r="N14" s="724">
        <f t="shared" si="3"/>
        <v>5.3737249422030767E-3</v>
      </c>
      <c r="O14" s="596">
        <f>IF(N14="Løype",Poengsammendrag!$F$2,IF(N14="Arr",Poengsammendrag!$F$3,IF(N14="Brutt",50,IF(N14="Disk",50,ROUND(MAXA(100*(MIN(N$10:N$92)/N14),50),0)))))</f>
        <v>90</v>
      </c>
      <c r="Q14" s="672"/>
      <c r="R14" s="672"/>
      <c r="S14" s="803" t="s">
        <v>134</v>
      </c>
      <c r="T14" s="736">
        <v>8.5519547325102873E-3</v>
      </c>
      <c r="U14" s="752">
        <v>96</v>
      </c>
      <c r="V14" s="781"/>
      <c r="W14" s="776" t="s">
        <v>307</v>
      </c>
      <c r="X14" s="740">
        <v>90</v>
      </c>
      <c r="AB14" s="828">
        <f t="shared" si="5"/>
        <v>59</v>
      </c>
      <c r="AC14" s="829">
        <f t="shared" si="4"/>
        <v>0</v>
      </c>
    </row>
    <row r="15" spans="2:29" ht="21" customHeight="1" thickBot="1" x14ac:dyDescent="0.3">
      <c r="B15" s="16">
        <f t="shared" si="0"/>
        <v>6</v>
      </c>
      <c r="C15" s="106" t="s">
        <v>126</v>
      </c>
      <c r="D15" s="107" t="s">
        <v>127</v>
      </c>
      <c r="E15" s="599" t="str">
        <f t="shared" si="1"/>
        <v>ArneMikkelsen</v>
      </c>
      <c r="F15" s="192">
        <f>YEAR(I$5)-_xlfn.XLOOKUP(E15,Deltakerliste!E$5:E$98,Deltakerliste!I$5:I$98)</f>
        <v>73</v>
      </c>
      <c r="G15" s="192">
        <f>_xlfn.XLOOKUP(E15,Deltakerliste!E$5:E$98,Deltakerliste!H$5:H$98)</f>
        <v>2</v>
      </c>
      <c r="H15" s="592">
        <f>VLOOKUP(F15,Deltakerliste!P$6:T$84,G15,FALSE)</f>
        <v>1.5329999999999999</v>
      </c>
      <c r="I15" s="13"/>
      <c r="J15" s="13">
        <v>2.2372685185185186E-2</v>
      </c>
      <c r="K15" s="13"/>
      <c r="L15" s="600">
        <f t="shared" si="2"/>
        <v>8.2861796982167356E-3</v>
      </c>
      <c r="M15" s="594">
        <f>IF(L15="Løype",Poengsammendrag!$F$2,IF(L15="Arr",Poengsammendrag!$F$3,IF(L15="Brutt",50,IF(L15="Disk",50,ROUND(MAXA(100*(MIN(L$10:L$92)/L15),50),0)))))</f>
        <v>99</v>
      </c>
      <c r="N15" s="724">
        <f t="shared" si="3"/>
        <v>5.4052052825940876E-3</v>
      </c>
      <c r="O15" s="596">
        <f>IF(N15="Løype",Poengsammendrag!$F$2,IF(N15="Arr",Poengsammendrag!$F$3,IF(N15="Brutt",50,IF(N15="Disk",50,ROUND(MAXA(100*(MIN(N$10:N$92)/N15),50),0)))))</f>
        <v>90</v>
      </c>
      <c r="Q15" s="672"/>
      <c r="R15" s="672"/>
      <c r="S15" s="803" t="s">
        <v>307</v>
      </c>
      <c r="T15" s="736">
        <v>8.6248285322359387E-3</v>
      </c>
      <c r="U15" s="752">
        <v>95</v>
      </c>
      <c r="V15" s="781"/>
      <c r="W15" s="776" t="s">
        <v>386</v>
      </c>
      <c r="X15" s="740">
        <v>90</v>
      </c>
      <c r="AB15" s="828">
        <f t="shared" si="5"/>
        <v>60</v>
      </c>
      <c r="AC15" s="829">
        <f t="shared" si="4"/>
        <v>0</v>
      </c>
    </row>
    <row r="16" spans="2:29" ht="21" customHeight="1" thickBot="1" x14ac:dyDescent="0.3">
      <c r="B16" s="16">
        <f t="shared" si="0"/>
        <v>7</v>
      </c>
      <c r="C16" s="106" t="s">
        <v>64</v>
      </c>
      <c r="D16" s="107" t="s">
        <v>65</v>
      </c>
      <c r="E16" s="599" t="str">
        <f t="shared" si="1"/>
        <v>BjørnBerger</v>
      </c>
      <c r="F16" s="192">
        <f>YEAR(I$5)-_xlfn.XLOOKUP(E16,Deltakerliste!E$5:E$98,Deltakerliste!I$5:I$98)</f>
        <v>75</v>
      </c>
      <c r="G16" s="192">
        <f>_xlfn.XLOOKUP(E16,Deltakerliste!E$5:E$98,Deltakerliste!H$5:H$98)</f>
        <v>2</v>
      </c>
      <c r="H16" s="592">
        <f>VLOOKUP(F16,Deltakerliste!P$6:T$84,G16,FALSE)</f>
        <v>1.605</v>
      </c>
      <c r="I16" s="13"/>
      <c r="J16" s="13">
        <v>2.4131944444444445E-2</v>
      </c>
      <c r="K16" s="19"/>
      <c r="L16" s="600">
        <f t="shared" si="2"/>
        <v>8.9377572016460897E-3</v>
      </c>
      <c r="M16" s="594">
        <f>IF(L16="Løype",Poengsammendrag!$F$2,IF(L16="Arr",Poengsammendrag!$F$3,IF(L16="Brutt",50,IF(L16="Disk",50,ROUND(MAXA(100*(MIN(L$10:L$92)/L16),50),0)))))</f>
        <v>92</v>
      </c>
      <c r="N16" s="724">
        <f t="shared" si="3"/>
        <v>5.5686960757919566E-3</v>
      </c>
      <c r="O16" s="596">
        <f>IF(N16="Løype",Poengsammendrag!$F$2,IF(N16="Arr",Poengsammendrag!$F$3,IF(N16="Brutt",50,IF(N16="Disk",50,ROUND(MAXA(100*(MIN(N$10:N$92)/N16),50),0)))))</f>
        <v>87</v>
      </c>
      <c r="Q16" s="672"/>
      <c r="R16" s="672"/>
      <c r="S16" s="803" t="s">
        <v>222</v>
      </c>
      <c r="T16" s="736">
        <v>8.6634087791495184E-3</v>
      </c>
      <c r="U16" s="752">
        <v>95</v>
      </c>
      <c r="V16" s="781"/>
      <c r="W16" s="776" t="s">
        <v>380</v>
      </c>
      <c r="X16" s="740">
        <v>87</v>
      </c>
      <c r="AB16" s="828">
        <f t="shared" si="5"/>
        <v>61</v>
      </c>
      <c r="AC16" s="829">
        <f t="shared" si="4"/>
        <v>1</v>
      </c>
    </row>
    <row r="17" spans="2:29" ht="21" customHeight="1" thickBot="1" x14ac:dyDescent="0.3">
      <c r="B17" s="16">
        <f t="shared" si="0"/>
        <v>8</v>
      </c>
      <c r="C17" s="106" t="s">
        <v>88</v>
      </c>
      <c r="D17" s="107" t="s">
        <v>89</v>
      </c>
      <c r="E17" s="599" t="str">
        <f t="shared" si="1"/>
        <v>EdgarFuruholt</v>
      </c>
      <c r="F17" s="192">
        <f>YEAR(I$5)-_xlfn.XLOOKUP(E17,Deltakerliste!E$5:E$98,Deltakerliste!I$5:I$98)</f>
        <v>79</v>
      </c>
      <c r="G17" s="192">
        <f>_xlfn.XLOOKUP(E17,Deltakerliste!E$5:E$98,Deltakerliste!H$5:H$98)</f>
        <v>2</v>
      </c>
      <c r="H17" s="592">
        <f>VLOOKUP(F17,Deltakerliste!P$6:T$84,G17,FALSE)</f>
        <v>1.8050000000000002</v>
      </c>
      <c r="I17" s="18"/>
      <c r="J17" s="132">
        <v>2.7291666666666665E-2</v>
      </c>
      <c r="K17" s="18"/>
      <c r="L17" s="600">
        <f t="shared" si="2"/>
        <v>1.0108024691358023E-2</v>
      </c>
      <c r="M17" s="594">
        <f>IF(L17="Løype",Poengsammendrag!$F$2,IF(L17="Arr",Poengsammendrag!$F$3,IF(L17="Brutt",50,IF(L17="Disk",50,ROUND(MAXA(100*(MIN(L$10:L$92)/L17),50),0)))))</f>
        <v>81</v>
      </c>
      <c r="N17" s="724">
        <f t="shared" si="3"/>
        <v>5.6000136794227273E-3</v>
      </c>
      <c r="O17" s="596">
        <f>IF(N17="Løype",Poengsammendrag!$F$2,IF(N17="Arr",Poengsammendrag!$F$3,IF(N17="Brutt",50,IF(N17="Disk",50,ROUND(MAXA(100*(MIN(N$10:N$92)/N17),50),0)))))</f>
        <v>87</v>
      </c>
      <c r="Q17" s="672"/>
      <c r="R17" s="672"/>
      <c r="S17" s="803" t="s">
        <v>380</v>
      </c>
      <c r="T17" s="736">
        <v>8.9377572016460897E-3</v>
      </c>
      <c r="U17" s="752">
        <v>92</v>
      </c>
      <c r="V17" s="781"/>
      <c r="W17" s="776" t="s">
        <v>88</v>
      </c>
      <c r="X17" s="740">
        <v>87</v>
      </c>
      <c r="AB17" s="828">
        <f t="shared" si="5"/>
        <v>62</v>
      </c>
      <c r="AC17" s="829">
        <f t="shared" si="4"/>
        <v>0</v>
      </c>
    </row>
    <row r="18" spans="2:29" ht="21" customHeight="1" thickBot="1" x14ac:dyDescent="0.3">
      <c r="B18" s="16">
        <f t="shared" si="0"/>
        <v>9</v>
      </c>
      <c r="C18" s="106" t="s">
        <v>106</v>
      </c>
      <c r="D18" s="107" t="s">
        <v>107</v>
      </c>
      <c r="E18" s="599" t="str">
        <f t="shared" si="1"/>
        <v>Jon ArneKlemetsaune</v>
      </c>
      <c r="F18" s="192">
        <f>YEAR(I$5)-_xlfn.XLOOKUP(E18,Deltakerliste!E$5:E$98,Deltakerliste!I$5:I$98)</f>
        <v>77</v>
      </c>
      <c r="G18" s="192">
        <f>_xlfn.XLOOKUP(E18,Deltakerliste!E$5:E$98,Deltakerliste!H$5:H$98)</f>
        <v>2</v>
      </c>
      <c r="H18" s="592">
        <f>VLOOKUP(F18,Deltakerliste!P$6:T$84,G18,FALSE)</f>
        <v>1.7050000000000001</v>
      </c>
      <c r="I18" s="86"/>
      <c r="J18" s="86">
        <v>2.6157407407407407E-2</v>
      </c>
      <c r="K18" s="17"/>
      <c r="L18" s="600">
        <f t="shared" si="2"/>
        <v>9.6879286694101507E-3</v>
      </c>
      <c r="M18" s="594">
        <f>IF(L18="Løype",Poengsammendrag!$F$2,IF(L18="Arr",Poengsammendrag!$F$3,IF(L18="Brutt",50,IF(L18="Disk",50,ROUND(MAXA(100*(MIN(L$10:L$92)/L18),50),0)))))</f>
        <v>85</v>
      </c>
      <c r="N18" s="724">
        <f t="shared" si="3"/>
        <v>5.6820696008270674E-3</v>
      </c>
      <c r="O18" s="596">
        <f>IF(N18="Løype",Poengsammendrag!$F$2,IF(N18="Arr",Poengsammendrag!$F$3,IF(N18="Brutt",50,IF(N18="Disk",50,ROUND(MAXA(100*(MIN(N$10:N$92)/N18),50),0)))))</f>
        <v>85</v>
      </c>
      <c r="Q18" s="672"/>
      <c r="R18" s="672"/>
      <c r="S18" s="803" t="s">
        <v>106</v>
      </c>
      <c r="T18" s="736">
        <v>9.6879286694101507E-3</v>
      </c>
      <c r="U18" s="752">
        <v>85</v>
      </c>
      <c r="V18" s="781"/>
      <c r="W18" s="776" t="s">
        <v>106</v>
      </c>
      <c r="X18" s="740">
        <v>85</v>
      </c>
      <c r="AB18" s="828">
        <f t="shared" si="5"/>
        <v>63</v>
      </c>
      <c r="AC18" s="829">
        <f t="shared" si="4"/>
        <v>0</v>
      </c>
    </row>
    <row r="19" spans="2:29" ht="21" thickBot="1" x14ac:dyDescent="0.3">
      <c r="B19" s="16">
        <f t="shared" si="0"/>
        <v>10</v>
      </c>
      <c r="C19" s="106" t="s">
        <v>149</v>
      </c>
      <c r="D19" s="107" t="s">
        <v>150</v>
      </c>
      <c r="E19" s="599" t="str">
        <f t="shared" si="1"/>
        <v>BenteSkorge</v>
      </c>
      <c r="F19" s="192">
        <f>YEAR(I$5)-_xlfn.XLOOKUP(E19,Deltakerliste!E$5:E$98,Deltakerliste!I$5:I$98)</f>
        <v>67</v>
      </c>
      <c r="G19" s="192">
        <f>_xlfn.XLOOKUP(E19,Deltakerliste!E$5:E$98,Deltakerliste!H$5:H$98)</f>
        <v>4</v>
      </c>
      <c r="H19" s="592">
        <f>VLOOKUP(F19,Deltakerliste!P$6:T$84,G19,FALSE)</f>
        <v>1.8422000000000009</v>
      </c>
      <c r="I19" s="132"/>
      <c r="J19" s="132">
        <v>2.9236111111111112E-2</v>
      </c>
      <c r="K19" s="18"/>
      <c r="L19" s="600">
        <f t="shared" si="2"/>
        <v>1.0828189300411522E-2</v>
      </c>
      <c r="M19" s="594">
        <f>IF(L19="Løype",Poengsammendrag!$F$2,IF(L19="Arr",Poengsammendrag!$F$3,IF(L19="Brutt",50,IF(L19="Disk",50,ROUND(MAXA(100*(MIN(L$10:L$92)/L19),50),0)))))</f>
        <v>76</v>
      </c>
      <c r="N19" s="724">
        <f t="shared" si="3"/>
        <v>5.8778576161174229E-3</v>
      </c>
      <c r="O19" s="596">
        <f>IF(N19="Løype",Poengsammendrag!$F$2,IF(N19="Arr",Poengsammendrag!$F$3,IF(N19="Brutt",50,IF(N19="Disk",50,ROUND(MAXA(100*(MIN(N$10:N$92)/N19),50),0)))))</f>
        <v>83</v>
      </c>
      <c r="Q19" s="672"/>
      <c r="R19" s="672"/>
      <c r="S19" s="803" t="s">
        <v>346</v>
      </c>
      <c r="T19" s="736">
        <v>9.8808299039780511E-3</v>
      </c>
      <c r="U19" s="752">
        <v>83</v>
      </c>
      <c r="V19" s="781"/>
      <c r="W19" s="776" t="s">
        <v>149</v>
      </c>
      <c r="X19" s="740">
        <v>83</v>
      </c>
      <c r="AB19" s="828">
        <f t="shared" si="5"/>
        <v>64</v>
      </c>
      <c r="AC19" s="829">
        <f t="shared" si="4"/>
        <v>0</v>
      </c>
    </row>
    <row r="20" spans="2:29" ht="21" thickBot="1" x14ac:dyDescent="0.3">
      <c r="B20" s="16">
        <f t="shared" si="0"/>
        <v>11</v>
      </c>
      <c r="C20" s="106" t="s">
        <v>134</v>
      </c>
      <c r="D20" s="107" t="s">
        <v>135</v>
      </c>
      <c r="E20" s="599" t="str">
        <f t="shared" si="1"/>
        <v>IngeNørstebø</v>
      </c>
      <c r="F20" s="192">
        <f>YEAR(I$5)-_xlfn.XLOOKUP(E20,Deltakerliste!E$5:E$98,Deltakerliste!I$5:I$98)</f>
        <v>70</v>
      </c>
      <c r="G20" s="192">
        <f>_xlfn.XLOOKUP(E20,Deltakerliste!E$5:E$98,Deltakerliste!H$5:H$98)</f>
        <v>2</v>
      </c>
      <c r="H20" s="592">
        <f>VLOOKUP(F20,Deltakerliste!P$6:T$84,G20,FALSE)</f>
        <v>1.4249999999999998</v>
      </c>
      <c r="I20" s="13"/>
      <c r="J20" s="13">
        <v>2.3090277777777779E-2</v>
      </c>
      <c r="K20" s="13"/>
      <c r="L20" s="600">
        <f t="shared" si="2"/>
        <v>8.5519547325102873E-3</v>
      </c>
      <c r="M20" s="594">
        <f>IF(L20="Løype",Poengsammendrag!$F$2,IF(L20="Arr",Poengsammendrag!$F$3,IF(L20="Brutt",50,IF(L20="Disk",50,ROUND(MAXA(100*(MIN(L$10:L$92)/L20),50),0)))))</f>
        <v>96</v>
      </c>
      <c r="N20" s="724">
        <f t="shared" si="3"/>
        <v>6.0013717421124827E-3</v>
      </c>
      <c r="O20" s="596">
        <f>IF(N20="Løype",Poengsammendrag!$F$2,IF(N20="Arr",Poengsammendrag!$F$3,IF(N20="Brutt",50,IF(N20="Disk",50,ROUND(MAXA(100*(MIN(N$10:N$92)/N20),50),0)))))</f>
        <v>81</v>
      </c>
      <c r="Q20" s="672"/>
      <c r="R20" s="672"/>
      <c r="S20" s="803" t="s">
        <v>88</v>
      </c>
      <c r="T20" s="736">
        <v>1.0108024691358023E-2</v>
      </c>
      <c r="U20" s="752">
        <v>81</v>
      </c>
      <c r="V20" s="781"/>
      <c r="W20" s="776" t="s">
        <v>134</v>
      </c>
      <c r="X20" s="740">
        <v>81</v>
      </c>
      <c r="AB20" s="828">
        <f t="shared" si="5"/>
        <v>65</v>
      </c>
      <c r="AC20" s="829">
        <f t="shared" si="4"/>
        <v>0</v>
      </c>
    </row>
    <row r="21" spans="2:29" ht="21" customHeight="1" thickBot="1" x14ac:dyDescent="0.3">
      <c r="B21" s="16">
        <f t="shared" si="0"/>
        <v>12</v>
      </c>
      <c r="C21" s="106" t="s">
        <v>170</v>
      </c>
      <c r="D21" s="107" t="s">
        <v>171</v>
      </c>
      <c r="E21" s="599" t="str">
        <f t="shared" si="1"/>
        <v>ØisteinÅsmul</v>
      </c>
      <c r="F21" s="192">
        <f>YEAR(I$5)-_xlfn.XLOOKUP(E21,Deltakerliste!E$5:E$98,Deltakerliste!I$5:I$98)</f>
        <v>81</v>
      </c>
      <c r="G21" s="192">
        <f>_xlfn.XLOOKUP(E21,Deltakerliste!E$5:E$98,Deltakerliste!H$5:H$98)</f>
        <v>2</v>
      </c>
      <c r="H21" s="592">
        <f>VLOOKUP(F21,Deltakerliste!P$6:T$84,G21,FALSE)</f>
        <v>1.9290000000000003</v>
      </c>
      <c r="I21" s="132">
        <v>2.1099537037037038E-2</v>
      </c>
      <c r="J21" s="132"/>
      <c r="K21" s="18"/>
      <c r="L21" s="600">
        <f t="shared" si="2"/>
        <v>1.1721965020576132E-2</v>
      </c>
      <c r="M21" s="594">
        <f>IF(L21="Løype",Poengsammendrag!$F$2,IF(L21="Arr",Poengsammendrag!$F$3,IF(L21="Brutt",50,IF(L21="Disk",50,ROUND(MAXA(100*(MIN(L$10:L$92)/L21),50),0)))))</f>
        <v>70</v>
      </c>
      <c r="N21" s="724">
        <f t="shared" si="3"/>
        <v>6.0767055575822347E-3</v>
      </c>
      <c r="O21" s="596">
        <f>IF(N21="Løype",Poengsammendrag!$F$2,IF(N21="Arr",Poengsammendrag!$F$3,IF(N21="Brutt",50,IF(N21="Disk",50,ROUND(MAXA(100*(MIN(N$10:N$92)/N21),50),0)))))</f>
        <v>80</v>
      </c>
      <c r="Q21" s="672"/>
      <c r="R21" s="672"/>
      <c r="S21" s="803" t="s">
        <v>99</v>
      </c>
      <c r="T21" s="736">
        <v>1.0120884773662551E-2</v>
      </c>
      <c r="U21" s="752">
        <v>81</v>
      </c>
      <c r="V21" s="781"/>
      <c r="W21" s="776" t="s">
        <v>347</v>
      </c>
      <c r="X21" s="740">
        <v>80</v>
      </c>
      <c r="AB21" s="828">
        <f t="shared" si="5"/>
        <v>66</v>
      </c>
      <c r="AC21" s="829">
        <f t="shared" si="4"/>
        <v>0</v>
      </c>
    </row>
    <row r="22" spans="2:29" ht="21" customHeight="1" thickBot="1" x14ac:dyDescent="0.3">
      <c r="B22" s="16">
        <f t="shared" si="0"/>
        <v>13</v>
      </c>
      <c r="C22" s="106" t="s">
        <v>222</v>
      </c>
      <c r="D22" s="107" t="s">
        <v>221</v>
      </c>
      <c r="E22" s="599" t="str">
        <f t="shared" si="1"/>
        <v>Kjell Maroni</v>
      </c>
      <c r="F22" s="192">
        <f>YEAR(I$5)-_xlfn.XLOOKUP(E22,Deltakerliste!E$5:E$98,Deltakerliste!I$5:I$98)</f>
        <v>70</v>
      </c>
      <c r="G22" s="192">
        <f>_xlfn.XLOOKUP(E22,Deltakerliste!E$5:E$98,Deltakerliste!H$5:H$98)</f>
        <v>2</v>
      </c>
      <c r="H22" s="592">
        <f>VLOOKUP(F22,Deltakerliste!P$6:T$84,G22,FALSE)</f>
        <v>1.4249999999999998</v>
      </c>
      <c r="I22" s="13"/>
      <c r="J22" s="13">
        <v>2.3391203703703702E-2</v>
      </c>
      <c r="K22" s="13"/>
      <c r="L22" s="600">
        <f t="shared" si="2"/>
        <v>8.6634087791495184E-3</v>
      </c>
      <c r="M22" s="594">
        <f>IF(L22="Løype",Poengsammendrag!$F$2,IF(L22="Arr",Poengsammendrag!$F$3,IF(L22="Brutt",50,IF(L22="Disk",50,ROUND(MAXA(100*(MIN(L$10:L$92)/L22),50),0)))))</f>
        <v>95</v>
      </c>
      <c r="N22" s="724">
        <f t="shared" si="3"/>
        <v>6.079585108175101E-3</v>
      </c>
      <c r="O22" s="596">
        <f>IF(N22="Løype",Poengsammendrag!$F$2,IF(N22="Arr",Poengsammendrag!$F$3,IF(N22="Brutt",50,IF(N22="Disk",50,ROUND(MAXA(100*(MIN(N$10:N$92)/N22),50),0)))))</f>
        <v>80</v>
      </c>
      <c r="Q22" s="672"/>
      <c r="R22" s="672"/>
      <c r="S22" s="803" t="s">
        <v>138</v>
      </c>
      <c r="T22" s="736">
        <v>1.0193758573388202E-2</v>
      </c>
      <c r="U22" s="752">
        <v>80</v>
      </c>
      <c r="V22" s="781"/>
      <c r="W22" s="776" t="s">
        <v>222</v>
      </c>
      <c r="X22" s="740">
        <v>80</v>
      </c>
      <c r="AB22" s="828">
        <f t="shared" si="5"/>
        <v>67</v>
      </c>
      <c r="AC22" s="829">
        <f t="shared" si="4"/>
        <v>2</v>
      </c>
    </row>
    <row r="23" spans="2:29" ht="21" customHeight="1" thickBot="1" x14ac:dyDescent="0.3">
      <c r="B23" s="16">
        <f t="shared" si="0"/>
        <v>14</v>
      </c>
      <c r="C23" s="106" t="s">
        <v>118</v>
      </c>
      <c r="D23" s="107" t="s">
        <v>119</v>
      </c>
      <c r="E23" s="599" t="str">
        <f t="shared" si="1"/>
        <v>KnutLillealtern</v>
      </c>
      <c r="F23" s="192">
        <f>YEAR(I$5)-_xlfn.XLOOKUP(E23,Deltakerliste!E$5:E$98,Deltakerliste!I$5:I$98)</f>
        <v>77</v>
      </c>
      <c r="G23" s="192">
        <f>_xlfn.XLOOKUP(E23,Deltakerliste!E$5:E$98,Deltakerliste!H$5:H$98)</f>
        <v>2</v>
      </c>
      <c r="H23" s="592">
        <f>VLOOKUP(F23,Deltakerliste!P$6:T$84,G23,FALSE)</f>
        <v>1.7050000000000001</v>
      </c>
      <c r="I23" s="13">
        <v>1.9074074074074073E-2</v>
      </c>
      <c r="J23" s="13"/>
      <c r="K23" s="17"/>
      <c r="L23" s="600">
        <f t="shared" si="2"/>
        <v>1.059670781893004E-2</v>
      </c>
      <c r="M23" s="594">
        <f>IF(L23="Løype",Poengsammendrag!$F$2,IF(L23="Arr",Poengsammendrag!$F$3,IF(L23="Brutt",50,IF(L23="Disk",50,ROUND(MAXA(100*(MIN(L$10:L$92)/L23),50),0)))))</f>
        <v>77</v>
      </c>
      <c r="N23" s="724">
        <f t="shared" si="3"/>
        <v>6.2150778996657129E-3</v>
      </c>
      <c r="O23" s="596">
        <f>IF(N23="Løype",Poengsammendrag!$F$2,IF(N23="Arr",Poengsammendrag!$F$3,IF(N23="Brutt",50,IF(N23="Disk",50,ROUND(MAXA(100*(MIN(N$10:N$92)/N23),50),0)))))</f>
        <v>78</v>
      </c>
      <c r="Q23" s="672"/>
      <c r="R23" s="672"/>
      <c r="S23" s="803" t="s">
        <v>118</v>
      </c>
      <c r="T23" s="736">
        <v>1.059670781893004E-2</v>
      </c>
      <c r="U23" s="752">
        <v>77</v>
      </c>
      <c r="V23" s="781"/>
      <c r="W23" s="776" t="s">
        <v>118</v>
      </c>
      <c r="X23" s="740">
        <v>78</v>
      </c>
      <c r="AB23" s="828">
        <f t="shared" si="5"/>
        <v>68</v>
      </c>
      <c r="AC23" s="829">
        <f t="shared" si="4"/>
        <v>0</v>
      </c>
    </row>
    <row r="24" spans="2:29" ht="21" thickBot="1" x14ac:dyDescent="0.3">
      <c r="B24" s="16">
        <f t="shared" si="0"/>
        <v>15</v>
      </c>
      <c r="C24" s="106" t="s">
        <v>122</v>
      </c>
      <c r="D24" s="107" t="s">
        <v>123</v>
      </c>
      <c r="E24" s="599" t="str">
        <f t="shared" si="1"/>
        <v>MartinMelhuus</v>
      </c>
      <c r="F24" s="192">
        <f>YEAR(I$5)-_xlfn.XLOOKUP(E24,Deltakerliste!E$5:E$98,Deltakerliste!I$5:I$98)</f>
        <v>82</v>
      </c>
      <c r="G24" s="192">
        <f>_xlfn.XLOOKUP(E24,Deltakerliste!E$5:E$98,Deltakerliste!H$5:H$98)</f>
        <v>2</v>
      </c>
      <c r="H24" s="592">
        <f>VLOOKUP(F24,Deltakerliste!P$6:T$84,G24,FALSE)</f>
        <v>2.0030000000000001</v>
      </c>
      <c r="I24" s="13">
        <v>2.2685185185185187E-2</v>
      </c>
      <c r="J24" s="13"/>
      <c r="K24" s="13"/>
      <c r="L24" s="600">
        <f t="shared" si="2"/>
        <v>1.2602880658436214E-2</v>
      </c>
      <c r="M24" s="594">
        <f>IF(L24="Løype",Poengsammendrag!$F$2,IF(L24="Arr",Poengsammendrag!$F$3,IF(L24="Brutt",50,IF(L24="Disk",50,ROUND(MAXA(100*(MIN(L$10:L$92)/L24),50),0)))))</f>
        <v>65</v>
      </c>
      <c r="N24" s="724">
        <f t="shared" si="3"/>
        <v>6.2920023257295125E-3</v>
      </c>
      <c r="O24" s="596">
        <f>IF(N24="Løype",Poengsammendrag!$F$2,IF(N24="Arr",Poengsammendrag!$F$3,IF(N24="Brutt",50,IF(N24="Disk",50,ROUND(MAXA(100*(MIN(N$10:N$92)/N24),50),0)))))</f>
        <v>77</v>
      </c>
      <c r="Q24" s="672"/>
      <c r="R24" s="672"/>
      <c r="S24" s="803" t="s">
        <v>149</v>
      </c>
      <c r="T24" s="736">
        <v>1.0828189300411522E-2</v>
      </c>
      <c r="U24" s="752">
        <v>76</v>
      </c>
      <c r="V24" s="781"/>
      <c r="W24" s="776" t="s">
        <v>122</v>
      </c>
      <c r="X24" s="740">
        <v>77</v>
      </c>
      <c r="AB24" s="828">
        <f t="shared" si="5"/>
        <v>69</v>
      </c>
      <c r="AC24" s="829">
        <f t="shared" si="4"/>
        <v>1</v>
      </c>
    </row>
    <row r="25" spans="2:29" ht="21" thickBot="1" x14ac:dyDescent="0.3">
      <c r="B25" s="16">
        <f t="shared" si="0"/>
        <v>16</v>
      </c>
      <c r="C25" s="106" t="s">
        <v>126</v>
      </c>
      <c r="D25" s="107" t="s">
        <v>383</v>
      </c>
      <c r="E25" s="599" t="str">
        <f t="shared" si="1"/>
        <v>ArneHelland</v>
      </c>
      <c r="F25" s="192">
        <f>YEAR(I$5)-_xlfn.XLOOKUP(E25,Deltakerliste!E$5:E$98,Deltakerliste!I$5:I$98)</f>
        <v>61</v>
      </c>
      <c r="G25" s="192">
        <f>_xlfn.XLOOKUP(E25,Deltakerliste!E$5:E$98,Deltakerliste!H$5:H$98)</f>
        <v>2</v>
      </c>
      <c r="H25" s="592">
        <f>VLOOKUP(F25,Deltakerliste!P$6:T$84,G25,FALSE)</f>
        <v>1.2190000000000001</v>
      </c>
      <c r="I25" s="86"/>
      <c r="J25" s="86">
        <v>2.2233796296296297E-2</v>
      </c>
      <c r="K25" s="17"/>
      <c r="L25" s="600">
        <f t="shared" si="2"/>
        <v>8.2347393689986281E-3</v>
      </c>
      <c r="M25" s="594">
        <f>IF(L25="Løype",Poengsammendrag!$F$2,IF(L25="Arr",Poengsammendrag!$F$3,IF(L25="Brutt",50,IF(L25="Disk",50,ROUND(MAXA(100*(MIN(L$10:L$92)/L25),50),0)))))</f>
        <v>100</v>
      </c>
      <c r="N25" s="724">
        <f t="shared" si="3"/>
        <v>6.7553235184566263E-3</v>
      </c>
      <c r="O25" s="596">
        <f>IF(N25="Løype",Poengsammendrag!$F$2,IF(N25="Arr",Poengsammendrag!$F$3,IF(N25="Brutt",50,IF(N25="Disk",50,ROUND(MAXA(100*(MIN(N$10:N$92)/N25),50),0)))))</f>
        <v>72</v>
      </c>
      <c r="Q25" s="672"/>
      <c r="R25" s="672"/>
      <c r="S25" s="803" t="s">
        <v>68</v>
      </c>
      <c r="T25" s="736">
        <v>1.1552640603566528E-2</v>
      </c>
      <c r="U25" s="752">
        <v>71</v>
      </c>
      <c r="V25" s="781"/>
      <c r="W25" s="776" t="s">
        <v>385</v>
      </c>
      <c r="X25" s="740">
        <v>72</v>
      </c>
      <c r="AB25" s="828">
        <f t="shared" si="5"/>
        <v>70</v>
      </c>
      <c r="AC25" s="829">
        <f t="shared" si="4"/>
        <v>2</v>
      </c>
    </row>
    <row r="26" spans="2:29" ht="21" customHeight="1" thickBot="1" x14ac:dyDescent="0.3">
      <c r="B26" s="16">
        <f t="shared" si="0"/>
        <v>17</v>
      </c>
      <c r="C26" s="106" t="s">
        <v>94</v>
      </c>
      <c r="D26" s="107" t="s">
        <v>95</v>
      </c>
      <c r="E26" s="599" t="str">
        <f t="shared" si="1"/>
        <v>TerjeHanssen</v>
      </c>
      <c r="F26" s="192">
        <f>YEAR(I$5)-_xlfn.XLOOKUP(E26,Deltakerliste!E$5:E$98,Deltakerliste!I$5:I$98)</f>
        <v>78</v>
      </c>
      <c r="G26" s="192">
        <f>_xlfn.XLOOKUP(E26,Deltakerliste!E$5:E$98,Deltakerliste!H$5:H$98)</f>
        <v>2</v>
      </c>
      <c r="H26" s="592">
        <f>VLOOKUP(F26,Deltakerliste!P$6:T$84,G26,FALSE)</f>
        <v>1.7550000000000001</v>
      </c>
      <c r="I26" s="86">
        <v>2.2337962962962962E-2</v>
      </c>
      <c r="J26" s="86"/>
      <c r="K26" s="17"/>
      <c r="L26" s="600">
        <f t="shared" si="2"/>
        <v>1.2409979423868312E-2</v>
      </c>
      <c r="M26" s="594">
        <f>IF(L26="Løype",Poengsammendrag!$F$2,IF(L26="Arr",Poengsammendrag!$F$3,IF(L26="Brutt",50,IF(L26="Disk",50,ROUND(MAXA(100*(MIN(L$10:L$92)/L26),50),0)))))</f>
        <v>66</v>
      </c>
      <c r="N26" s="724">
        <f t="shared" si="3"/>
        <v>7.0712133469335104E-3</v>
      </c>
      <c r="O26" s="596">
        <f>IF(N26="Løype",Poengsammendrag!$F$2,IF(N26="Arr",Poengsammendrag!$F$3,IF(N26="Brutt",50,IF(N26="Disk",50,ROUND(MAXA(100*(MIN(N$10:N$92)/N26),50),0)))))</f>
        <v>69</v>
      </c>
      <c r="Q26" s="672"/>
      <c r="R26" s="672"/>
      <c r="S26" s="803" t="s">
        <v>347</v>
      </c>
      <c r="T26" s="736">
        <v>1.1721965020576132E-2</v>
      </c>
      <c r="U26" s="752">
        <v>70</v>
      </c>
      <c r="V26" s="781"/>
      <c r="W26" s="776" t="s">
        <v>94</v>
      </c>
      <c r="X26" s="740">
        <v>69</v>
      </c>
      <c r="AB26" s="828">
        <f t="shared" si="5"/>
        <v>71</v>
      </c>
      <c r="AC26" s="829">
        <f t="shared" si="4"/>
        <v>1</v>
      </c>
    </row>
    <row r="27" spans="2:29" ht="21" thickBot="1" x14ac:dyDescent="0.3">
      <c r="B27" s="16">
        <f t="shared" si="0"/>
        <v>18</v>
      </c>
      <c r="C27" s="106" t="s">
        <v>142</v>
      </c>
      <c r="D27" s="107" t="s">
        <v>143</v>
      </c>
      <c r="E27" s="599" t="str">
        <f t="shared" si="1"/>
        <v>EgilRepvik</v>
      </c>
      <c r="F27" s="192">
        <f>YEAR(I$5)-_xlfn.XLOOKUP(E27,Deltakerliste!E$5:E$98,Deltakerliste!I$5:I$98)</f>
        <v>80</v>
      </c>
      <c r="G27" s="192">
        <f>_xlfn.XLOOKUP(E27,Deltakerliste!E$5:E$98,Deltakerliste!H$5:H$98)</f>
        <v>2</v>
      </c>
      <c r="H27" s="592">
        <f>VLOOKUP(F27,Deltakerliste!P$6:T$84,G27,FALSE)</f>
        <v>1.8550000000000002</v>
      </c>
      <c r="I27" s="132">
        <v>2.4131944444444445E-2</v>
      </c>
      <c r="J27" s="18"/>
      <c r="K27" s="18"/>
      <c r="L27" s="600">
        <f t="shared" si="2"/>
        <v>1.3406635802469136E-2</v>
      </c>
      <c r="M27" s="594">
        <f>IF(L27="Løype",Poengsammendrag!$F$2,IF(L27="Arr",Poengsammendrag!$F$3,IF(L27="Brutt",50,IF(L27="Disk",50,ROUND(MAXA(100*(MIN(L$10:L$92)/L27),50),0)))))</f>
        <v>61</v>
      </c>
      <c r="N27" s="724">
        <f t="shared" si="3"/>
        <v>7.2272969285547897E-3</v>
      </c>
      <c r="O27" s="596">
        <f>IF(N27="Løype",Poengsammendrag!$F$2,IF(N27="Arr",Poengsammendrag!$F$3,IF(N27="Brutt",50,IF(N27="Disk",50,ROUND(MAXA(100*(MIN(N$10:N$92)/N27),50),0)))))</f>
        <v>67</v>
      </c>
      <c r="Q27" s="672"/>
      <c r="R27" s="672"/>
      <c r="S27" s="803" t="s">
        <v>350</v>
      </c>
      <c r="T27" s="736">
        <v>1.1959876543209876E-2</v>
      </c>
      <c r="U27" s="752">
        <v>69</v>
      </c>
      <c r="V27" s="781"/>
      <c r="W27" s="776" t="s">
        <v>356</v>
      </c>
      <c r="X27" s="740">
        <v>67</v>
      </c>
      <c r="AB27" s="828">
        <f t="shared" si="5"/>
        <v>72</v>
      </c>
      <c r="AC27" s="829">
        <f t="shared" si="4"/>
        <v>2</v>
      </c>
    </row>
    <row r="28" spans="2:29" ht="21" customHeight="1" thickBot="1" x14ac:dyDescent="0.3">
      <c r="B28" s="16">
        <f t="shared" si="0"/>
        <v>19</v>
      </c>
      <c r="C28" s="106" t="s">
        <v>99</v>
      </c>
      <c r="D28" s="107" t="s">
        <v>100</v>
      </c>
      <c r="E28" s="599" t="str">
        <f t="shared" si="1"/>
        <v>RobertHirsch</v>
      </c>
      <c r="F28" s="192">
        <f>YEAR(I$5)-_xlfn.XLOOKUP(E28,Deltakerliste!E$5:E$98,Deltakerliste!I$5:I$98)</f>
        <v>69</v>
      </c>
      <c r="G28" s="192">
        <f>_xlfn.XLOOKUP(E28,Deltakerliste!E$5:E$98,Deltakerliste!H$5:H$98)</f>
        <v>2</v>
      </c>
      <c r="H28" s="592">
        <f>VLOOKUP(F28,Deltakerliste!P$6:T$84,G28,FALSE)</f>
        <v>1.3989999999999998</v>
      </c>
      <c r="I28" s="86"/>
      <c r="J28" s="86">
        <v>2.732638888888889E-2</v>
      </c>
      <c r="K28" s="13"/>
      <c r="L28" s="600">
        <f t="shared" si="2"/>
        <v>1.0120884773662551E-2</v>
      </c>
      <c r="M28" s="594">
        <f>IF(L28="Løype",Poengsammendrag!$F$2,IF(L28="Arr",Poengsammendrag!$F$3,IF(L28="Brutt",50,IF(L28="Disk",50,ROUND(MAXA(100*(MIN(L$10:L$92)/L28),50),0)))))</f>
        <v>81</v>
      </c>
      <c r="N28" s="724">
        <f t="shared" si="3"/>
        <v>7.2343708174857418E-3</v>
      </c>
      <c r="O28" s="596">
        <f>IF(N28="Løype",Poengsammendrag!$F$2,IF(N28="Arr",Poengsammendrag!$F$3,IF(N28="Brutt",50,IF(N28="Disk",50,ROUND(MAXA(100*(MIN(N$10:N$92)/N28),50),0)))))</f>
        <v>67</v>
      </c>
      <c r="Q28" s="672"/>
      <c r="R28" s="672"/>
      <c r="S28" s="803" t="s">
        <v>357</v>
      </c>
      <c r="T28" s="736">
        <v>1.2307098765432099E-2</v>
      </c>
      <c r="U28" s="752">
        <v>67</v>
      </c>
      <c r="V28" s="781"/>
      <c r="W28" s="776" t="s">
        <v>99</v>
      </c>
      <c r="X28" s="740">
        <v>67</v>
      </c>
      <c r="AB28" s="828">
        <f t="shared" si="5"/>
        <v>73</v>
      </c>
      <c r="AC28" s="829">
        <f t="shared" si="4"/>
        <v>4</v>
      </c>
    </row>
    <row r="29" spans="2:29" ht="21" thickBot="1" x14ac:dyDescent="0.3">
      <c r="B29" s="16">
        <f t="shared" si="0"/>
        <v>20</v>
      </c>
      <c r="C29" s="106" t="s">
        <v>63</v>
      </c>
      <c r="D29" s="107" t="s">
        <v>336</v>
      </c>
      <c r="E29" s="599" t="str">
        <f t="shared" si="1"/>
        <v>ToreFornes</v>
      </c>
      <c r="F29" s="192">
        <f>YEAR(I$5)-_xlfn.XLOOKUP(E29,Deltakerliste!E$5:E$98,Deltakerliste!I$5:I$98)</f>
        <v>67</v>
      </c>
      <c r="G29" s="192">
        <f>_xlfn.XLOOKUP(E29,Deltakerliste!E$5:E$98,Deltakerliste!H$5:H$98)</f>
        <v>2</v>
      </c>
      <c r="H29" s="592">
        <f>VLOOKUP(F29,Deltakerliste!P$6:T$84,G29,FALSE)</f>
        <v>1.3469999999999998</v>
      </c>
      <c r="I29" s="86"/>
      <c r="J29" s="86">
        <v>2.6678240740740742E-2</v>
      </c>
      <c r="K29" s="13"/>
      <c r="L29" s="600">
        <f t="shared" si="2"/>
        <v>9.8808299039780511E-3</v>
      </c>
      <c r="M29" s="594">
        <f>IF(L29="Løype",Poengsammendrag!$F$2,IF(L29="Arr",Poengsammendrag!$F$3,IF(L29="Brutt",50,IF(L29="Disk",50,ROUND(MAXA(100*(MIN(L$10:L$92)/L29),50),0)))))</f>
        <v>83</v>
      </c>
      <c r="N29" s="724">
        <f t="shared" si="3"/>
        <v>7.3354342271551992E-3</v>
      </c>
      <c r="O29" s="596">
        <f>IF(N29="Løype",Poengsammendrag!$F$2,IF(N29="Arr",Poengsammendrag!$F$3,IF(N29="Brutt",50,IF(N29="Disk",50,ROUND(MAXA(100*(MIN(N$10:N$92)/N29),50),0)))))</f>
        <v>66</v>
      </c>
      <c r="Q29" s="672"/>
      <c r="R29" s="672"/>
      <c r="S29" s="803" t="s">
        <v>94</v>
      </c>
      <c r="T29" s="736">
        <v>1.2409979423868312E-2</v>
      </c>
      <c r="U29" s="752">
        <v>66</v>
      </c>
      <c r="V29" s="781"/>
      <c r="W29" s="776" t="s">
        <v>346</v>
      </c>
      <c r="X29" s="740">
        <v>66</v>
      </c>
      <c r="AB29" s="828">
        <f t="shared" si="5"/>
        <v>74</v>
      </c>
      <c r="AC29" s="829">
        <f t="shared" si="4"/>
        <v>2</v>
      </c>
    </row>
    <row r="30" spans="2:29" ht="21" thickBot="1" x14ac:dyDescent="0.3">
      <c r="B30" s="16">
        <f t="shared" si="0"/>
        <v>21</v>
      </c>
      <c r="C30" s="106" t="s">
        <v>68</v>
      </c>
      <c r="D30" s="107" t="s">
        <v>69</v>
      </c>
      <c r="E30" s="599" t="str">
        <f t="shared" si="1"/>
        <v>JanBøhle</v>
      </c>
      <c r="F30" s="192">
        <f>YEAR(I$5)-_xlfn.XLOOKUP(E30,Deltakerliste!E$5:E$98,Deltakerliste!I$5:I$98)</f>
        <v>74</v>
      </c>
      <c r="G30" s="192">
        <f>_xlfn.XLOOKUP(E30,Deltakerliste!E$5:E$98,Deltakerliste!H$5:H$98)</f>
        <v>2</v>
      </c>
      <c r="H30" s="592">
        <f>VLOOKUP(F30,Deltakerliste!P$6:T$84,G30,FALSE)</f>
        <v>1.569</v>
      </c>
      <c r="I30" s="86"/>
      <c r="J30" s="86">
        <v>3.1192129629629629E-2</v>
      </c>
      <c r="K30" s="13"/>
      <c r="L30" s="600">
        <f t="shared" si="2"/>
        <v>1.1552640603566528E-2</v>
      </c>
      <c r="M30" s="594">
        <f>IF(L30="Løype",Poengsammendrag!$F$2,IF(L30="Arr",Poengsammendrag!$F$3,IF(L30="Brutt",50,IF(L30="Disk",50,ROUND(MAXA(100*(MIN(L$10:L$92)/L30),50),0)))))</f>
        <v>71</v>
      </c>
      <c r="N30" s="724">
        <f t="shared" si="3"/>
        <v>7.3630596581048622E-3</v>
      </c>
      <c r="O30" s="596">
        <f>IF(N30="Løype",Poengsammendrag!$F$2,IF(N30="Arr",Poengsammendrag!$F$3,IF(N30="Brutt",50,IF(N30="Disk",50,ROUND(MAXA(100*(MIN(N$10:N$92)/N30),50),0)))))</f>
        <v>66</v>
      </c>
      <c r="Q30" s="672"/>
      <c r="R30" s="672"/>
      <c r="S30" s="803" t="s">
        <v>122</v>
      </c>
      <c r="T30" s="736">
        <v>1.2602880658436214E-2</v>
      </c>
      <c r="U30" s="752">
        <v>65</v>
      </c>
      <c r="V30" s="781"/>
      <c r="W30" s="776" t="s">
        <v>68</v>
      </c>
      <c r="X30" s="740">
        <v>66</v>
      </c>
      <c r="AB30" s="828">
        <f t="shared" si="5"/>
        <v>75</v>
      </c>
      <c r="AC30" s="829">
        <f t="shared" si="4"/>
        <v>3</v>
      </c>
    </row>
    <row r="31" spans="2:29" ht="21" customHeight="1" thickBot="1" x14ac:dyDescent="0.3">
      <c r="B31" s="16">
        <f t="shared" si="0"/>
        <v>22</v>
      </c>
      <c r="C31" s="106" t="s">
        <v>72</v>
      </c>
      <c r="D31" s="107" t="s">
        <v>73</v>
      </c>
      <c r="E31" s="599" t="str">
        <f t="shared" si="1"/>
        <v>KåreEggereide</v>
      </c>
      <c r="F31" s="192">
        <f>YEAR(I$5)-_xlfn.XLOOKUP(E31,Deltakerliste!E$5:E$98,Deltakerliste!I$5:I$98)</f>
        <v>75</v>
      </c>
      <c r="G31" s="192">
        <f>_xlfn.XLOOKUP(E31,Deltakerliste!E$5:E$98,Deltakerliste!H$5:H$98)</f>
        <v>2</v>
      </c>
      <c r="H31" s="592">
        <f>VLOOKUP(F31,Deltakerliste!P$6:T$84,G31,FALSE)</f>
        <v>1.605</v>
      </c>
      <c r="I31" s="86">
        <v>2.1527777777777778E-2</v>
      </c>
      <c r="J31" s="13"/>
      <c r="K31" s="13"/>
      <c r="L31" s="600">
        <f t="shared" si="2"/>
        <v>1.1959876543209876E-2</v>
      </c>
      <c r="M31" s="594">
        <f>IF(L31="Løype",Poengsammendrag!$F$2,IF(L31="Arr",Poengsammendrag!$F$3,IF(L31="Brutt",50,IF(L31="Disk",50,ROUND(MAXA(100*(MIN(L$10:L$92)/L31),50),0)))))</f>
        <v>69</v>
      </c>
      <c r="N31" s="724">
        <f t="shared" si="3"/>
        <v>7.451636475520172E-3</v>
      </c>
      <c r="O31" s="596">
        <f>IF(N31="Løype",Poengsammendrag!$F$2,IF(N31="Arr",Poengsammendrag!$F$3,IF(N31="Brutt",50,IF(N31="Disk",50,ROUND(MAXA(100*(MIN(N$10:N$92)/N31),50),0)))))</f>
        <v>65</v>
      </c>
      <c r="Q31" s="672"/>
      <c r="R31" s="672"/>
      <c r="S31" s="803" t="s">
        <v>356</v>
      </c>
      <c r="T31" s="736">
        <v>1.3406635802469136E-2</v>
      </c>
      <c r="U31" s="752">
        <v>61</v>
      </c>
      <c r="V31" s="781"/>
      <c r="W31" s="776" t="s">
        <v>350</v>
      </c>
      <c r="X31" s="740">
        <v>65</v>
      </c>
      <c r="AB31" s="828">
        <f t="shared" si="5"/>
        <v>76</v>
      </c>
      <c r="AC31" s="829">
        <f t="shared" si="4"/>
        <v>1</v>
      </c>
    </row>
    <row r="32" spans="2:29" ht="21" customHeight="1" thickBot="1" x14ac:dyDescent="0.3">
      <c r="B32" s="16">
        <f t="shared" si="0"/>
        <v>23</v>
      </c>
      <c r="C32" s="106" t="s">
        <v>124</v>
      </c>
      <c r="D32" s="107" t="s">
        <v>125</v>
      </c>
      <c r="E32" s="599" t="str">
        <f t="shared" si="1"/>
        <v>Heidi Midttun</v>
      </c>
      <c r="F32" s="192">
        <f>YEAR(I$5)-_xlfn.XLOOKUP(E32,Deltakerliste!E$5:E$98,Deltakerliste!I$5:I$98)</f>
        <v>71</v>
      </c>
      <c r="G32" s="192">
        <f>_xlfn.XLOOKUP(E32,Deltakerliste!E$5:E$98,Deltakerliste!H$5:H$98)</f>
        <v>4</v>
      </c>
      <c r="H32" s="592">
        <f>VLOOKUP(F32,Deltakerliste!P$6:T$84,G32,FALSE)</f>
        <v>1.9926000000000013</v>
      </c>
      <c r="I32" s="13">
        <v>2.6967592592592592E-2</v>
      </c>
      <c r="J32" s="13"/>
      <c r="K32" s="13"/>
      <c r="L32" s="600">
        <f t="shared" si="2"/>
        <v>1.4981995884773662E-2</v>
      </c>
      <c r="M32" s="594">
        <f>IF(L32="Løype",Poengsammendrag!$F$2,IF(L32="Arr",Poengsammendrag!$F$3,IF(L32="Brutt",50,IF(L32="Disk",50,ROUND(MAXA(100*(MIN(L$10:L$92)/L32),50),0)))))</f>
        <v>55</v>
      </c>
      <c r="N32" s="724">
        <f t="shared" si="3"/>
        <v>7.5188175673861551E-3</v>
      </c>
      <c r="O32" s="596">
        <f>IF(N32="Løype",Poengsammendrag!$F$2,IF(N32="Arr",Poengsammendrag!$F$3,IF(N32="Brutt",50,IF(N32="Disk",50,ROUND(MAXA(100*(MIN(N$10:N$92)/N32),50),0)))))</f>
        <v>65</v>
      </c>
      <c r="S32" s="803" t="s">
        <v>130</v>
      </c>
      <c r="T32" s="736">
        <v>1.4203960905349795E-2</v>
      </c>
      <c r="U32" s="752">
        <v>58</v>
      </c>
      <c r="V32" s="781"/>
      <c r="W32" s="776" t="s">
        <v>124</v>
      </c>
      <c r="X32" s="740">
        <v>65</v>
      </c>
      <c r="AB32" s="828">
        <f t="shared" si="5"/>
        <v>77</v>
      </c>
      <c r="AC32" s="829">
        <f t="shared" si="4"/>
        <v>3</v>
      </c>
    </row>
    <row r="33" spans="2:29" ht="21" customHeight="1" thickBot="1" x14ac:dyDescent="0.3">
      <c r="B33" s="16">
        <f t="shared" si="0"/>
        <v>24</v>
      </c>
      <c r="C33" s="106" t="s">
        <v>63</v>
      </c>
      <c r="D33" s="107" t="s">
        <v>105</v>
      </c>
      <c r="E33" s="599" t="str">
        <f t="shared" si="1"/>
        <v>ToreKiste</v>
      </c>
      <c r="F33" s="192">
        <f>YEAR(I$5)-_xlfn.XLOOKUP(E33,Deltakerliste!E$5:E$98,Deltakerliste!I$5:I$98)</f>
        <v>81</v>
      </c>
      <c r="G33" s="192">
        <f>_xlfn.XLOOKUP(E33,Deltakerliste!E$5:E$98,Deltakerliste!H$5:H$98)</f>
        <v>2</v>
      </c>
      <c r="H33" s="592">
        <f>VLOOKUP(F33,Deltakerliste!P$6:T$84,G33,FALSE)</f>
        <v>1.9290000000000003</v>
      </c>
      <c r="I33" s="86">
        <v>2.6226851851851852E-2</v>
      </c>
      <c r="J33" s="86"/>
      <c r="K33" s="13"/>
      <c r="L33" s="600">
        <f t="shared" si="2"/>
        <v>1.4570473251028806E-2</v>
      </c>
      <c r="M33" s="594">
        <f>IF(L33="Løype",Poengsammendrag!$F$2,IF(L33="Arr",Poengsammendrag!$F$3,IF(L33="Brutt",50,IF(L33="Disk",50,ROUND(MAXA(100*(MIN(L$10:L$92)/L33),50),0)))))</f>
        <v>56</v>
      </c>
      <c r="N33" s="724">
        <f t="shared" si="3"/>
        <v>7.5533816749760521E-3</v>
      </c>
      <c r="O33" s="596">
        <f>IF(N33="Løype",Poengsammendrag!$F$2,IF(N33="Arr",Poengsammendrag!$F$3,IF(N33="Brutt",50,IF(N33="Disk",50,ROUND(MAXA(100*(MIN(N$10:N$92)/N33),50),0)))))</f>
        <v>64</v>
      </c>
      <c r="S33" s="803" t="s">
        <v>339</v>
      </c>
      <c r="T33" s="736">
        <v>1.4570473251028806E-2</v>
      </c>
      <c r="U33" s="752">
        <v>56</v>
      </c>
      <c r="V33" s="781"/>
      <c r="W33" s="776" t="s">
        <v>339</v>
      </c>
      <c r="X33" s="740">
        <v>64</v>
      </c>
      <c r="AB33" s="828">
        <f t="shared" si="5"/>
        <v>78</v>
      </c>
      <c r="AC33" s="829">
        <f t="shared" si="4"/>
        <v>3</v>
      </c>
    </row>
    <row r="34" spans="2:29" ht="21" customHeight="1" thickBot="1" x14ac:dyDescent="0.3">
      <c r="B34" s="16">
        <f t="shared" si="0"/>
        <v>25</v>
      </c>
      <c r="C34" s="106" t="s">
        <v>108</v>
      </c>
      <c r="D34" s="107" t="s">
        <v>109</v>
      </c>
      <c r="E34" s="599" t="str">
        <f t="shared" si="1"/>
        <v>Finn FayeKnudsen</v>
      </c>
      <c r="F34" s="192">
        <f>YEAR(I$5)-_xlfn.XLOOKUP(E34,Deltakerliste!E$5:E$98,Deltakerliste!I$5:I$98)</f>
        <v>84</v>
      </c>
      <c r="G34" s="192">
        <f>_xlfn.XLOOKUP(E34,Deltakerliste!E$5:E$98,Deltakerliste!H$5:H$98)</f>
        <v>2</v>
      </c>
      <c r="H34" s="592">
        <f>VLOOKUP(F34,Deltakerliste!P$6:T$84,G34,FALSE)</f>
        <v>2.1509999999999998</v>
      </c>
      <c r="I34" s="86">
        <v>2.9490740740740741E-2</v>
      </c>
      <c r="J34" s="86"/>
      <c r="K34" s="13"/>
      <c r="L34" s="600">
        <f t="shared" si="2"/>
        <v>1.6383744855967077E-2</v>
      </c>
      <c r="M34" s="594">
        <f>IF(L34="Løype",Poengsammendrag!$F$2,IF(L34="Arr",Poengsammendrag!$F$3,IF(L34="Brutt",50,IF(L34="Disk",50,ROUND(MAXA(100*(MIN(L$10:L$92)/L34),50),0)))))</f>
        <v>50</v>
      </c>
      <c r="N34" s="724">
        <f t="shared" si="3"/>
        <v>7.6168037452194696E-3</v>
      </c>
      <c r="O34" s="596">
        <f>IF(N34="Løype",Poengsammendrag!$F$2,IF(N34="Arr",Poengsammendrag!$F$3,IF(N34="Brutt",50,IF(N34="Disk",50,ROUND(MAXA(100*(MIN(N$10:N$92)/N34),50),0)))))</f>
        <v>64</v>
      </c>
      <c r="S34" s="803" t="s">
        <v>124</v>
      </c>
      <c r="T34" s="736">
        <v>1.4981995884773662E-2</v>
      </c>
      <c r="U34" s="752">
        <v>55</v>
      </c>
      <c r="V34" s="781"/>
      <c r="W34" s="776" t="s">
        <v>108</v>
      </c>
      <c r="X34" s="740">
        <v>64</v>
      </c>
      <c r="AB34" s="828">
        <f t="shared" si="5"/>
        <v>79</v>
      </c>
      <c r="AC34" s="829">
        <f t="shared" si="4"/>
        <v>4</v>
      </c>
    </row>
    <row r="35" spans="2:29" ht="21" customHeight="1" thickBot="1" x14ac:dyDescent="0.3">
      <c r="B35" s="16">
        <f t="shared" si="0"/>
        <v>26</v>
      </c>
      <c r="C35" s="106" t="s">
        <v>130</v>
      </c>
      <c r="D35" s="107" t="s">
        <v>131</v>
      </c>
      <c r="E35" s="599" t="str">
        <f t="shared" si="1"/>
        <v>AtleMørk</v>
      </c>
      <c r="F35" s="192">
        <f>YEAR(I$5)-_xlfn.XLOOKUP(E35,Deltakerliste!E$5:E$98,Deltakerliste!I$5:I$98)</f>
        <v>77</v>
      </c>
      <c r="G35" s="192">
        <f>_xlfn.XLOOKUP(E35,Deltakerliste!E$5:E$98,Deltakerliste!H$5:H$98)</f>
        <v>2</v>
      </c>
      <c r="H35" s="592">
        <f>VLOOKUP(F35,Deltakerliste!P$6:T$84,G35,FALSE)</f>
        <v>1.7050000000000001</v>
      </c>
      <c r="I35" s="132">
        <v>2.5567129629629631E-2</v>
      </c>
      <c r="J35" s="132"/>
      <c r="K35" s="132"/>
      <c r="L35" s="600">
        <f t="shared" si="2"/>
        <v>1.4203960905349795E-2</v>
      </c>
      <c r="M35" s="594">
        <f>IF(L35="Løype",Poengsammendrag!$F$2,IF(L35="Arr",Poengsammendrag!$F$3,IF(L35="Brutt",50,IF(L35="Disk",50,ROUND(MAXA(100*(MIN(L$10:L$92)/L35),50),0)))))</f>
        <v>58</v>
      </c>
      <c r="N35" s="724">
        <f t="shared" si="3"/>
        <v>8.3307688594426946E-3</v>
      </c>
      <c r="O35" s="596">
        <f>IF(N35="Løype",Poengsammendrag!$F$2,IF(N35="Arr",Poengsammendrag!$F$3,IF(N35="Brutt",50,IF(N35="Disk",50,ROUND(MAXA(100*(MIN(N$10:N$92)/N35),50),0)))))</f>
        <v>58</v>
      </c>
      <c r="S35" s="803" t="s">
        <v>161</v>
      </c>
      <c r="T35" s="736">
        <v>1.5348508230452675E-2</v>
      </c>
      <c r="U35" s="752">
        <v>53</v>
      </c>
      <c r="V35" s="781"/>
      <c r="W35" s="776" t="s">
        <v>130</v>
      </c>
      <c r="X35" s="740">
        <v>58</v>
      </c>
      <c r="AB35" s="828">
        <f t="shared" si="5"/>
        <v>80</v>
      </c>
      <c r="AC35" s="829">
        <f t="shared" si="4"/>
        <v>2</v>
      </c>
    </row>
    <row r="36" spans="2:29" ht="21" thickBot="1" x14ac:dyDescent="0.3">
      <c r="B36" s="16">
        <f t="shared" si="0"/>
        <v>27</v>
      </c>
      <c r="C36" s="106" t="s">
        <v>78</v>
      </c>
      <c r="D36" s="107" t="s">
        <v>146</v>
      </c>
      <c r="E36" s="599" t="str">
        <f t="shared" si="1"/>
        <v>LeifRøhjell</v>
      </c>
      <c r="F36" s="192">
        <f>YEAR(I$5)-_xlfn.XLOOKUP(E36,Deltakerliste!E$5:E$98,Deltakerliste!I$5:I$98)</f>
        <v>82</v>
      </c>
      <c r="G36" s="192">
        <f>_xlfn.XLOOKUP(E36,Deltakerliste!E$5:E$98,Deltakerliste!H$5:H$98)</f>
        <v>2</v>
      </c>
      <c r="H36" s="592">
        <f>VLOOKUP(F36,Deltakerliste!P$6:T$84,G36,FALSE)</f>
        <v>2.0030000000000001</v>
      </c>
      <c r="I36" s="103">
        <v>3.0231481481481481E-2</v>
      </c>
      <c r="J36" s="18"/>
      <c r="K36" s="18"/>
      <c r="L36" s="600">
        <f t="shared" si="2"/>
        <v>1.6795267489711933E-2</v>
      </c>
      <c r="M36" s="594">
        <f>IF(L36="Løype",Poengsammendrag!$F$2,IF(L36="Arr",Poengsammendrag!$F$3,IF(L36="Brutt",50,IF(L36="Disk",50,ROUND(MAXA(100*(MIN(L$10:L$92)/L36),50),0)))))</f>
        <v>50</v>
      </c>
      <c r="N36" s="724">
        <f t="shared" si="3"/>
        <v>8.3850561606150439E-3</v>
      </c>
      <c r="O36" s="596">
        <f>IF(N36="Løype",Poengsammendrag!$F$2,IF(N36="Arr",Poengsammendrag!$F$3,IF(N36="Brutt",50,IF(N36="Disk",50,ROUND(MAXA(100*(MIN(N$10:N$92)/N36),50),0)))))</f>
        <v>58</v>
      </c>
      <c r="S36" s="803" t="s">
        <v>108</v>
      </c>
      <c r="T36" s="736">
        <v>1.6383744855967077E-2</v>
      </c>
      <c r="U36" s="752">
        <v>50</v>
      </c>
      <c r="V36" s="781"/>
      <c r="W36" s="776" t="s">
        <v>337</v>
      </c>
      <c r="X36" s="740">
        <v>58</v>
      </c>
      <c r="AB36" s="828">
        <f t="shared" si="5"/>
        <v>81</v>
      </c>
      <c r="AC36" s="829">
        <f t="shared" si="4"/>
        <v>2</v>
      </c>
    </row>
    <row r="37" spans="2:29" ht="21" customHeight="1" thickBot="1" x14ac:dyDescent="0.3">
      <c r="B37" s="16">
        <f t="shared" si="0"/>
        <v>28</v>
      </c>
      <c r="C37" s="106" t="s">
        <v>161</v>
      </c>
      <c r="D37" s="107" t="s">
        <v>162</v>
      </c>
      <c r="E37" s="599" t="str">
        <f t="shared" si="1"/>
        <v>Nils OlavVennevik</v>
      </c>
      <c r="F37" s="192">
        <f>YEAR(I$5)-_xlfn.XLOOKUP(E37,Deltakerliste!E$5:E$98,Deltakerliste!I$5:I$98)</f>
        <v>78</v>
      </c>
      <c r="G37" s="192">
        <f>_xlfn.XLOOKUP(E37,Deltakerliste!E$5:E$98,Deltakerliste!H$5:H$98)</f>
        <v>2</v>
      </c>
      <c r="H37" s="592">
        <f>VLOOKUP(F37,Deltakerliste!P$6:T$84,G37,FALSE)</f>
        <v>1.7550000000000001</v>
      </c>
      <c r="I37" s="132">
        <v>2.7627314814814816E-2</v>
      </c>
      <c r="J37" s="18"/>
      <c r="K37" s="18"/>
      <c r="L37" s="600">
        <f t="shared" si="2"/>
        <v>1.5348508230452675E-2</v>
      </c>
      <c r="M37" s="594">
        <f>IF(L37="Løype",Poengsammendrag!$F$2,IF(L37="Arr",Poengsammendrag!$F$3,IF(L37="Brutt",50,IF(L37="Disk",50,ROUND(MAXA(100*(MIN(L$10:L$92)/L37),50),0)))))</f>
        <v>53</v>
      </c>
      <c r="N37" s="724">
        <f t="shared" si="3"/>
        <v>8.7455887353006679E-3</v>
      </c>
      <c r="O37" s="596">
        <f>IF(N37="Løype",Poengsammendrag!$F$2,IF(N37="Arr",Poengsammendrag!$F$3,IF(N37="Brutt",50,IF(N37="Disk",50,ROUND(MAXA(100*(MIN(N$10:N$92)/N37),50),0)))))</f>
        <v>55</v>
      </c>
      <c r="S37" s="803" t="s">
        <v>337</v>
      </c>
      <c r="T37" s="736">
        <v>1.6795267489711933E-2</v>
      </c>
      <c r="U37" s="752">
        <v>50</v>
      </c>
      <c r="V37" s="781"/>
      <c r="W37" s="776" t="s">
        <v>161</v>
      </c>
      <c r="X37" s="740">
        <v>55</v>
      </c>
      <c r="AB37" s="828">
        <f t="shared" si="5"/>
        <v>82</v>
      </c>
      <c r="AC37" s="829">
        <f t="shared" si="4"/>
        <v>2</v>
      </c>
    </row>
    <row r="38" spans="2:29" ht="21" customHeight="1" thickBot="1" x14ac:dyDescent="0.3">
      <c r="B38" s="16">
        <f t="shared" si="0"/>
        <v>29</v>
      </c>
      <c r="C38" s="106" t="s">
        <v>103</v>
      </c>
      <c r="D38" s="107" t="s">
        <v>104</v>
      </c>
      <c r="E38" s="599" t="str">
        <f t="shared" si="1"/>
        <v>SveinHove</v>
      </c>
      <c r="F38" s="192">
        <f>YEAR(I$5)-_xlfn.XLOOKUP(E38,Deltakerliste!E$5:E$98,Deltakerliste!I$5:I$98)</f>
        <v>79</v>
      </c>
      <c r="G38" s="192">
        <f>_xlfn.XLOOKUP(E38,Deltakerliste!E$5:E$98,Deltakerliste!H$5:H$98)</f>
        <v>2</v>
      </c>
      <c r="H38" s="592">
        <f>VLOOKUP(F38,Deltakerliste!P$6:T$84,G38,FALSE)</f>
        <v>1.8050000000000002</v>
      </c>
      <c r="I38" s="86">
        <v>3.1875000000000001E-2</v>
      </c>
      <c r="J38" s="86"/>
      <c r="K38" s="17"/>
      <c r="L38" s="600">
        <f t="shared" si="2"/>
        <v>1.7708333333333333E-2</v>
      </c>
      <c r="M38" s="594">
        <f>IF(L38="Løype",Poengsammendrag!$F$2,IF(L38="Arr",Poengsammendrag!$F$3,IF(L38="Brutt",50,IF(L38="Disk",50,ROUND(MAXA(100*(MIN(L$10:L$92)/L38),50),0)))))</f>
        <v>50</v>
      </c>
      <c r="N38" s="724">
        <f t="shared" si="3"/>
        <v>9.8107109879963048E-3</v>
      </c>
      <c r="O38" s="596">
        <f>IF(N38="Løype",Poengsammendrag!$F$2,IF(N38="Arr",Poengsammendrag!$F$3,IF(N38="Brutt",50,IF(N38="Disk",50,ROUND(MAXA(100*(MIN(N$10:N$92)/N38),50),0)))))</f>
        <v>50</v>
      </c>
      <c r="S38" s="803" t="s">
        <v>90</v>
      </c>
      <c r="T38" s="736">
        <v>1.7264660493827161E-2</v>
      </c>
      <c r="U38" s="752">
        <v>50</v>
      </c>
      <c r="V38" s="781"/>
      <c r="W38" s="776" t="s">
        <v>103</v>
      </c>
      <c r="X38" s="740">
        <v>50</v>
      </c>
      <c r="AB38" s="828">
        <f t="shared" si="5"/>
        <v>83</v>
      </c>
      <c r="AC38" s="829">
        <f t="shared" si="4"/>
        <v>0</v>
      </c>
    </row>
    <row r="39" spans="2:29" ht="21" customHeight="1" thickBot="1" x14ac:dyDescent="0.3">
      <c r="B39" s="16">
        <f t="shared" si="0"/>
        <v>30</v>
      </c>
      <c r="C39" s="106" t="s">
        <v>90</v>
      </c>
      <c r="D39" s="107" t="s">
        <v>91</v>
      </c>
      <c r="E39" s="599" t="str">
        <f t="shared" si="1"/>
        <v>TorGjermstad</v>
      </c>
      <c r="F39" s="192">
        <f>YEAR(I$5)-_xlfn.XLOOKUP(E39,Deltakerliste!E$5:E$98,Deltakerliste!I$5:I$98)</f>
        <v>76</v>
      </c>
      <c r="G39" s="192">
        <f>_xlfn.XLOOKUP(E39,Deltakerliste!E$5:E$98,Deltakerliste!H$5:H$98)</f>
        <v>2</v>
      </c>
      <c r="H39" s="592">
        <f>VLOOKUP(F39,Deltakerliste!P$6:T$84,G39,FALSE)</f>
        <v>1.655</v>
      </c>
      <c r="I39" s="86">
        <v>3.107638888888889E-2</v>
      </c>
      <c r="J39" s="86"/>
      <c r="K39" s="13"/>
      <c r="L39" s="600">
        <f t="shared" si="2"/>
        <v>1.7264660493827161E-2</v>
      </c>
      <c r="M39" s="594">
        <f>IF(L39="Løype",Poengsammendrag!$F$2,IF(L39="Arr",Poengsammendrag!$F$3,IF(L39="Brutt",50,IF(L39="Disk",50,ROUND(MAXA(100*(MIN(L$10:L$92)/L39),50),0)))))</f>
        <v>50</v>
      </c>
      <c r="N39" s="724">
        <f t="shared" si="3"/>
        <v>1.0431819029502815E-2</v>
      </c>
      <c r="O39" s="596">
        <f>IF(N39="Løype",Poengsammendrag!$F$2,IF(N39="Arr",Poengsammendrag!$F$3,IF(N39="Brutt",50,IF(N39="Disk",50,ROUND(MAXA(100*(MIN(N$10:N$92)/N39),50),0)))))</f>
        <v>50</v>
      </c>
      <c r="S39" s="803" t="s">
        <v>103</v>
      </c>
      <c r="T39" s="736">
        <v>1.7708333333333333E-2</v>
      </c>
      <c r="U39" s="752">
        <v>50</v>
      </c>
      <c r="V39" s="781"/>
      <c r="W39" s="776" t="s">
        <v>90</v>
      </c>
      <c r="X39" s="740">
        <v>50</v>
      </c>
      <c r="AB39" s="828">
        <f t="shared" si="5"/>
        <v>84</v>
      </c>
      <c r="AC39" s="829">
        <f t="shared" si="4"/>
        <v>1</v>
      </c>
    </row>
    <row r="40" spans="2:29" ht="21" thickBot="1" x14ac:dyDescent="0.3">
      <c r="B40" s="16">
        <f t="shared" si="0"/>
        <v>31</v>
      </c>
      <c r="C40" s="106" t="s">
        <v>248</v>
      </c>
      <c r="D40" s="107" t="s">
        <v>249</v>
      </c>
      <c r="E40" s="599" t="str">
        <f t="shared" si="1"/>
        <v>ErikLund</v>
      </c>
      <c r="F40" s="192">
        <f>YEAR(I$5)-_xlfn.XLOOKUP(E40,Deltakerliste!E$5:E$98,Deltakerliste!I$5:I$98)</f>
        <v>79</v>
      </c>
      <c r="G40" s="192">
        <f>_xlfn.XLOOKUP(E40,Deltakerliste!E$5:E$98,Deltakerliste!H$5:H$98)</f>
        <v>2</v>
      </c>
      <c r="H40" s="592">
        <f>VLOOKUP(F40,Deltakerliste!P$6:T$84,G40,FALSE)</f>
        <v>1.8050000000000002</v>
      </c>
      <c r="I40" s="13">
        <v>4.4895833333333336E-2</v>
      </c>
      <c r="J40" s="13"/>
      <c r="K40" s="17"/>
      <c r="L40" s="600">
        <f t="shared" si="2"/>
        <v>2.494212962962963E-2</v>
      </c>
      <c r="M40" s="594">
        <f>IF(L40="Løype",Poengsammendrag!$F$2,IF(L40="Arr",Poengsammendrag!$F$3,IF(L40="Brutt",50,IF(L40="Disk",50,ROUND(MAXA(100*(MIN(L$10:L$92)/L40),50),0)))))</f>
        <v>50</v>
      </c>
      <c r="N40" s="724">
        <f t="shared" si="3"/>
        <v>1.3818354365445778E-2</v>
      </c>
      <c r="O40" s="596">
        <f>IF(N40="Løype",Poengsammendrag!$F$2,IF(N40="Arr",Poengsammendrag!$F$3,IF(N40="Brutt",50,IF(N40="Disk",50,ROUND(MAXA(100*(MIN(N$10:N$92)/N40),50),0)))))</f>
        <v>50</v>
      </c>
      <c r="S40" s="803" t="s">
        <v>248</v>
      </c>
      <c r="T40" s="736">
        <v>2.494212962962963E-2</v>
      </c>
      <c r="U40" s="752">
        <v>50</v>
      </c>
      <c r="V40" s="781"/>
      <c r="W40" s="776" t="s">
        <v>248</v>
      </c>
      <c r="X40" s="740">
        <v>50</v>
      </c>
      <c r="AB40" s="828">
        <f t="shared" si="5"/>
        <v>85</v>
      </c>
      <c r="AC40" s="829">
        <f t="shared" si="4"/>
        <v>1</v>
      </c>
    </row>
    <row r="41" spans="2:29" ht="21" thickBot="1" x14ac:dyDescent="0.3">
      <c r="B41" s="16">
        <f t="shared" si="0"/>
        <v>32</v>
      </c>
      <c r="C41" s="106" t="s">
        <v>64</v>
      </c>
      <c r="D41" s="107" t="s">
        <v>366</v>
      </c>
      <c r="E41" s="599" t="str">
        <f t="shared" si="1"/>
        <v>BjørnHafskjold</v>
      </c>
      <c r="F41" s="192">
        <f>YEAR(I$5)-_xlfn.XLOOKUP(E41,Deltakerliste!E$5:E$98,Deltakerliste!I$5:I$98)</f>
        <v>79</v>
      </c>
      <c r="G41" s="192">
        <f>_xlfn.XLOOKUP(E41,Deltakerliste!E$5:E$98,Deltakerliste!H$5:H$98)</f>
        <v>2</v>
      </c>
      <c r="H41" s="592">
        <f>VLOOKUP(F41,Deltakerliste!P$6:T$84,G41,FALSE)</f>
        <v>1.8050000000000002</v>
      </c>
      <c r="I41" s="14">
        <v>5.3460648148148146E-2</v>
      </c>
      <c r="J41" s="14"/>
      <c r="K41" s="18"/>
      <c r="L41" s="600">
        <f t="shared" si="2"/>
        <v>2.9700360082304526E-2</v>
      </c>
      <c r="M41" s="594">
        <f>IF(L41="Løype",Poengsammendrag!$F$2,IF(L41="Arr",Poengsammendrag!$F$3,IF(L41="Brutt",50,IF(L41="Disk",50,ROUND(MAXA(100*(MIN(L$10:L$92)/L41),50),0)))))</f>
        <v>50</v>
      </c>
      <c r="N41" s="724">
        <f t="shared" si="3"/>
        <v>1.6454493120390316E-2</v>
      </c>
      <c r="O41" s="596">
        <f>IF(N41="Løype",Poengsammendrag!$F$2,IF(N41="Arr",Poengsammendrag!$F$3,IF(N41="Brutt",50,IF(N41="Disk",50,ROUND(MAXA(100*(MIN(N$10:N$92)/N41),50),0)))))</f>
        <v>50</v>
      </c>
      <c r="S41" s="803" t="s">
        <v>367</v>
      </c>
      <c r="T41" s="736">
        <v>2.9700360082304526E-2</v>
      </c>
      <c r="U41" s="752">
        <v>50</v>
      </c>
      <c r="V41" s="781"/>
      <c r="W41" s="776" t="s">
        <v>367</v>
      </c>
      <c r="X41" s="740">
        <v>50</v>
      </c>
      <c r="AB41" s="828">
        <f t="shared" si="5"/>
        <v>86</v>
      </c>
      <c r="AC41" s="829">
        <f t="shared" si="4"/>
        <v>1</v>
      </c>
    </row>
    <row r="42" spans="2:29" ht="21" customHeight="1" thickBot="1" x14ac:dyDescent="0.3">
      <c r="B42" s="16">
        <f t="shared" ref="B42:B73" si="6">B41+1</f>
        <v>33</v>
      </c>
      <c r="C42" s="106" t="s">
        <v>101</v>
      </c>
      <c r="D42" s="107" t="s">
        <v>102</v>
      </c>
      <c r="E42" s="599" t="str">
        <f t="shared" ref="E42:E73" si="7">_xlfn.CONCAT(C42:D42)</f>
        <v>EvenHofstad</v>
      </c>
      <c r="F42" s="192">
        <f>YEAR(I$5)-_xlfn.XLOOKUP(E42,Deltakerliste!E$5:E$98,Deltakerliste!I$5:I$98)</f>
        <v>72</v>
      </c>
      <c r="G42" s="192">
        <f>_xlfn.XLOOKUP(E42,Deltakerliste!E$5:E$98,Deltakerliste!H$5:H$98)</f>
        <v>2</v>
      </c>
      <c r="H42" s="592">
        <f>VLOOKUP(F42,Deltakerliste!P$6:T$84,G42,FALSE)</f>
        <v>1.4969999999999999</v>
      </c>
      <c r="I42" s="86"/>
      <c r="J42" s="86" t="s">
        <v>7</v>
      </c>
      <c r="K42" s="13"/>
      <c r="L42" s="600" t="str">
        <f t="shared" si="2"/>
        <v>Arr</v>
      </c>
      <c r="M42" s="594">
        <f>IF(L42="Løype",Poengsammendrag!$F$2,IF(L42="Arr",Poengsammendrag!$F$3,IF(L42="Brutt",50,IF(L42="Disk",50,ROUND(MAXA(100*(MIN(L$10:L$92)/L42),50),0)))))</f>
        <v>94</v>
      </c>
      <c r="N42" s="724" t="str">
        <f t="shared" si="3"/>
        <v>Arr</v>
      </c>
      <c r="O42" s="596">
        <f>IF(N42="Løype",Poengsammendrag!$F$2,IF(N42="Arr",Poengsammendrag!$F$3,IF(N42="Brutt",50,IF(N42="Disk",50,ROUND(MAXA(100*(MIN(N$10:N$92)/N42),50),0)))))</f>
        <v>94</v>
      </c>
      <c r="S42" s="803" t="s">
        <v>101</v>
      </c>
      <c r="T42" s="796" t="s">
        <v>7</v>
      </c>
      <c r="U42" s="765">
        <v>94</v>
      </c>
      <c r="V42" s="782"/>
      <c r="W42" s="777" t="s">
        <v>101</v>
      </c>
      <c r="X42" s="762">
        <v>94</v>
      </c>
      <c r="AB42" s="828">
        <f t="shared" si="5"/>
        <v>87</v>
      </c>
      <c r="AC42" s="829">
        <f t="shared" si="4"/>
        <v>1</v>
      </c>
    </row>
    <row r="43" spans="2:29" ht="21" thickBot="1" x14ac:dyDescent="0.3">
      <c r="B43" s="16">
        <f t="shared" si="6"/>
        <v>34</v>
      </c>
      <c r="C43" s="106" t="s">
        <v>120</v>
      </c>
      <c r="D43" s="107" t="s">
        <v>121</v>
      </c>
      <c r="E43" s="599" t="str">
        <f t="shared" si="7"/>
        <v>KlausLivik</v>
      </c>
      <c r="F43" s="192">
        <f>YEAR(I$5)-_xlfn.XLOOKUP(E43,Deltakerliste!E$5:E$98,Deltakerliste!I$5:I$98)</f>
        <v>72</v>
      </c>
      <c r="G43" s="192">
        <f>_xlfn.XLOOKUP(E43,Deltakerliste!E$5:E$98,Deltakerliste!H$5:H$98)</f>
        <v>2</v>
      </c>
      <c r="H43" s="592">
        <f>VLOOKUP(F43,Deltakerliste!P$6:T$84,G43,FALSE)</f>
        <v>1.4969999999999999</v>
      </c>
      <c r="I43" s="13"/>
      <c r="J43" s="13" t="s">
        <v>7</v>
      </c>
      <c r="K43" s="17"/>
      <c r="L43" s="600" t="str">
        <f t="shared" si="2"/>
        <v>Arr</v>
      </c>
      <c r="M43" s="594">
        <f>IF(L43="Løype",Poengsammendrag!$F$2,IF(L43="Arr",Poengsammendrag!$F$3,IF(L43="Brutt",50,IF(L43="Disk",50,ROUND(MAXA(100*(MIN(L$10:L$92)/L43),50),0)))))</f>
        <v>94</v>
      </c>
      <c r="N43" s="724" t="str">
        <f t="shared" si="3"/>
        <v>Arr</v>
      </c>
      <c r="O43" s="596">
        <f>IF(N43="Løype",Poengsammendrag!$F$2,IF(N43="Arr",Poengsammendrag!$F$3,IF(N43="Brutt",50,IF(N43="Disk",50,ROUND(MAXA(100*(MIN(N$10:N$92)/N43),50),0)))))</f>
        <v>94</v>
      </c>
      <c r="S43" s="803" t="s">
        <v>120</v>
      </c>
      <c r="T43" s="797" t="s">
        <v>7</v>
      </c>
      <c r="U43" s="770">
        <v>94</v>
      </c>
      <c r="V43" s="778"/>
      <c r="W43" s="783" t="s">
        <v>120</v>
      </c>
      <c r="X43" s="740">
        <v>94</v>
      </c>
      <c r="AB43" s="828">
        <f t="shared" si="5"/>
        <v>88</v>
      </c>
      <c r="AC43" s="829">
        <f t="shared" si="4"/>
        <v>0</v>
      </c>
    </row>
    <row r="44" spans="2:29" ht="21" customHeight="1" thickBot="1" x14ac:dyDescent="0.3">
      <c r="B44" s="16">
        <f t="shared" si="6"/>
        <v>35</v>
      </c>
      <c r="C44" s="106" t="s">
        <v>78</v>
      </c>
      <c r="D44" s="107" t="s">
        <v>79</v>
      </c>
      <c r="E44" s="599" t="str">
        <f t="shared" si="7"/>
        <v>LeifEngen</v>
      </c>
      <c r="F44" s="192">
        <f>YEAR(I$5)-_xlfn.XLOOKUP(E44,Deltakerliste!E$5:E$98,Deltakerliste!I$5:I$98)</f>
        <v>85</v>
      </c>
      <c r="G44" s="192">
        <f>_xlfn.XLOOKUP(E44,Deltakerliste!E$5:E$98,Deltakerliste!H$5:H$98)</f>
        <v>2</v>
      </c>
      <c r="H44" s="592">
        <f>VLOOKUP(F44,Deltakerliste!P$6:T$84,G44,FALSE)</f>
        <v>2.2249999999999996</v>
      </c>
      <c r="I44" s="86" t="s">
        <v>306</v>
      </c>
      <c r="J44" s="86"/>
      <c r="K44" s="13"/>
      <c r="L44" s="600" t="str">
        <f t="shared" si="2"/>
        <v>Brutt</v>
      </c>
      <c r="M44" s="594">
        <f>IF(L44="Løype",Poengsammendrag!$F$2,IF(L44="Arr",Poengsammendrag!$F$3,IF(L44="Brutt",50,IF(L44="Disk",50,ROUND(MAXA(100*(MIN(L$10:L$92)/L44),50),0)))))</f>
        <v>50</v>
      </c>
      <c r="N44" s="724" t="str">
        <f t="shared" si="3"/>
        <v>Brutt</v>
      </c>
      <c r="O44" s="596">
        <f>IF(N44="Løype",Poengsammendrag!$F$2,IF(N44="Arr",Poengsammendrag!$F$3,IF(N44="Brutt",50,IF(N44="Disk",50,ROUND(MAXA(100*(MIN(N$10:N$92)/N44),50),0)))))</f>
        <v>50</v>
      </c>
      <c r="S44" s="803" t="s">
        <v>338</v>
      </c>
      <c r="T44" s="797" t="s">
        <v>306</v>
      </c>
      <c r="U44" s="770">
        <v>50</v>
      </c>
      <c r="V44" s="772"/>
      <c r="W44" s="783" t="s">
        <v>338</v>
      </c>
      <c r="X44" s="740">
        <v>50</v>
      </c>
      <c r="AB44" s="828">
        <f t="shared" si="5"/>
        <v>89</v>
      </c>
      <c r="AC44" s="829">
        <f t="shared" si="4"/>
        <v>0</v>
      </c>
    </row>
    <row r="45" spans="2:29" ht="21" thickBot="1" x14ac:dyDescent="0.3">
      <c r="B45" s="16">
        <f t="shared" si="6"/>
        <v>36</v>
      </c>
      <c r="C45" s="106" t="s">
        <v>80</v>
      </c>
      <c r="D45" s="107" t="s">
        <v>81</v>
      </c>
      <c r="E45" s="599" t="str">
        <f t="shared" si="7"/>
        <v>HalvorFlatberg</v>
      </c>
      <c r="F45" s="192">
        <f>YEAR(I$5)-_xlfn.XLOOKUP(E45,Deltakerliste!E$5:E$98,Deltakerliste!I$5:I$98)</f>
        <v>80</v>
      </c>
      <c r="G45" s="192">
        <f>_xlfn.XLOOKUP(E45,Deltakerliste!E$5:E$98,Deltakerliste!H$5:H$98)</f>
        <v>2</v>
      </c>
      <c r="H45" s="592">
        <f>VLOOKUP(F45,Deltakerliste!P$6:T$84,G45,FALSE)</f>
        <v>1.8550000000000002</v>
      </c>
      <c r="I45" s="86" t="s">
        <v>306</v>
      </c>
      <c r="J45" s="86"/>
      <c r="K45" s="13"/>
      <c r="L45" s="600" t="str">
        <f t="shared" si="2"/>
        <v>Brutt</v>
      </c>
      <c r="M45" s="594">
        <f>IF(L45="Løype",Poengsammendrag!$F$2,IF(L45="Arr",Poengsammendrag!$F$3,IF(L45="Brutt",50,IF(L45="Disk",50,ROUND(MAXA(100*(MIN(L$10:L$92)/L45),50),0)))))</f>
        <v>50</v>
      </c>
      <c r="N45" s="724" t="str">
        <f t="shared" si="3"/>
        <v>Brutt</v>
      </c>
      <c r="O45" s="596">
        <f>IF(N45="Løype",Poengsammendrag!$F$2,IF(N45="Arr",Poengsammendrag!$F$3,IF(N45="Brutt",50,IF(N45="Disk",50,ROUND(MAXA(100*(MIN(N$10:N$92)/N45),50),0)))))</f>
        <v>50</v>
      </c>
      <c r="S45" s="803" t="s">
        <v>80</v>
      </c>
      <c r="T45" s="797" t="s">
        <v>306</v>
      </c>
      <c r="U45" s="770">
        <v>50</v>
      </c>
      <c r="V45" s="772"/>
      <c r="W45" s="783" t="s">
        <v>80</v>
      </c>
      <c r="X45" s="740">
        <v>50</v>
      </c>
      <c r="AB45" s="828">
        <f t="shared" si="5"/>
        <v>90</v>
      </c>
      <c r="AC45" s="829">
        <f t="shared" si="4"/>
        <v>0</v>
      </c>
    </row>
    <row r="46" spans="2:29" ht="21" thickBot="1" x14ac:dyDescent="0.3">
      <c r="B46" s="16">
        <f t="shared" si="6"/>
        <v>37</v>
      </c>
      <c r="C46" s="106" t="s">
        <v>96</v>
      </c>
      <c r="D46" s="107" t="s">
        <v>97</v>
      </c>
      <c r="E46" s="599" t="str">
        <f t="shared" si="7"/>
        <v>StigHaugskott</v>
      </c>
      <c r="F46" s="192">
        <f>YEAR(I$5)-_xlfn.XLOOKUP(E46,Deltakerliste!E$5:E$98,Deltakerliste!I$5:I$98)</f>
        <v>87</v>
      </c>
      <c r="G46" s="192">
        <f>_xlfn.XLOOKUP(E46,Deltakerliste!E$5:E$98,Deltakerliste!H$5:H$98)</f>
        <v>2</v>
      </c>
      <c r="H46" s="592">
        <f>VLOOKUP(F46,Deltakerliste!P$6:T$84,G46,FALSE)</f>
        <v>2.3929999999999998</v>
      </c>
      <c r="I46" s="86" t="s">
        <v>306</v>
      </c>
      <c r="J46" s="853"/>
      <c r="K46" s="86"/>
      <c r="L46" s="600" t="str">
        <f t="shared" si="2"/>
        <v>Brutt</v>
      </c>
      <c r="M46" s="594">
        <f>IF(L46="Løype",Poengsammendrag!$F$2,IF(L46="Arr",Poengsammendrag!$F$3,IF(L46="Brutt",50,IF(L46="Disk",50,ROUND(MAXA(100*(MIN(L$10:L$92)/L46),50),0)))))</f>
        <v>50</v>
      </c>
      <c r="N46" s="724" t="str">
        <f t="shared" si="3"/>
        <v>Brutt</v>
      </c>
      <c r="O46" s="596">
        <f>IF(N46="Løype",Poengsammendrag!$F$2,IF(N46="Arr",Poengsammendrag!$F$3,IF(N46="Brutt",50,IF(N46="Disk",50,ROUND(MAXA(100*(MIN(N$10:N$92)/N46),50),0)))))</f>
        <v>50</v>
      </c>
      <c r="S46" s="803" t="s">
        <v>96</v>
      </c>
      <c r="T46" s="797" t="s">
        <v>306</v>
      </c>
      <c r="U46" s="770">
        <v>50</v>
      </c>
      <c r="V46" s="772"/>
      <c r="W46" s="783" t="s">
        <v>96</v>
      </c>
      <c r="X46" s="740">
        <v>50</v>
      </c>
      <c r="AB46" s="828">
        <f t="shared" si="5"/>
        <v>91</v>
      </c>
      <c r="AC46" s="829">
        <f t="shared" si="4"/>
        <v>0</v>
      </c>
    </row>
    <row r="47" spans="2:29" ht="21" customHeight="1" thickBot="1" x14ac:dyDescent="0.3">
      <c r="B47" s="16">
        <f t="shared" si="6"/>
        <v>38</v>
      </c>
      <c r="C47" s="106" t="s">
        <v>263</v>
      </c>
      <c r="D47" s="107" t="s">
        <v>264</v>
      </c>
      <c r="E47" s="599" t="str">
        <f t="shared" si="7"/>
        <v>RuneHolt</v>
      </c>
      <c r="F47" s="192">
        <f>YEAR(I$5)-_xlfn.XLOOKUP(E47,Deltakerliste!E$5:E$98,Deltakerliste!I$5:I$98)</f>
        <v>73</v>
      </c>
      <c r="G47" s="192">
        <f>_xlfn.XLOOKUP(E47,Deltakerliste!E$5:E$98,Deltakerliste!H$5:H$98)</f>
        <v>2</v>
      </c>
      <c r="H47" s="592">
        <f>VLOOKUP(F47,Deltakerliste!P$6:T$84,G47,FALSE)</f>
        <v>1.5329999999999999</v>
      </c>
      <c r="I47" s="86" t="s">
        <v>306</v>
      </c>
      <c r="J47" s="134"/>
      <c r="K47" s="17"/>
      <c r="L47" s="600" t="str">
        <f t="shared" si="2"/>
        <v>Brutt</v>
      </c>
      <c r="M47" s="594">
        <f>IF(L47="Løype",Poengsammendrag!$F$2,IF(L47="Arr",Poengsammendrag!$F$3,IF(L47="Brutt",50,IF(L47="Disk",50,ROUND(MAXA(100*(MIN(L$10:L$92)/L47),50),0)))))</f>
        <v>50</v>
      </c>
      <c r="N47" s="724" t="str">
        <f t="shared" si="3"/>
        <v>Brutt</v>
      </c>
      <c r="O47" s="596">
        <f>IF(N47="Løype",Poengsammendrag!$F$2,IF(N47="Arr",Poengsammendrag!$F$3,IF(N47="Brutt",50,IF(N47="Disk",50,ROUND(MAXA(100*(MIN(N$10:N$92)/N47),50),0)))))</f>
        <v>50</v>
      </c>
      <c r="S47" s="803" t="s">
        <v>263</v>
      </c>
      <c r="T47" s="797" t="s">
        <v>306</v>
      </c>
      <c r="U47" s="770">
        <v>50</v>
      </c>
      <c r="V47" s="772"/>
      <c r="W47" s="783" t="s">
        <v>263</v>
      </c>
      <c r="X47" s="740">
        <v>50</v>
      </c>
      <c r="AB47" s="828">
        <f t="shared" si="5"/>
        <v>92</v>
      </c>
      <c r="AC47" s="829">
        <f t="shared" si="4"/>
        <v>0</v>
      </c>
    </row>
    <row r="48" spans="2:29" ht="21" customHeight="1" thickBot="1" x14ac:dyDescent="0.3">
      <c r="B48" s="16">
        <f t="shared" si="6"/>
        <v>39</v>
      </c>
      <c r="C48" s="106" t="s">
        <v>63</v>
      </c>
      <c r="D48" s="107" t="s">
        <v>98</v>
      </c>
      <c r="E48" s="599" t="str">
        <f t="shared" si="7"/>
        <v>ToreHeggem</v>
      </c>
      <c r="F48" s="192">
        <f>YEAR(I$5)-_xlfn.XLOOKUP(E48,Deltakerliste!E$5:E$98,Deltakerliste!I$5:I$98)</f>
        <v>73</v>
      </c>
      <c r="G48" s="192">
        <f>_xlfn.XLOOKUP(E48,Deltakerliste!E$5:E$98,Deltakerliste!H$5:H$98)</f>
        <v>2</v>
      </c>
      <c r="H48" s="592">
        <f>VLOOKUP(F48,Deltakerliste!P$6:T$84,G48,FALSE)</f>
        <v>1.5329999999999999</v>
      </c>
      <c r="I48" s="86"/>
      <c r="J48" s="86" t="s">
        <v>62</v>
      </c>
      <c r="K48" s="13"/>
      <c r="L48" s="600" t="str">
        <f t="shared" si="2"/>
        <v>Løype</v>
      </c>
      <c r="M48" s="594">
        <f>IF(L48="Løype",Poengsammendrag!$F$2,IF(L48="Arr",Poengsammendrag!$F$3,IF(L48="Brutt",50,IF(L48="Disk",50,ROUND(MAXA(100*(MIN(L$10:L$92)/L48),50),0)))))</f>
        <v>100</v>
      </c>
      <c r="N48" s="724" t="str">
        <f t="shared" si="3"/>
        <v>Løype</v>
      </c>
      <c r="O48" s="596">
        <f>IF(N48="Løype",Poengsammendrag!$F$2,IF(N48="Arr",Poengsammendrag!$F$3,IF(N48="Brutt",50,IF(N48="Disk",50,ROUND(MAXA(100*(MIN(N$10:N$92)/N48),50),0)))))</f>
        <v>100</v>
      </c>
      <c r="S48" s="803" t="s">
        <v>340</v>
      </c>
      <c r="T48" s="797" t="s">
        <v>62</v>
      </c>
      <c r="U48" s="770">
        <v>100</v>
      </c>
      <c r="V48" s="772"/>
      <c r="W48" s="783" t="s">
        <v>340</v>
      </c>
      <c r="X48" s="740">
        <v>100</v>
      </c>
      <c r="AB48" s="828">
        <f t="shared" si="5"/>
        <v>93</v>
      </c>
      <c r="AC48" s="829">
        <f t="shared" si="4"/>
        <v>0</v>
      </c>
    </row>
    <row r="49" spans="2:29" ht="21" customHeight="1" thickBot="1" x14ac:dyDescent="0.3">
      <c r="B49" s="16">
        <f t="shared" si="6"/>
        <v>40</v>
      </c>
      <c r="C49" s="106" t="s">
        <v>60</v>
      </c>
      <c r="D49" s="107" t="s">
        <v>61</v>
      </c>
      <c r="E49" s="599" t="str">
        <f t="shared" si="7"/>
        <v>JosteinAlvestad</v>
      </c>
      <c r="F49" s="192">
        <f>YEAR(I$5)-_xlfn.XLOOKUP(E49,Deltakerliste!E$5:E$98,Deltakerliste!I$5:I$98)</f>
        <v>71</v>
      </c>
      <c r="G49" s="192">
        <f>_xlfn.XLOOKUP(E49,Deltakerliste!E$5:E$98,Deltakerliste!H$5:H$98)</f>
        <v>2</v>
      </c>
      <c r="H49" s="592">
        <f>VLOOKUP(F49,Deltakerliste!P$6:T$84,G49,FALSE)</f>
        <v>1.4609999999999999</v>
      </c>
      <c r="I49" s="13"/>
      <c r="J49" s="13"/>
      <c r="K49" s="17"/>
      <c r="L49" s="600"/>
      <c r="M49" s="594"/>
      <c r="N49" s="724"/>
      <c r="O49" s="596"/>
      <c r="S49" s="803"/>
      <c r="T49" s="796"/>
      <c r="U49" s="793"/>
      <c r="V49" s="794"/>
      <c r="W49" s="795"/>
      <c r="X49" s="762"/>
      <c r="AB49" s="828">
        <f t="shared" si="5"/>
        <v>94</v>
      </c>
      <c r="AC49" s="829">
        <f t="shared" si="4"/>
        <v>0</v>
      </c>
    </row>
    <row r="50" spans="2:29" ht="21" thickBot="1" x14ac:dyDescent="0.3">
      <c r="B50" s="16">
        <f t="shared" si="6"/>
        <v>41</v>
      </c>
      <c r="C50" s="106" t="s">
        <v>66</v>
      </c>
      <c r="D50" s="107" t="s">
        <v>67</v>
      </c>
      <c r="E50" s="599" t="str">
        <f t="shared" si="7"/>
        <v>FrankBjarkø</v>
      </c>
      <c r="F50" s="192">
        <f>YEAR(I$5)-_xlfn.XLOOKUP(E50,Deltakerliste!E$5:E$98,Deltakerliste!I$5:I$98)</f>
        <v>74</v>
      </c>
      <c r="G50" s="192">
        <f>_xlfn.XLOOKUP(E50,Deltakerliste!E$5:E$98,Deltakerliste!H$5:H$98)</f>
        <v>2</v>
      </c>
      <c r="H50" s="592">
        <f>VLOOKUP(F50,Deltakerliste!P$6:T$84,G50,FALSE)</f>
        <v>1.569</v>
      </c>
      <c r="I50" s="13"/>
      <c r="J50" s="13"/>
      <c r="K50" s="13"/>
      <c r="L50" s="600"/>
      <c r="M50" s="594"/>
      <c r="N50" s="724"/>
      <c r="O50" s="596"/>
      <c r="S50" s="803"/>
      <c r="T50" s="851"/>
      <c r="U50" s="770"/>
      <c r="V50" s="772"/>
      <c r="W50" s="783"/>
      <c r="X50" s="740"/>
      <c r="AB50" s="830">
        <f t="shared" si="5"/>
        <v>95</v>
      </c>
      <c r="AC50" s="831">
        <f t="shared" si="4"/>
        <v>0</v>
      </c>
    </row>
    <row r="51" spans="2:29" ht="21" customHeight="1" thickBot="1" x14ac:dyDescent="0.3">
      <c r="B51" s="16">
        <f t="shared" si="6"/>
        <v>42</v>
      </c>
      <c r="C51" s="106" t="s">
        <v>364</v>
      </c>
      <c r="D51" s="107" t="s">
        <v>365</v>
      </c>
      <c r="E51" s="599" t="str">
        <f t="shared" si="7"/>
        <v>GerdBjørset</v>
      </c>
      <c r="F51" s="192">
        <f>YEAR(I$5)-_xlfn.XLOOKUP(E51,Deltakerliste!E$5:E$98,Deltakerliste!I$5:I$98)</f>
        <v>72</v>
      </c>
      <c r="G51" s="192">
        <f>_xlfn.XLOOKUP(E51,Deltakerliste!E$5:E$98,Deltakerliste!H$5:H$98)</f>
        <v>4</v>
      </c>
      <c r="H51" s="592">
        <f>VLOOKUP(F51,Deltakerliste!P$6:T$84,G51,FALSE)</f>
        <v>2.0362000000000013</v>
      </c>
      <c r="I51" s="13"/>
      <c r="J51" s="13"/>
      <c r="K51" s="13"/>
      <c r="L51" s="600"/>
      <c r="M51" s="594"/>
      <c r="N51" s="724"/>
      <c r="O51" s="596"/>
      <c r="S51" s="803"/>
      <c r="T51" s="797"/>
      <c r="U51" s="770"/>
      <c r="V51" s="772"/>
      <c r="W51" s="783"/>
      <c r="X51" s="740"/>
    </row>
    <row r="52" spans="2:29" ht="21" thickBot="1" x14ac:dyDescent="0.3">
      <c r="B52" s="16">
        <f t="shared" si="6"/>
        <v>43</v>
      </c>
      <c r="C52" s="106" t="s">
        <v>64</v>
      </c>
      <c r="D52" s="107" t="s">
        <v>267</v>
      </c>
      <c r="E52" s="599" t="str">
        <f t="shared" si="7"/>
        <v>BjørnBrenne</v>
      </c>
      <c r="F52" s="192">
        <f>YEAR(I$5)-_xlfn.XLOOKUP(E52,Deltakerliste!E$5:E$98,Deltakerliste!I$5:I$98)</f>
        <v>81</v>
      </c>
      <c r="G52" s="192">
        <f>_xlfn.XLOOKUP(E52,Deltakerliste!E$5:E$98,Deltakerliste!H$5:H$98)</f>
        <v>2</v>
      </c>
      <c r="H52" s="592">
        <f>VLOOKUP(F52,Deltakerliste!P$6:T$84,G52,FALSE)</f>
        <v>1.9290000000000003</v>
      </c>
      <c r="I52" s="86"/>
      <c r="J52" s="86"/>
      <c r="K52" s="13"/>
      <c r="L52" s="600"/>
      <c r="M52" s="594"/>
      <c r="N52" s="724"/>
      <c r="O52" s="596"/>
      <c r="S52" s="803"/>
      <c r="T52" s="798"/>
      <c r="U52" s="770"/>
      <c r="V52" s="772"/>
      <c r="W52" s="783"/>
      <c r="X52" s="740"/>
      <c r="AC52" s="651">
        <f>SUM(AC10:AC50)</f>
        <v>39</v>
      </c>
    </row>
    <row r="53" spans="2:29" ht="21" thickBot="1" x14ac:dyDescent="0.3">
      <c r="B53" s="16">
        <f t="shared" si="6"/>
        <v>44</v>
      </c>
      <c r="C53" s="106" t="s">
        <v>342</v>
      </c>
      <c r="D53" s="107" t="s">
        <v>388</v>
      </c>
      <c r="E53" s="599" t="str">
        <f t="shared" si="7"/>
        <v>ArildClausen</v>
      </c>
      <c r="F53" s="192">
        <f>YEAR(I$5)-_xlfn.XLOOKUP(E53,Deltakerliste!E$5:E$98,Deltakerliste!I$5:I$98)</f>
        <v>58</v>
      </c>
      <c r="G53" s="192">
        <f>_xlfn.XLOOKUP(E53,Deltakerliste!E$5:E$98,Deltakerliste!H$5:H$98)</f>
        <v>2</v>
      </c>
      <c r="H53" s="592">
        <f>VLOOKUP(F53,Deltakerliste!P$6:T$84,G53,FALSE)</f>
        <v>1.1720000000000002</v>
      </c>
      <c r="I53" s="86"/>
      <c r="J53" s="86"/>
      <c r="K53" s="13"/>
      <c r="L53" s="600"/>
      <c r="M53" s="594"/>
      <c r="N53" s="724"/>
      <c r="O53" s="596"/>
      <c r="S53" s="803"/>
      <c r="T53" s="798"/>
      <c r="U53" s="770"/>
      <c r="V53" s="772"/>
      <c r="W53" s="783"/>
      <c r="X53" s="740"/>
    </row>
    <row r="54" spans="2:29" ht="21" thickBot="1" x14ac:dyDescent="0.3">
      <c r="B54" s="16">
        <f t="shared" si="6"/>
        <v>45</v>
      </c>
      <c r="C54" s="106" t="s">
        <v>70</v>
      </c>
      <c r="D54" s="107" t="s">
        <v>71</v>
      </c>
      <c r="E54" s="599" t="str">
        <f t="shared" si="7"/>
        <v>TrondDamås</v>
      </c>
      <c r="F54" s="192">
        <f>YEAR(I$5)-_xlfn.XLOOKUP(E54,Deltakerliste!E$5:E$98,Deltakerliste!I$5:I$98)</f>
        <v>76</v>
      </c>
      <c r="G54" s="192">
        <f>_xlfn.XLOOKUP(E54,Deltakerliste!E$5:E$98,Deltakerliste!H$5:H$98)</f>
        <v>2</v>
      </c>
      <c r="H54" s="592">
        <f>VLOOKUP(F54,Deltakerliste!P$6:T$84,G54,FALSE)</f>
        <v>1.655</v>
      </c>
      <c r="I54" s="13"/>
      <c r="J54" s="13"/>
      <c r="K54" s="13"/>
      <c r="L54" s="600"/>
      <c r="M54" s="594"/>
      <c r="N54" s="724"/>
      <c r="O54" s="596"/>
      <c r="S54" s="846"/>
      <c r="T54" s="847"/>
      <c r="U54" s="848"/>
      <c r="V54" s="778"/>
      <c r="W54" s="849"/>
      <c r="X54" s="850"/>
    </row>
    <row r="55" spans="2:29" ht="21" customHeight="1" thickBot="1" x14ac:dyDescent="0.3">
      <c r="B55" s="16">
        <f t="shared" si="6"/>
        <v>46</v>
      </c>
      <c r="C55" s="106" t="s">
        <v>74</v>
      </c>
      <c r="D55" s="107" t="s">
        <v>75</v>
      </c>
      <c r="E55" s="599" t="str">
        <f t="shared" si="7"/>
        <v>StinaElfving</v>
      </c>
      <c r="F55" s="192">
        <f>YEAR(I$5)-_xlfn.XLOOKUP(E55,Deltakerliste!E$5:E$98,Deltakerliste!I$5:I$98)</f>
        <v>76</v>
      </c>
      <c r="G55" s="192">
        <f>_xlfn.XLOOKUP(E55,Deltakerliste!E$5:E$98,Deltakerliste!H$5:H$98)</f>
        <v>4</v>
      </c>
      <c r="H55" s="592">
        <f>VLOOKUP(F55,Deltakerliste!P$6:T$84,G55,FALSE)</f>
        <v>2.2246000000000015</v>
      </c>
      <c r="I55" s="13"/>
      <c r="J55" s="13"/>
      <c r="K55" s="17"/>
      <c r="L55" s="600"/>
      <c r="M55" s="594"/>
      <c r="N55" s="724"/>
      <c r="O55" s="596"/>
      <c r="S55" s="803"/>
      <c r="T55" s="798"/>
      <c r="U55" s="770"/>
      <c r="V55" s="772"/>
      <c r="W55" s="783"/>
      <c r="X55" s="740"/>
    </row>
    <row r="56" spans="2:29" ht="21" thickBot="1" x14ac:dyDescent="0.3">
      <c r="B56" s="16">
        <f t="shared" si="6"/>
        <v>47</v>
      </c>
      <c r="C56" s="106" t="s">
        <v>76</v>
      </c>
      <c r="D56" s="107" t="s">
        <v>77</v>
      </c>
      <c r="E56" s="599" t="str">
        <f t="shared" si="7"/>
        <v>ReinoldEllingsen</v>
      </c>
      <c r="F56" s="192">
        <f>YEAR(I$5)-_xlfn.XLOOKUP(E56,Deltakerliste!E$5:E$98,Deltakerliste!I$5:I$98)</f>
        <v>75</v>
      </c>
      <c r="G56" s="192">
        <f>_xlfn.XLOOKUP(E56,Deltakerliste!E$5:E$98,Deltakerliste!H$5:H$98)</f>
        <v>2</v>
      </c>
      <c r="H56" s="592">
        <f>VLOOKUP(F56,Deltakerliste!P$6:T$84,G56,FALSE)</f>
        <v>1.605</v>
      </c>
      <c r="I56" s="13"/>
      <c r="J56" s="13"/>
      <c r="K56" s="13"/>
      <c r="L56" s="600"/>
      <c r="M56" s="594"/>
      <c r="N56" s="724"/>
      <c r="O56" s="596"/>
      <c r="S56" s="803"/>
      <c r="T56" s="798"/>
      <c r="U56" s="770"/>
      <c r="V56" s="772"/>
      <c r="W56" s="783"/>
      <c r="X56" s="740"/>
    </row>
    <row r="57" spans="2:29" ht="21" thickBot="1" x14ac:dyDescent="0.3">
      <c r="B57" s="16">
        <f t="shared" si="6"/>
        <v>48</v>
      </c>
      <c r="C57" s="106" t="s">
        <v>216</v>
      </c>
      <c r="D57" s="107" t="s">
        <v>77</v>
      </c>
      <c r="E57" s="599" t="str">
        <f t="shared" si="7"/>
        <v>Åse RitaEllingsen</v>
      </c>
      <c r="F57" s="192">
        <f>YEAR(I$5)-_xlfn.XLOOKUP(E57,Deltakerliste!E$5:E$98,Deltakerliste!I$5:I$98)</f>
        <v>62</v>
      </c>
      <c r="G57" s="192">
        <f>_xlfn.XLOOKUP(E57,Deltakerliste!E$5:E$98,Deltakerliste!H$5:H$98)</f>
        <v>4</v>
      </c>
      <c r="H57" s="592">
        <f>VLOOKUP(F57,Deltakerliste!P$6:T$84,G57,FALSE)</f>
        <v>1.6834000000000005</v>
      </c>
      <c r="I57" s="86"/>
      <c r="J57" s="14"/>
      <c r="K57" s="13"/>
      <c r="L57" s="600"/>
      <c r="M57" s="594"/>
      <c r="N57" s="724"/>
      <c r="O57" s="596"/>
      <c r="S57" s="804"/>
      <c r="T57" s="801"/>
      <c r="U57" s="771"/>
      <c r="V57" s="773"/>
      <c r="W57" s="784"/>
      <c r="X57" s="741"/>
    </row>
    <row r="58" spans="2:29" ht="20" customHeight="1" thickBot="1" x14ac:dyDescent="0.3">
      <c r="B58" s="16">
        <f t="shared" si="6"/>
        <v>49</v>
      </c>
      <c r="C58" s="106" t="s">
        <v>271</v>
      </c>
      <c r="D58" s="107" t="s">
        <v>272</v>
      </c>
      <c r="E58" s="599" t="str">
        <f t="shared" si="7"/>
        <v>Arne KjellFoldvik</v>
      </c>
      <c r="F58" s="192">
        <f>YEAR(I$5)-_xlfn.XLOOKUP(E58,Deltakerliste!E$5:E$98,Deltakerliste!I$5:I$98)</f>
        <v>92</v>
      </c>
      <c r="G58" s="192">
        <f>_xlfn.XLOOKUP(E58,Deltakerliste!E$5:E$98,Deltakerliste!H$5:H$98)</f>
        <v>2</v>
      </c>
      <c r="H58" s="592">
        <f>VLOOKUP(F58,Deltakerliste!P$6:T$84,G58,FALSE)</f>
        <v>2.8130000000000002</v>
      </c>
      <c r="I58" s="14"/>
      <c r="J58" s="14"/>
      <c r="K58" s="13"/>
      <c r="L58" s="600"/>
      <c r="M58" s="594"/>
      <c r="N58" s="724"/>
      <c r="O58" s="596"/>
    </row>
    <row r="59" spans="2:29" ht="21" thickBot="1" x14ac:dyDescent="0.3">
      <c r="B59" s="16">
        <f t="shared" si="6"/>
        <v>50</v>
      </c>
      <c r="C59" s="106" t="s">
        <v>82</v>
      </c>
      <c r="D59" s="107" t="s">
        <v>83</v>
      </c>
      <c r="E59" s="599" t="str">
        <f t="shared" si="7"/>
        <v>RoarForbord</v>
      </c>
      <c r="F59" s="192">
        <f>YEAR(I$5)-_xlfn.XLOOKUP(E59,Deltakerliste!E$5:E$98,Deltakerliste!I$5:I$98)</f>
        <v>83</v>
      </c>
      <c r="G59" s="192">
        <f>_xlfn.XLOOKUP(E59,Deltakerliste!E$5:E$98,Deltakerliste!H$5:H$98)</f>
        <v>2</v>
      </c>
      <c r="H59" s="592">
        <f>VLOOKUP(F59,Deltakerliste!P$6:T$84,G59,FALSE)</f>
        <v>2.077</v>
      </c>
      <c r="I59" s="86"/>
      <c r="J59" s="86"/>
      <c r="K59" s="13"/>
      <c r="L59" s="600"/>
      <c r="M59" s="594"/>
      <c r="N59" s="724"/>
      <c r="O59" s="596"/>
    </row>
    <row r="60" spans="2:29" ht="21" customHeight="1" thickBot="1" x14ac:dyDescent="0.3">
      <c r="B60" s="16">
        <f t="shared" si="6"/>
        <v>51</v>
      </c>
      <c r="C60" s="106" t="s">
        <v>377</v>
      </c>
      <c r="D60" s="107" t="s">
        <v>83</v>
      </c>
      <c r="E60" s="599" t="str">
        <f t="shared" si="7"/>
        <v>HildeForbord</v>
      </c>
      <c r="F60" s="192">
        <f>YEAR(I$5)-_xlfn.XLOOKUP(E60,Deltakerliste!E$5:E$98,Deltakerliste!I$5:I$98)</f>
        <v>60</v>
      </c>
      <c r="G60" s="192">
        <f>_xlfn.XLOOKUP(E60,Deltakerliste!E$5:E$98,Deltakerliste!H$5:H$98)</f>
        <v>4</v>
      </c>
      <c r="H60" s="592">
        <f>VLOOKUP(F60,Deltakerliste!P$6:T$84,G60,FALSE)</f>
        <v>1.6250000000000002</v>
      </c>
      <c r="I60" s="14"/>
      <c r="J60" s="14"/>
      <c r="K60" s="13"/>
      <c r="L60" s="600"/>
      <c r="M60" s="594"/>
      <c r="N60" s="724"/>
      <c r="O60" s="596"/>
    </row>
    <row r="61" spans="2:29" ht="21" customHeight="1" thickBot="1" x14ac:dyDescent="0.3">
      <c r="B61" s="16">
        <f t="shared" si="6"/>
        <v>52</v>
      </c>
      <c r="C61" s="106" t="s">
        <v>84</v>
      </c>
      <c r="D61" s="107" t="s">
        <v>85</v>
      </c>
      <c r="E61" s="599" t="str">
        <f t="shared" si="7"/>
        <v>PaulForseth</v>
      </c>
      <c r="F61" s="192">
        <f>YEAR(I$5)-_xlfn.XLOOKUP(E61,Deltakerliste!E$5:E$98,Deltakerliste!I$5:I$98)</f>
        <v>94</v>
      </c>
      <c r="G61" s="192">
        <f>_xlfn.XLOOKUP(E61,Deltakerliste!E$5:E$98,Deltakerliste!H$5:H$98)</f>
        <v>2</v>
      </c>
      <c r="H61" s="592">
        <f>VLOOKUP(F61,Deltakerliste!P$6:T$84,G61,FALSE)</f>
        <v>2.9810000000000003</v>
      </c>
      <c r="I61" s="86"/>
      <c r="J61" s="86"/>
      <c r="K61" s="17"/>
      <c r="L61" s="600"/>
      <c r="M61" s="594"/>
      <c r="N61" s="724"/>
      <c r="O61" s="596"/>
    </row>
    <row r="62" spans="2:29" ht="21" customHeight="1" thickBot="1" x14ac:dyDescent="0.3">
      <c r="B62" s="16">
        <f t="shared" si="6"/>
        <v>53</v>
      </c>
      <c r="C62" s="106" t="s">
        <v>86</v>
      </c>
      <c r="D62" s="107" t="s">
        <v>87</v>
      </c>
      <c r="E62" s="599" t="str">
        <f t="shared" si="7"/>
        <v>KristianFougner</v>
      </c>
      <c r="F62" s="192">
        <f>YEAR(I$5)-_xlfn.XLOOKUP(E62,Deltakerliste!E$5:E$98,Deltakerliste!I$5:I$98)</f>
        <v>76</v>
      </c>
      <c r="G62" s="192">
        <f>_xlfn.XLOOKUP(E62,Deltakerliste!E$5:E$98,Deltakerliste!H$5:H$98)</f>
        <v>2</v>
      </c>
      <c r="H62" s="592">
        <f>VLOOKUP(F62,Deltakerliste!P$6:T$84,G62,FALSE)</f>
        <v>1.655</v>
      </c>
      <c r="I62" s="86"/>
      <c r="J62" s="86"/>
      <c r="K62" s="13"/>
      <c r="L62" s="600"/>
      <c r="M62" s="594"/>
      <c r="N62" s="724"/>
      <c r="O62" s="596"/>
    </row>
    <row r="63" spans="2:29" ht="21" thickBot="1" x14ac:dyDescent="0.3">
      <c r="B63" s="16">
        <f t="shared" si="6"/>
        <v>54</v>
      </c>
      <c r="C63" s="106" t="s">
        <v>207</v>
      </c>
      <c r="D63" s="107" t="s">
        <v>89</v>
      </c>
      <c r="E63" s="599" t="str">
        <f t="shared" si="7"/>
        <v>AnneFuruholt</v>
      </c>
      <c r="F63" s="192">
        <f>YEAR(I$5)-_xlfn.XLOOKUP(E63,Deltakerliste!E$5:E$98,Deltakerliste!I$5:I$98)</f>
        <v>79</v>
      </c>
      <c r="G63" s="192">
        <f>_xlfn.XLOOKUP(E63,Deltakerliste!E$5:E$98,Deltakerliste!H$5:H$98)</f>
        <v>4</v>
      </c>
      <c r="H63" s="592">
        <f>VLOOKUP(F63,Deltakerliste!P$6:T$84,G63,FALSE)</f>
        <v>2.3974000000000011</v>
      </c>
      <c r="I63" s="13"/>
      <c r="J63" s="13"/>
      <c r="K63" s="13"/>
      <c r="L63" s="600"/>
      <c r="M63" s="594"/>
      <c r="N63" s="724"/>
      <c r="O63" s="596"/>
    </row>
    <row r="64" spans="2:29" ht="21" thickBot="1" x14ac:dyDescent="0.3">
      <c r="B64" s="16">
        <f t="shared" si="6"/>
        <v>55</v>
      </c>
      <c r="C64" s="106" t="s">
        <v>116</v>
      </c>
      <c r="D64" s="107" t="s">
        <v>353</v>
      </c>
      <c r="E64" s="599" t="str">
        <f t="shared" si="7"/>
        <v>AndersGjermo</v>
      </c>
      <c r="F64" s="192">
        <f>YEAR(I$5)-_xlfn.XLOOKUP(E64,Deltakerliste!E$5:E$98,Deltakerliste!I$5:I$98)</f>
        <v>68</v>
      </c>
      <c r="G64" s="192">
        <f>_xlfn.XLOOKUP(E64,Deltakerliste!E$5:E$98,Deltakerliste!H$5:H$98)</f>
        <v>2</v>
      </c>
      <c r="H64" s="592">
        <f>VLOOKUP(F64,Deltakerliste!P$6:T$84,G64,FALSE)</f>
        <v>1.3729999999999998</v>
      </c>
      <c r="I64" s="132"/>
      <c r="J64" s="132"/>
      <c r="K64" s="18"/>
      <c r="L64" s="600"/>
      <c r="M64" s="594"/>
      <c r="N64" s="724"/>
      <c r="O64" s="596"/>
    </row>
    <row r="65" spans="2:17" ht="21" thickBot="1" x14ac:dyDescent="0.3">
      <c r="B65" s="16">
        <f t="shared" si="6"/>
        <v>56</v>
      </c>
      <c r="C65" s="106" t="s">
        <v>92</v>
      </c>
      <c r="D65" s="107" t="s">
        <v>93</v>
      </c>
      <c r="E65" s="599" t="str">
        <f t="shared" si="7"/>
        <v>Jens ØysteinGjersvold</v>
      </c>
      <c r="F65" s="192">
        <f>YEAR(I$5)-_xlfn.XLOOKUP(E65,Deltakerliste!E$5:E$98,Deltakerliste!I$5:I$98)</f>
        <v>74</v>
      </c>
      <c r="G65" s="192">
        <f>_xlfn.XLOOKUP(E65,Deltakerliste!E$5:E$98,Deltakerliste!H$5:H$98)</f>
        <v>2</v>
      </c>
      <c r="H65" s="592">
        <f>VLOOKUP(F65,Deltakerliste!P$6:T$84,G65,FALSE)</f>
        <v>1.569</v>
      </c>
      <c r="I65" s="14"/>
      <c r="J65" s="14"/>
      <c r="K65" s="18"/>
      <c r="L65" s="600"/>
      <c r="M65" s="594"/>
      <c r="N65" s="724"/>
      <c r="O65" s="596"/>
    </row>
    <row r="66" spans="2:17" ht="21" thickBot="1" x14ac:dyDescent="0.3">
      <c r="B66" s="16">
        <f t="shared" si="6"/>
        <v>57</v>
      </c>
      <c r="C66" s="106" t="s">
        <v>60</v>
      </c>
      <c r="D66" s="107" t="s">
        <v>372</v>
      </c>
      <c r="E66" s="599" t="str">
        <f t="shared" si="7"/>
        <v>JosteinGrepstad</v>
      </c>
      <c r="F66" s="192">
        <f>YEAR(I$5)-_xlfn.XLOOKUP(E66,Deltakerliste!E$5:E$98,Deltakerliste!I$5:I$98)</f>
        <v>75</v>
      </c>
      <c r="G66" s="192">
        <f>_xlfn.XLOOKUP(E66,Deltakerliste!E$5:E$98,Deltakerliste!H$5:H$98)</f>
        <v>2</v>
      </c>
      <c r="H66" s="592">
        <f>VLOOKUP(F66,Deltakerliste!P$6:T$84,G66,FALSE)</f>
        <v>1.605</v>
      </c>
      <c r="I66" s="14"/>
      <c r="J66" s="14"/>
      <c r="K66" s="18"/>
      <c r="L66" s="600"/>
      <c r="M66" s="594"/>
      <c r="N66" s="724"/>
      <c r="O66" s="596"/>
    </row>
    <row r="67" spans="2:17" ht="21" thickBot="1" x14ac:dyDescent="0.3">
      <c r="B67" s="16">
        <f t="shared" si="6"/>
        <v>58</v>
      </c>
      <c r="C67" s="106" t="s">
        <v>342</v>
      </c>
      <c r="D67" s="107" t="s">
        <v>343</v>
      </c>
      <c r="E67" s="599" t="str">
        <f t="shared" si="7"/>
        <v>ArildHeggeset</v>
      </c>
      <c r="F67" s="192">
        <f>YEAR(I$5)-_xlfn.XLOOKUP(E67,Deltakerliste!E$5:E$98,Deltakerliste!I$5:I$98)</f>
        <v>59</v>
      </c>
      <c r="G67" s="192">
        <f>_xlfn.XLOOKUP(E67,Deltakerliste!E$5:E$98,Deltakerliste!H$5:H$98)</f>
        <v>2</v>
      </c>
      <c r="H67" s="592">
        <f>VLOOKUP(F67,Deltakerliste!P$6:T$84,G67,FALSE)</f>
        <v>1.1860000000000002</v>
      </c>
      <c r="I67" s="86"/>
      <c r="J67" s="86"/>
      <c r="K67" s="13"/>
      <c r="L67" s="600"/>
      <c r="M67" s="594"/>
      <c r="N67" s="724"/>
      <c r="O67" s="596"/>
    </row>
    <row r="68" spans="2:17" ht="21" thickBot="1" x14ac:dyDescent="0.3">
      <c r="B68" s="16">
        <f t="shared" si="6"/>
        <v>59</v>
      </c>
      <c r="C68" s="106" t="s">
        <v>309</v>
      </c>
      <c r="D68" s="107" t="s">
        <v>310</v>
      </c>
      <c r="E68" s="599" t="str">
        <f t="shared" si="7"/>
        <v>VigdisHeimly</v>
      </c>
      <c r="F68" s="192">
        <f>YEAR(I$5)-_xlfn.XLOOKUP(E68,Deltakerliste!E$5:E$98,Deltakerliste!I$5:I$98)</f>
        <v>67</v>
      </c>
      <c r="G68" s="192">
        <f>_xlfn.XLOOKUP(E68,Deltakerliste!E$5:E$98,Deltakerliste!H$5:H$98)</f>
        <v>4</v>
      </c>
      <c r="H68" s="592">
        <f>VLOOKUP(F68,Deltakerliste!P$6:T$84,G68,FALSE)</f>
        <v>1.8422000000000009</v>
      </c>
      <c r="I68" s="86"/>
      <c r="J68" s="86"/>
      <c r="K68" s="17"/>
      <c r="L68" s="600"/>
      <c r="M68" s="594"/>
      <c r="N68" s="724"/>
      <c r="O68" s="596"/>
    </row>
    <row r="69" spans="2:17" ht="21" thickBot="1" x14ac:dyDescent="0.3">
      <c r="B69" s="16">
        <f t="shared" si="6"/>
        <v>60</v>
      </c>
      <c r="C69" s="106" t="s">
        <v>118</v>
      </c>
      <c r="D69" s="107" t="s">
        <v>383</v>
      </c>
      <c r="E69" s="599" t="str">
        <f t="shared" si="7"/>
        <v>KnutHelland</v>
      </c>
      <c r="F69" s="192">
        <f>YEAR(I$5)-_xlfn.XLOOKUP(E69,Deltakerliste!E$5:E$98,Deltakerliste!I$5:I$98)</f>
        <v>64</v>
      </c>
      <c r="G69" s="192">
        <f>_xlfn.XLOOKUP(E69,Deltakerliste!E$5:E$98,Deltakerliste!H$5:H$98)</f>
        <v>2</v>
      </c>
      <c r="H69" s="592">
        <f>VLOOKUP(F69,Deltakerliste!P$6:T$84,G69,FALSE)</f>
        <v>1.2759999999999998</v>
      </c>
      <c r="I69" s="86"/>
      <c r="J69" s="86"/>
      <c r="K69" s="17"/>
      <c r="L69" s="600"/>
      <c r="M69" s="594"/>
      <c r="N69" s="724"/>
      <c r="O69" s="596"/>
    </row>
    <row r="70" spans="2:17" ht="21" thickBot="1" x14ac:dyDescent="0.3">
      <c r="B70" s="16">
        <f t="shared" si="6"/>
        <v>61</v>
      </c>
      <c r="C70" s="106" t="s">
        <v>269</v>
      </c>
      <c r="D70" s="107" t="s">
        <v>270</v>
      </c>
      <c r="E70" s="599" t="str">
        <f t="shared" si="7"/>
        <v>Per OlavJohansen</v>
      </c>
      <c r="F70" s="192">
        <f>YEAR(I$5)-_xlfn.XLOOKUP(E70,Deltakerliste!E$5:E$98,Deltakerliste!I$5:I$98)</f>
        <v>68</v>
      </c>
      <c r="G70" s="192">
        <f>_xlfn.XLOOKUP(E70,Deltakerliste!E$5:E$98,Deltakerliste!H$5:H$98)</f>
        <v>2</v>
      </c>
      <c r="H70" s="592">
        <f>VLOOKUP(F70,Deltakerliste!P$6:T$84,G70,FALSE)</f>
        <v>1.3729999999999998</v>
      </c>
      <c r="I70" s="132"/>
      <c r="J70" s="132"/>
      <c r="K70" s="134"/>
      <c r="L70" s="600"/>
      <c r="M70" s="594"/>
      <c r="N70" s="724"/>
      <c r="O70" s="596"/>
    </row>
    <row r="71" spans="2:17" ht="21" thickBot="1" x14ac:dyDescent="0.3">
      <c r="B71" s="16">
        <f t="shared" si="6"/>
        <v>62</v>
      </c>
      <c r="C71" s="106" t="s">
        <v>110</v>
      </c>
      <c r="D71" s="107" t="s">
        <v>111</v>
      </c>
      <c r="E71" s="599" t="str">
        <f t="shared" si="7"/>
        <v>Jan ErikKofoed</v>
      </c>
      <c r="F71" s="192">
        <f>YEAR(I$5)-_xlfn.XLOOKUP(E71,Deltakerliste!E$5:E$98,Deltakerliste!I$5:I$98)</f>
        <v>72</v>
      </c>
      <c r="G71" s="192">
        <f>_xlfn.XLOOKUP(E71,Deltakerliste!E$5:E$98,Deltakerliste!H$5:H$98)</f>
        <v>2</v>
      </c>
      <c r="H71" s="592">
        <f>VLOOKUP(F71,Deltakerliste!P$6:T$84,G71,FALSE)</f>
        <v>1.4969999999999999</v>
      </c>
      <c r="I71" s="86"/>
      <c r="J71" s="86"/>
      <c r="K71" s="13"/>
      <c r="L71" s="600"/>
      <c r="M71" s="594"/>
      <c r="N71" s="724"/>
      <c r="O71" s="596"/>
    </row>
    <row r="72" spans="2:17" ht="21" thickBot="1" x14ac:dyDescent="0.3">
      <c r="B72" s="16">
        <f t="shared" si="6"/>
        <v>63</v>
      </c>
      <c r="C72" s="106" t="s">
        <v>251</v>
      </c>
      <c r="D72" s="107" t="s">
        <v>252</v>
      </c>
      <c r="E72" s="599" t="str">
        <f t="shared" si="7"/>
        <v>OttarKristiansen</v>
      </c>
      <c r="F72" s="192">
        <f>YEAR(I$5)-_xlfn.XLOOKUP(E72,Deltakerliste!E$5:E$98,Deltakerliste!I$5:I$98)</f>
        <v>77</v>
      </c>
      <c r="G72" s="192">
        <f>_xlfn.XLOOKUP(E72,Deltakerliste!E$5:E$98,Deltakerliste!H$5:H$98)</f>
        <v>2</v>
      </c>
      <c r="H72" s="592">
        <f>VLOOKUP(F72,Deltakerliste!P$6:T$84,G72,FALSE)</f>
        <v>1.7050000000000001</v>
      </c>
      <c r="I72" s="86"/>
      <c r="J72" s="86"/>
      <c r="K72" s="17"/>
      <c r="L72" s="600"/>
      <c r="M72" s="594"/>
      <c r="N72" s="724"/>
      <c r="O72" s="596"/>
    </row>
    <row r="73" spans="2:17" ht="21" thickBot="1" x14ac:dyDescent="0.3">
      <c r="B73" s="16">
        <f t="shared" si="6"/>
        <v>64</v>
      </c>
      <c r="C73" s="106" t="s">
        <v>299</v>
      </c>
      <c r="D73" s="107" t="s">
        <v>300</v>
      </c>
      <c r="E73" s="599" t="str">
        <f t="shared" si="7"/>
        <v>OlavKvittem</v>
      </c>
      <c r="F73" s="192">
        <f>YEAR(I$5)-_xlfn.XLOOKUP(E73,Deltakerliste!E$5:E$98,Deltakerliste!I$5:I$98)</f>
        <v>71</v>
      </c>
      <c r="G73" s="192">
        <f>_xlfn.XLOOKUP(E73,Deltakerliste!E$5:E$98,Deltakerliste!H$5:H$98)</f>
        <v>2</v>
      </c>
      <c r="H73" s="592">
        <f>VLOOKUP(F73,Deltakerliste!P$6:T$84,G73,FALSE)</f>
        <v>1.4609999999999999</v>
      </c>
      <c r="I73" s="86"/>
      <c r="J73" s="86"/>
      <c r="K73" s="13"/>
      <c r="L73" s="600"/>
      <c r="M73" s="594"/>
      <c r="N73" s="724"/>
      <c r="O73" s="596"/>
    </row>
    <row r="74" spans="2:17" ht="21" thickBot="1" x14ac:dyDescent="0.3">
      <c r="B74" s="16">
        <f t="shared" ref="B74:B94" si="8">B73+1</f>
        <v>65</v>
      </c>
      <c r="C74" s="106" t="s">
        <v>112</v>
      </c>
      <c r="D74" s="107" t="s">
        <v>113</v>
      </c>
      <c r="E74" s="599" t="str">
        <f t="shared" ref="E74:E94" si="9">_xlfn.CONCAT(C74:D74)</f>
        <v>ToridKvaal</v>
      </c>
      <c r="F74" s="192">
        <f>YEAR(I$5)-_xlfn.XLOOKUP(E74,Deltakerliste!E$5:E$98,Deltakerliste!I$5:I$98)</f>
        <v>84</v>
      </c>
      <c r="G74" s="192">
        <f>_xlfn.XLOOKUP(E74,Deltakerliste!E$5:E$98,Deltakerliste!H$5:H$98)</f>
        <v>4</v>
      </c>
      <c r="H74" s="592">
        <f>VLOOKUP(F74,Deltakerliste!P$6:T$84,G74,FALSE)</f>
        <v>2.7814000000000005</v>
      </c>
      <c r="I74" s="86"/>
      <c r="J74" s="86"/>
      <c r="K74" s="13"/>
      <c r="L74" s="600"/>
      <c r="M74" s="594"/>
      <c r="N74" s="724"/>
      <c r="O74" s="596"/>
    </row>
    <row r="75" spans="2:17" ht="21" thickBot="1" x14ac:dyDescent="0.3">
      <c r="B75" s="16">
        <f t="shared" si="8"/>
        <v>66</v>
      </c>
      <c r="C75" s="106" t="s">
        <v>114</v>
      </c>
      <c r="D75" s="107" t="s">
        <v>115</v>
      </c>
      <c r="E75" s="599" t="str">
        <f t="shared" si="9"/>
        <v>MagnusLandstad</v>
      </c>
      <c r="F75" s="192">
        <f>YEAR(I$5)-_xlfn.XLOOKUP(E75,Deltakerliste!E$5:E$98,Deltakerliste!I$5:I$98)</f>
        <v>83</v>
      </c>
      <c r="G75" s="192">
        <f>_xlfn.XLOOKUP(E75,Deltakerliste!E$5:E$98,Deltakerliste!H$5:H$98)</f>
        <v>2</v>
      </c>
      <c r="H75" s="592">
        <f>VLOOKUP(F75,Deltakerliste!P$6:T$84,G75,FALSE)</f>
        <v>2.077</v>
      </c>
      <c r="I75" s="86"/>
      <c r="J75" s="86"/>
      <c r="K75" s="13"/>
      <c r="L75" s="600"/>
      <c r="M75" s="594"/>
      <c r="N75" s="724"/>
      <c r="O75" s="596"/>
      <c r="Q75" s="112"/>
    </row>
    <row r="76" spans="2:17" ht="21" thickBot="1" x14ac:dyDescent="0.3">
      <c r="B76" s="16">
        <f t="shared" si="8"/>
        <v>67</v>
      </c>
      <c r="C76" s="106" t="s">
        <v>254</v>
      </c>
      <c r="D76" s="107" t="s">
        <v>255</v>
      </c>
      <c r="E76" s="599" t="str">
        <f t="shared" si="9"/>
        <v>ArnfinnLangeland</v>
      </c>
      <c r="F76" s="192">
        <f>YEAR(I$5)-_xlfn.XLOOKUP(E76,Deltakerliste!E$5:E$98,Deltakerliste!I$5:I$98)</f>
        <v>90</v>
      </c>
      <c r="G76" s="192">
        <f>_xlfn.XLOOKUP(E76,Deltakerliste!E$5:E$98,Deltakerliste!H$5:H$98)</f>
        <v>2</v>
      </c>
      <c r="H76" s="592">
        <f>VLOOKUP(F76,Deltakerliste!P$6:T$84,G76,FALSE)</f>
        <v>2.645</v>
      </c>
      <c r="I76" s="86"/>
      <c r="J76" s="86"/>
      <c r="K76" s="13"/>
      <c r="L76" s="600"/>
      <c r="M76" s="594"/>
      <c r="N76" s="724"/>
      <c r="O76" s="596"/>
    </row>
    <row r="77" spans="2:17" ht="21" thickBot="1" x14ac:dyDescent="0.3">
      <c r="B77" s="16">
        <f t="shared" si="8"/>
        <v>68</v>
      </c>
      <c r="C77" s="106" t="s">
        <v>116</v>
      </c>
      <c r="D77" s="107" t="s">
        <v>117</v>
      </c>
      <c r="E77" s="599" t="str">
        <f t="shared" si="9"/>
        <v>AndersLauglo</v>
      </c>
      <c r="F77" s="192">
        <f>YEAR(I$5)-_xlfn.XLOOKUP(E77,Deltakerliste!E$5:E$98,Deltakerliste!I$5:I$98)</f>
        <v>87</v>
      </c>
      <c r="G77" s="192">
        <f>_xlfn.XLOOKUP(E77,Deltakerliste!E$5:E$98,Deltakerliste!H$5:H$98)</f>
        <v>2</v>
      </c>
      <c r="H77" s="592">
        <f>VLOOKUP(F77,Deltakerliste!P$6:T$84,G77,FALSE)</f>
        <v>2.3929999999999998</v>
      </c>
      <c r="I77" s="13"/>
      <c r="J77" s="13"/>
      <c r="K77" s="86"/>
      <c r="L77" s="600"/>
      <c r="M77" s="594"/>
      <c r="N77" s="724"/>
      <c r="O77" s="596"/>
    </row>
    <row r="78" spans="2:17" ht="21" thickBot="1" x14ac:dyDescent="0.3">
      <c r="B78" s="16">
        <f t="shared" si="8"/>
        <v>69</v>
      </c>
      <c r="C78" s="106" t="s">
        <v>128</v>
      </c>
      <c r="D78" s="107" t="s">
        <v>129</v>
      </c>
      <c r="E78" s="599" t="str">
        <f t="shared" si="9"/>
        <v>OddMusum</v>
      </c>
      <c r="F78" s="192">
        <f>YEAR(I$5)-_xlfn.XLOOKUP(E78,Deltakerliste!E$5:E$98,Deltakerliste!I$5:I$98)</f>
        <v>84</v>
      </c>
      <c r="G78" s="192">
        <f>_xlfn.XLOOKUP(E78,Deltakerliste!E$5:E$98,Deltakerliste!H$5:H$98)</f>
        <v>2</v>
      </c>
      <c r="H78" s="592">
        <f>VLOOKUP(F78,Deltakerliste!P$6:T$84,G78,FALSE)</f>
        <v>2.1509999999999998</v>
      </c>
      <c r="I78" s="13"/>
      <c r="J78" s="13"/>
      <c r="K78" s="13"/>
      <c r="L78" s="600"/>
      <c r="M78" s="594"/>
      <c r="N78" s="724"/>
      <c r="O78" s="596"/>
    </row>
    <row r="79" spans="2:17" ht="21" thickBot="1" x14ac:dyDescent="0.3">
      <c r="B79" s="16">
        <f t="shared" si="8"/>
        <v>70</v>
      </c>
      <c r="C79" s="106" t="s">
        <v>132</v>
      </c>
      <c r="D79" s="107" t="s">
        <v>133</v>
      </c>
      <c r="E79" s="599" t="str">
        <f t="shared" si="9"/>
        <v>JarleNestvold</v>
      </c>
      <c r="F79" s="192">
        <f>YEAR(I$5)-_xlfn.XLOOKUP(E79,Deltakerliste!E$5:E$98,Deltakerliste!I$5:I$98)</f>
        <v>89</v>
      </c>
      <c r="G79" s="192">
        <f>_xlfn.XLOOKUP(E79,Deltakerliste!E$5:E$98,Deltakerliste!H$5:H$98)</f>
        <v>2</v>
      </c>
      <c r="H79" s="592">
        <f>VLOOKUP(F79,Deltakerliste!P$6:T$84,G79,FALSE)</f>
        <v>2.5609999999999999</v>
      </c>
      <c r="I79" s="132"/>
      <c r="J79" s="18"/>
      <c r="K79" s="18"/>
      <c r="L79" s="600"/>
      <c r="M79" s="594"/>
      <c r="N79" s="724"/>
      <c r="O79" s="596"/>
    </row>
    <row r="80" spans="2:17" ht="21" thickBot="1" x14ac:dyDescent="0.3">
      <c r="B80" s="16">
        <f t="shared" si="8"/>
        <v>71</v>
      </c>
      <c r="C80" s="106" t="s">
        <v>265</v>
      </c>
      <c r="D80" s="107" t="s">
        <v>344</v>
      </c>
      <c r="E80" s="599" t="str">
        <f t="shared" si="9"/>
        <v>ØysteinNytrø</v>
      </c>
      <c r="F80" s="192">
        <f>YEAR(I$5)-_xlfn.XLOOKUP(E80,Deltakerliste!E$5:E$98,Deltakerliste!I$5:I$98)</f>
        <v>66</v>
      </c>
      <c r="G80" s="192">
        <f>_xlfn.XLOOKUP(E80,Deltakerliste!E$5:E$98,Deltakerliste!H$5:H$98)</f>
        <v>2</v>
      </c>
      <c r="H80" s="592">
        <f>VLOOKUP(F80,Deltakerliste!P$6:T$84,G80,FALSE)</f>
        <v>1.3209999999999997</v>
      </c>
      <c r="I80" s="18"/>
      <c r="J80" s="132"/>
      <c r="K80" s="18"/>
      <c r="L80" s="600"/>
      <c r="M80" s="594"/>
      <c r="N80" s="724"/>
      <c r="O80" s="596"/>
    </row>
    <row r="81" spans="2:15" ht="21" thickBot="1" x14ac:dyDescent="0.3">
      <c r="B81" s="16">
        <f t="shared" si="8"/>
        <v>72</v>
      </c>
      <c r="C81" s="106" t="s">
        <v>72</v>
      </c>
      <c r="D81" s="107" t="s">
        <v>139</v>
      </c>
      <c r="E81" s="599" t="str">
        <f t="shared" si="9"/>
        <v>KåreOnsøyen</v>
      </c>
      <c r="F81" s="192">
        <f>YEAR(I$5)-_xlfn.XLOOKUP(E81,Deltakerliste!E$5:E$98,Deltakerliste!I$5:I$98)</f>
        <v>78</v>
      </c>
      <c r="G81" s="192">
        <f>_xlfn.XLOOKUP(E81,Deltakerliste!E$5:E$98,Deltakerliste!H$5:H$98)</f>
        <v>2</v>
      </c>
      <c r="H81" s="592">
        <f>VLOOKUP(F81,Deltakerliste!P$6:T$84,G81,FALSE)</f>
        <v>1.7550000000000001</v>
      </c>
      <c r="I81" s="13"/>
      <c r="J81" s="13"/>
      <c r="K81" s="13"/>
      <c r="L81" s="600"/>
      <c r="M81" s="594"/>
      <c r="N81" s="724"/>
      <c r="O81" s="596"/>
    </row>
    <row r="82" spans="2:15" ht="21" thickBot="1" x14ac:dyDescent="0.3">
      <c r="B82" s="16">
        <f t="shared" si="8"/>
        <v>73</v>
      </c>
      <c r="C82" s="106" t="s">
        <v>140</v>
      </c>
      <c r="D82" s="107" t="s">
        <v>141</v>
      </c>
      <c r="E82" s="599" t="str">
        <f t="shared" si="9"/>
        <v>Grete BergeOwren</v>
      </c>
      <c r="F82" s="192">
        <f>YEAR(I$5)-_xlfn.XLOOKUP(E82,Deltakerliste!E$5:E$98,Deltakerliste!I$5:I$98)</f>
        <v>68</v>
      </c>
      <c r="G82" s="192">
        <f>_xlfn.XLOOKUP(E82,Deltakerliste!E$5:E$98,Deltakerliste!H$5:H$98)</f>
        <v>4</v>
      </c>
      <c r="H82" s="592">
        <f>VLOOKUP(F82,Deltakerliste!P$6:T$84,G82,FALSE)</f>
        <v>1.877800000000001</v>
      </c>
      <c r="I82" s="18"/>
      <c r="J82" s="18"/>
      <c r="K82" s="18"/>
      <c r="L82" s="600"/>
      <c r="M82" s="594"/>
      <c r="N82" s="724"/>
      <c r="O82" s="596"/>
    </row>
    <row r="83" spans="2:15" ht="21" thickBot="1" x14ac:dyDescent="0.3">
      <c r="B83" s="16">
        <f t="shared" si="8"/>
        <v>74</v>
      </c>
      <c r="C83" s="111" t="s">
        <v>144</v>
      </c>
      <c r="D83" s="193" t="s">
        <v>145</v>
      </c>
      <c r="E83" s="599" t="str">
        <f t="shared" si="9"/>
        <v>Bjørn Rindstad</v>
      </c>
      <c r="F83" s="192">
        <f>YEAR(I$5)-_xlfn.XLOOKUP(E83,Deltakerliste!E$5:E$98,Deltakerliste!I$5:I$98)</f>
        <v>75</v>
      </c>
      <c r="G83" s="192">
        <f>_xlfn.XLOOKUP(E83,Deltakerliste!E$5:E$98,Deltakerliste!H$5:H$98)</f>
        <v>2</v>
      </c>
      <c r="H83" s="592">
        <f>VLOOKUP(F83,Deltakerliste!P$6:T$84,G83,FALSE)</f>
        <v>1.605</v>
      </c>
      <c r="I83" s="18"/>
      <c r="J83" s="18"/>
      <c r="K83" s="18"/>
      <c r="L83" s="600"/>
      <c r="M83" s="594"/>
      <c r="N83" s="724"/>
      <c r="O83" s="596"/>
    </row>
    <row r="84" spans="2:15" ht="21" thickBot="1" x14ac:dyDescent="0.3">
      <c r="B84" s="16">
        <f t="shared" si="8"/>
        <v>75</v>
      </c>
      <c r="C84" s="111" t="s">
        <v>228</v>
      </c>
      <c r="D84" s="193" t="s">
        <v>229</v>
      </c>
      <c r="E84" s="599" t="str">
        <f t="shared" si="9"/>
        <v>May-LisRønning</v>
      </c>
      <c r="F84" s="192">
        <f>YEAR(I$5)-_xlfn.XLOOKUP(E84,Deltakerliste!E$5:E$98,Deltakerliste!I$5:I$98)</f>
        <v>56</v>
      </c>
      <c r="G84" s="192">
        <f>_xlfn.XLOOKUP(E84,Deltakerliste!E$5:E$98,Deltakerliste!H$5:H$98)</f>
        <v>4</v>
      </c>
      <c r="H84" s="592">
        <f>VLOOKUP(F84,Deltakerliste!P$6:T$84,G84,FALSE)</f>
        <v>1.5329999999999997</v>
      </c>
      <c r="I84" s="18"/>
      <c r="J84" s="18"/>
      <c r="K84" s="18"/>
      <c r="L84" s="600"/>
      <c r="M84" s="594"/>
      <c r="N84" s="724"/>
      <c r="O84" s="596"/>
    </row>
    <row r="85" spans="2:15" ht="21" thickBot="1" x14ac:dyDescent="0.3">
      <c r="B85" s="16">
        <f t="shared" si="8"/>
        <v>76</v>
      </c>
      <c r="C85" s="111" t="s">
        <v>147</v>
      </c>
      <c r="D85" s="108" t="s">
        <v>148</v>
      </c>
      <c r="E85" s="599" t="str">
        <f t="shared" si="9"/>
        <v>ViggoSchei</v>
      </c>
      <c r="F85" s="192">
        <f>YEAR(I$5)-_xlfn.XLOOKUP(E85,Deltakerliste!E$5:E$98,Deltakerliste!I$5:I$98)</f>
        <v>75</v>
      </c>
      <c r="G85" s="192">
        <f>_xlfn.XLOOKUP(E85,Deltakerliste!E$5:E$98,Deltakerliste!H$5:H$98)</f>
        <v>2</v>
      </c>
      <c r="H85" s="592">
        <f>VLOOKUP(F85,Deltakerliste!P$6:T$84,G85,FALSE)</f>
        <v>1.605</v>
      </c>
      <c r="I85" s="18"/>
      <c r="J85" s="132"/>
      <c r="K85" s="18"/>
      <c r="L85" s="600"/>
      <c r="M85" s="594"/>
      <c r="N85" s="724"/>
      <c r="O85" s="596"/>
    </row>
    <row r="86" spans="2:15" ht="21" thickBot="1" x14ac:dyDescent="0.3">
      <c r="B86" s="16">
        <f t="shared" si="8"/>
        <v>77</v>
      </c>
      <c r="C86" s="111" t="s">
        <v>298</v>
      </c>
      <c r="D86" s="193" t="s">
        <v>297</v>
      </c>
      <c r="E86" s="599" t="str">
        <f t="shared" si="9"/>
        <v>ØyvindSchjelderup</v>
      </c>
      <c r="F86" s="192">
        <f>YEAR(I$5)-_xlfn.XLOOKUP(E86,Deltakerliste!E$5:E$98,Deltakerliste!I$5:I$98)</f>
        <v>61</v>
      </c>
      <c r="G86" s="192">
        <f>_xlfn.XLOOKUP(E86,Deltakerliste!E$5:E$98,Deltakerliste!H$5:H$98)</f>
        <v>2</v>
      </c>
      <c r="H86" s="592">
        <f>VLOOKUP(F86,Deltakerliste!P$6:T$84,G86,FALSE)</f>
        <v>1.2190000000000001</v>
      </c>
      <c r="I86" s="18"/>
      <c r="J86" s="18"/>
      <c r="K86" s="18"/>
      <c r="L86" s="600"/>
      <c r="M86" s="594"/>
      <c r="N86" s="724"/>
      <c r="O86" s="596"/>
    </row>
    <row r="87" spans="2:15" ht="21" thickBot="1" x14ac:dyDescent="0.3">
      <c r="B87" s="16">
        <f t="shared" si="8"/>
        <v>78</v>
      </c>
      <c r="C87" s="111" t="s">
        <v>153</v>
      </c>
      <c r="D87" s="193" t="s">
        <v>154</v>
      </c>
      <c r="E87" s="599" t="str">
        <f t="shared" si="9"/>
        <v>ReidunSmaavik</v>
      </c>
      <c r="F87" s="192">
        <f>YEAR(I$5)-_xlfn.XLOOKUP(E87,Deltakerliste!E$5:E$98,Deltakerliste!I$5:I$98)</f>
        <v>71</v>
      </c>
      <c r="G87" s="192">
        <f>_xlfn.XLOOKUP(E87,Deltakerliste!E$5:E$98,Deltakerliste!H$5:H$98)</f>
        <v>4</v>
      </c>
      <c r="H87" s="592">
        <f>VLOOKUP(F87,Deltakerliste!P$6:T$84,G87,FALSE)</f>
        <v>1.9926000000000013</v>
      </c>
      <c r="I87" s="132"/>
      <c r="J87" s="18"/>
      <c r="K87" s="18"/>
      <c r="L87" s="600"/>
      <c r="M87" s="594"/>
      <c r="N87" s="724"/>
      <c r="O87" s="596"/>
    </row>
    <row r="88" spans="2:15" ht="21" thickBot="1" x14ac:dyDescent="0.3">
      <c r="B88" s="16">
        <f t="shared" si="8"/>
        <v>79</v>
      </c>
      <c r="C88" s="111" t="s">
        <v>155</v>
      </c>
      <c r="D88" s="108" t="s">
        <v>156</v>
      </c>
      <c r="E88" s="599" t="str">
        <f t="shared" si="9"/>
        <v>KjellrunSporild</v>
      </c>
      <c r="F88" s="192">
        <f>YEAR(I$5)-_xlfn.XLOOKUP(E88,Deltakerliste!E$5:E$98,Deltakerliste!I$5:I$98)</f>
        <v>71</v>
      </c>
      <c r="G88" s="192">
        <f>_xlfn.XLOOKUP(E88,Deltakerliste!E$5:E$98,Deltakerliste!H$5:H$98)</f>
        <v>4</v>
      </c>
      <c r="H88" s="592">
        <f>VLOOKUP(F88,Deltakerliste!P$6:T$84,G88,FALSE)</f>
        <v>1.9926000000000013</v>
      </c>
      <c r="I88" s="18"/>
      <c r="J88" s="132"/>
      <c r="K88" s="18"/>
      <c r="L88" s="600"/>
      <c r="M88" s="594"/>
      <c r="N88" s="724"/>
      <c r="O88" s="596"/>
    </row>
    <row r="89" spans="2:15" ht="21" thickBot="1" x14ac:dyDescent="0.3">
      <c r="B89" s="16">
        <f t="shared" si="8"/>
        <v>80</v>
      </c>
      <c r="C89" s="111" t="s">
        <v>232</v>
      </c>
      <c r="D89" s="133" t="s">
        <v>231</v>
      </c>
      <c r="E89" s="599" t="str">
        <f t="shared" si="9"/>
        <v>BeritSunnset</v>
      </c>
      <c r="F89" s="192">
        <f>YEAR(I$5)-_xlfn.XLOOKUP(E89,Deltakerliste!E$5:E$98,Deltakerliste!I$5:I$98)</f>
        <v>63</v>
      </c>
      <c r="G89" s="192">
        <f>_xlfn.XLOOKUP(E89,Deltakerliste!E$5:E$98,Deltakerliste!H$5:H$98)</f>
        <v>4</v>
      </c>
      <c r="H89" s="592">
        <f>VLOOKUP(F89,Deltakerliste!P$6:T$84,G89,FALSE)</f>
        <v>1.7126000000000006</v>
      </c>
      <c r="I89" s="18"/>
      <c r="J89" s="18"/>
      <c r="K89" s="18"/>
      <c r="L89" s="600"/>
      <c r="M89" s="594"/>
      <c r="N89" s="724"/>
      <c r="O89" s="596"/>
    </row>
    <row r="90" spans="2:15" ht="21" thickBot="1" x14ac:dyDescent="0.3">
      <c r="B90" s="16">
        <f t="shared" si="8"/>
        <v>81</v>
      </c>
      <c r="C90" s="193" t="s">
        <v>230</v>
      </c>
      <c r="D90" s="108" t="s">
        <v>231</v>
      </c>
      <c r="E90" s="599" t="str">
        <f t="shared" si="9"/>
        <v>TrineSunnset</v>
      </c>
      <c r="F90" s="192">
        <f>YEAR(I$5)-_xlfn.XLOOKUP(E90,Deltakerliste!E$5:E$98,Deltakerliste!I$5:I$98)</f>
        <v>63</v>
      </c>
      <c r="G90" s="192">
        <f>_xlfn.XLOOKUP(E90,Deltakerliste!E$5:E$98,Deltakerliste!H$5:H$98)</f>
        <v>4</v>
      </c>
      <c r="H90" s="592">
        <f>VLOOKUP(F90,Deltakerliste!P$6:T$84,G90,FALSE)</f>
        <v>1.7126000000000006</v>
      </c>
      <c r="I90" s="18"/>
      <c r="J90" s="18"/>
      <c r="K90" s="18"/>
      <c r="L90" s="600"/>
      <c r="M90" s="594"/>
      <c r="N90" s="724"/>
      <c r="O90" s="596"/>
    </row>
    <row r="91" spans="2:15" ht="21" thickBot="1" x14ac:dyDescent="0.3">
      <c r="B91" s="16">
        <f t="shared" si="8"/>
        <v>82</v>
      </c>
      <c r="C91" s="193" t="s">
        <v>163</v>
      </c>
      <c r="D91" s="108" t="s">
        <v>164</v>
      </c>
      <c r="E91" s="599" t="str">
        <f t="shared" si="9"/>
        <v>ArnulfVilmo</v>
      </c>
      <c r="F91" s="192">
        <f>YEAR(I$5)-_xlfn.XLOOKUP(E91,Deltakerliste!E$5:E$98,Deltakerliste!I$5:I$98)</f>
        <v>73</v>
      </c>
      <c r="G91" s="192">
        <f>_xlfn.XLOOKUP(E91,Deltakerliste!E$5:E$98,Deltakerliste!H$5:H$98)</f>
        <v>2</v>
      </c>
      <c r="H91" s="592">
        <f>VLOOKUP(F91,Deltakerliste!P$6:T$84,G91,FALSE)</f>
        <v>1.5329999999999999</v>
      </c>
      <c r="I91" s="18"/>
      <c r="J91" s="132"/>
      <c r="K91" s="18"/>
      <c r="L91" s="600"/>
      <c r="M91" s="594"/>
      <c r="N91" s="724"/>
      <c r="O91" s="596"/>
    </row>
    <row r="92" spans="2:15" ht="21" thickBot="1" x14ac:dyDescent="0.3">
      <c r="B92" s="16">
        <f t="shared" si="8"/>
        <v>83</v>
      </c>
      <c r="C92" s="193" t="s">
        <v>265</v>
      </c>
      <c r="D92" s="108" t="s">
        <v>266</v>
      </c>
      <c r="E92" s="599" t="str">
        <f t="shared" si="9"/>
        <v>ØysteinWiggen</v>
      </c>
      <c r="F92" s="192">
        <f>YEAR(I$5)-_xlfn.XLOOKUP(E92,Deltakerliste!E$5:E$98,Deltakerliste!I$5:I$98)</f>
        <v>60</v>
      </c>
      <c r="G92" s="192">
        <f>_xlfn.XLOOKUP(E92,Deltakerliste!E$5:E$98,Deltakerliste!H$5:H$98)</f>
        <v>2</v>
      </c>
      <c r="H92" s="592">
        <f>VLOOKUP(F92,Deltakerliste!P$6:T$84,G92,FALSE)</f>
        <v>1.2000000000000002</v>
      </c>
      <c r="I92" s="134"/>
      <c r="J92" s="132"/>
      <c r="K92" s="18"/>
      <c r="L92" s="790"/>
      <c r="M92" s="594"/>
      <c r="N92" s="724"/>
      <c r="O92" s="596"/>
    </row>
    <row r="93" spans="2:15" ht="21" thickBot="1" x14ac:dyDescent="0.3">
      <c r="B93" s="16">
        <f t="shared" si="8"/>
        <v>84</v>
      </c>
      <c r="C93" s="193" t="s">
        <v>166</v>
      </c>
      <c r="D93" s="108" t="s">
        <v>167</v>
      </c>
      <c r="E93" s="599" t="str">
        <f t="shared" si="9"/>
        <v>GunnarØsterbø</v>
      </c>
      <c r="F93" s="192">
        <f>YEAR(I$5)-_xlfn.XLOOKUP(E93,Deltakerliste!E$5:E$98,Deltakerliste!I$5:I$98)</f>
        <v>87</v>
      </c>
      <c r="G93" s="192">
        <f>_xlfn.XLOOKUP(E93,Deltakerliste!E$5:E$98,Deltakerliste!H$5:H$98)</f>
        <v>2</v>
      </c>
      <c r="H93" s="592">
        <f>VLOOKUP(F93,Deltakerliste!P$6:T$84,G93,FALSE)</f>
        <v>2.3929999999999998</v>
      </c>
      <c r="I93" s="18"/>
      <c r="J93" s="132"/>
      <c r="K93" s="18"/>
      <c r="L93" s="791"/>
      <c r="M93" s="594"/>
      <c r="N93" s="792"/>
      <c r="O93" s="596"/>
    </row>
    <row r="94" spans="2:15" ht="21" thickBot="1" x14ac:dyDescent="0.3">
      <c r="B94" s="16">
        <f t="shared" si="8"/>
        <v>85</v>
      </c>
      <c r="C94" s="193" t="s">
        <v>168</v>
      </c>
      <c r="D94" s="108" t="s">
        <v>169</v>
      </c>
      <c r="E94" s="599" t="str">
        <f t="shared" si="9"/>
        <v>SteinØvstedal</v>
      </c>
      <c r="F94" s="192">
        <f>YEAR(I$5)-_xlfn.XLOOKUP(E94,Deltakerliste!E$5:E$98,Deltakerliste!I$5:I$98)</f>
        <v>75</v>
      </c>
      <c r="G94" s="192">
        <f>_xlfn.XLOOKUP(E94,Deltakerliste!E$5:E$98,Deltakerliste!H$5:H$98)</f>
        <v>2</v>
      </c>
      <c r="H94" s="592">
        <f>VLOOKUP(F94,Deltakerliste!P$6:T$84,G94,FALSE)</f>
        <v>1.605</v>
      </c>
      <c r="I94" s="132"/>
      <c r="J94" s="132"/>
      <c r="K94" s="18"/>
      <c r="L94" s="725"/>
      <c r="M94" s="717"/>
      <c r="N94" s="726"/>
      <c r="O94" s="719"/>
    </row>
    <row r="100" spans="4:11" ht="17" thickBot="1" x14ac:dyDescent="0.25"/>
    <row r="101" spans="4:11" ht="21" thickTop="1" thickBot="1" x14ac:dyDescent="0.3">
      <c r="D101" s="646" t="s">
        <v>288</v>
      </c>
      <c r="E101" s="647"/>
      <c r="F101" s="666"/>
      <c r="G101" s="666"/>
      <c r="H101" s="666"/>
      <c r="I101" s="648" t="s">
        <v>195</v>
      </c>
      <c r="J101" s="648" t="s">
        <v>196</v>
      </c>
      <c r="K101" s="649" t="s">
        <v>197</v>
      </c>
    </row>
    <row r="102" spans="4:11" ht="20" x14ac:dyDescent="0.25">
      <c r="D102" s="634" t="s">
        <v>172</v>
      </c>
      <c r="E102" s="320"/>
      <c r="F102" s="208"/>
      <c r="G102" s="208"/>
      <c r="H102" s="208"/>
      <c r="I102" s="635">
        <f>COUNT(I10:I96)+COUNTIF(I10:I96,"Brutt")+COUNTIF(I10:I96,"Disk")+COUNTIF(I10:I96,"(*)")</f>
        <v>21</v>
      </c>
      <c r="J102" s="635">
        <f>COUNT(J10:J96)+COUNTIF(J10:J96,"Brutt")+COUNTIF(J10:J96,"Disk")+COUNTIF(J10:J96,"(*)")</f>
        <v>15</v>
      </c>
      <c r="K102" s="636">
        <f>I102+J102</f>
        <v>36</v>
      </c>
    </row>
    <row r="103" spans="4:11" ht="19" x14ac:dyDescent="0.25">
      <c r="D103" s="637" t="s">
        <v>174</v>
      </c>
      <c r="E103" s="320"/>
      <c r="F103" s="208"/>
      <c r="G103" s="208"/>
      <c r="H103" s="208"/>
      <c r="I103" s="635">
        <f>COUNT(I10:I96)</f>
        <v>17</v>
      </c>
      <c r="J103" s="635">
        <f>COUNT(J10:J96)</f>
        <v>15</v>
      </c>
      <c r="K103" s="636">
        <f t="shared" ref="K103" si="10">I103+J103</f>
        <v>32</v>
      </c>
    </row>
    <row r="104" spans="4:11" ht="19" x14ac:dyDescent="0.25">
      <c r="D104" s="637" t="s">
        <v>173</v>
      </c>
      <c r="E104" s="320"/>
      <c r="F104" s="208"/>
      <c r="G104" s="208"/>
      <c r="H104" s="208"/>
      <c r="I104" s="208"/>
      <c r="J104" s="208"/>
      <c r="K104" s="636">
        <f>K102+COUNTIF(L10:L96,"Arr")+COUNTIF(L10:L96,"Løype")</f>
        <v>39</v>
      </c>
    </row>
    <row r="105" spans="4:11" ht="19" x14ac:dyDescent="0.25">
      <c r="D105" s="637" t="s">
        <v>341</v>
      </c>
      <c r="E105" s="320"/>
      <c r="F105" s="208"/>
      <c r="G105" s="208"/>
      <c r="H105" s="208"/>
      <c r="I105" s="208"/>
      <c r="J105" s="208"/>
      <c r="K105" s="638">
        <f>IF(SUM(L10:L96)=0," ",AVERAGEIF(M10:M96,"&gt;0",F10:F96))</f>
        <v>76.128205128205124</v>
      </c>
    </row>
    <row r="106" spans="4:11" ht="19" x14ac:dyDescent="0.25">
      <c r="D106" s="637" t="s">
        <v>296</v>
      </c>
      <c r="E106" s="320"/>
      <c r="F106" s="208"/>
      <c r="G106" s="208"/>
      <c r="H106" s="208"/>
      <c r="I106" s="208"/>
      <c r="J106" s="208"/>
      <c r="K106" s="638">
        <f>AVERAGE(I8:J8)</f>
        <v>2.25</v>
      </c>
    </row>
    <row r="107" spans="4:11" ht="19" x14ac:dyDescent="0.25">
      <c r="D107" s="637" t="s">
        <v>176</v>
      </c>
      <c r="E107" s="320"/>
      <c r="F107" s="208"/>
      <c r="G107" s="208"/>
      <c r="H107" s="208"/>
      <c r="I107" s="112">
        <f>I8*I103</f>
        <v>30.6</v>
      </c>
      <c r="J107" s="112">
        <f>J8*J103</f>
        <v>40.5</v>
      </c>
      <c r="K107" s="638">
        <f>I107+J107</f>
        <v>71.099999999999994</v>
      </c>
    </row>
    <row r="108" spans="4:11" ht="19" x14ac:dyDescent="0.25">
      <c r="D108" s="639" t="s">
        <v>286</v>
      </c>
      <c r="E108" s="320"/>
      <c r="F108" s="208"/>
      <c r="G108" s="208"/>
      <c r="H108" s="208"/>
      <c r="I108" s="103">
        <f>IF(SUM(I10:I96)=0," ",AVERAGE(I10:I96))</f>
        <v>2.826048474945534E-2</v>
      </c>
      <c r="J108" s="103">
        <f>IF(SUM(J10:J96)=0," ",AVERAGE(J10:J96))</f>
        <v>2.526929012345679E-2</v>
      </c>
      <c r="K108" s="640">
        <f>IF(SUM(I10:J96)=0," ",AVERAGE(I10:J96))</f>
        <v>2.6858362268518517E-2</v>
      </c>
    </row>
    <row r="109" spans="4:11" ht="20" thickBot="1" x14ac:dyDescent="0.3">
      <c r="D109" s="641" t="s">
        <v>287</v>
      </c>
      <c r="E109" s="642"/>
      <c r="F109" s="644"/>
      <c r="G109" s="644"/>
      <c r="H109" s="644"/>
      <c r="I109" s="643"/>
      <c r="J109" s="644"/>
      <c r="K109" s="645">
        <f>MIN(L10:L96)</f>
        <v>8.2004458161865565E-3</v>
      </c>
    </row>
    <row r="110" spans="4:11" ht="17" thickTop="1" x14ac:dyDescent="0.2"/>
  </sheetData>
  <autoFilter ref="B9:O94" xr:uid="{9E6043C1-834A-524D-A8B9-A163E2AAEE14}">
    <sortState xmlns:xlrd2="http://schemas.microsoft.com/office/spreadsheetml/2017/richdata2" ref="B10:O94">
      <sortCondition ref="N9:N94"/>
    </sortState>
  </autoFilter>
  <mergeCells count="3">
    <mergeCell ref="W7:X7"/>
    <mergeCell ref="S8:U8"/>
    <mergeCell ref="W8:X8"/>
  </mergeCells>
  <pageMargins left="0.7" right="0.7" top="0.75" bottom="0.75" header="0.3" footer="0.3"/>
  <pageSetup paperSize="9" orientation="portrait" horizontalDpi="0" verticalDpi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EB3E6-B7CD-4446-ADD3-DA5AB7FBABE6}">
  <dimension ref="B1:AC110"/>
  <sheetViews>
    <sheetView topLeftCell="A78" workbookViewId="0">
      <selection activeCell="F128" sqref="F128"/>
    </sheetView>
  </sheetViews>
  <sheetFormatPr baseColWidth="10" defaultColWidth="10.83203125" defaultRowHeight="16" x14ac:dyDescent="0.2"/>
  <cols>
    <col min="3" max="3" width="14.5" customWidth="1"/>
    <col min="4" max="4" width="20.1640625" customWidth="1"/>
    <col min="5" max="5" width="20.1640625" hidden="1" customWidth="1"/>
    <col min="6" max="6" width="14.5" style="15" customWidth="1"/>
    <col min="7" max="7" width="14.5" style="15" hidden="1" customWidth="1"/>
    <col min="8" max="8" width="14" style="15" customWidth="1"/>
    <col min="9" max="10" width="19.1640625" style="15" customWidth="1"/>
    <col min="11" max="11" width="17.6640625" style="15" customWidth="1"/>
    <col min="12" max="12" width="10.83203125" style="15"/>
    <col min="14" max="14" width="10.83203125" style="15"/>
    <col min="18" max="18" width="12.5" customWidth="1"/>
    <col min="19" max="19" width="13.5" customWidth="1"/>
    <col min="22" max="22" width="1.83203125" customWidth="1"/>
    <col min="23" max="23" width="15.83203125" customWidth="1"/>
    <col min="24" max="24" width="11" customWidth="1"/>
  </cols>
  <sheetData>
    <row r="1" spans="2:29" ht="8" customHeight="1" x14ac:dyDescent="0.2"/>
    <row r="2" spans="2:29" ht="8" customHeight="1" x14ac:dyDescent="0.2"/>
    <row r="5" spans="2:29" ht="26" x14ac:dyDescent="0.3">
      <c r="B5" s="21" t="s">
        <v>328</v>
      </c>
      <c r="C5" s="245" t="s">
        <v>401</v>
      </c>
      <c r="F5" s="667"/>
      <c r="G5" s="667"/>
      <c r="H5" s="671" t="s">
        <v>189</v>
      </c>
      <c r="I5" s="670">
        <f>'Løp 19'!I5+7</f>
        <v>46070</v>
      </c>
    </row>
    <row r="6" spans="2:29" ht="17" thickBot="1" x14ac:dyDescent="0.25">
      <c r="B6" s="15"/>
    </row>
    <row r="7" spans="2:29" ht="59" customHeight="1" thickBot="1" x14ac:dyDescent="0.35">
      <c r="B7" s="12" t="s">
        <v>194</v>
      </c>
      <c r="C7" s="662" t="s">
        <v>57</v>
      </c>
      <c r="D7" s="391" t="s">
        <v>58</v>
      </c>
      <c r="E7" s="663"/>
      <c r="F7" s="663" t="s">
        <v>234</v>
      </c>
      <c r="G7" s="391" t="s">
        <v>280</v>
      </c>
      <c r="H7" s="391" t="s">
        <v>235</v>
      </c>
      <c r="I7" s="391" t="s">
        <v>302</v>
      </c>
      <c r="J7" s="391" t="s">
        <v>303</v>
      </c>
      <c r="K7" s="391" t="s">
        <v>192</v>
      </c>
      <c r="L7" s="194" t="s">
        <v>209</v>
      </c>
      <c r="M7" s="392" t="s">
        <v>55</v>
      </c>
      <c r="N7" s="393" t="s">
        <v>242</v>
      </c>
      <c r="O7" s="393" t="s">
        <v>240</v>
      </c>
      <c r="Q7" s="319"/>
      <c r="R7" s="319"/>
      <c r="S7" s="755" t="str">
        <f>B5</f>
        <v>Løp 20</v>
      </c>
      <c r="T7" s="754" t="str">
        <f>C5</f>
        <v>Nilsbyen - Stavset</v>
      </c>
      <c r="U7" s="730"/>
      <c r="V7" s="730"/>
      <c r="W7" s="941"/>
      <c r="X7" s="941"/>
    </row>
    <row r="8" spans="2:29" ht="23" customHeight="1" thickTop="1" thickBot="1" x14ac:dyDescent="0.35">
      <c r="B8" s="22"/>
      <c r="C8" s="394"/>
      <c r="D8" s="395"/>
      <c r="E8" s="597"/>
      <c r="F8" s="668"/>
      <c r="G8" s="668"/>
      <c r="H8" s="664"/>
      <c r="I8" s="789">
        <v>2.1</v>
      </c>
      <c r="J8" s="789">
        <v>3.5</v>
      </c>
      <c r="K8" s="391"/>
      <c r="N8" s="720"/>
      <c r="O8" s="390"/>
      <c r="S8" s="942" t="s">
        <v>312</v>
      </c>
      <c r="T8" s="943"/>
      <c r="U8" s="944"/>
      <c r="V8" s="779"/>
      <c r="W8" s="945" t="s">
        <v>313</v>
      </c>
      <c r="X8" s="940"/>
      <c r="AB8" s="836" t="s">
        <v>361</v>
      </c>
      <c r="AC8" s="827"/>
    </row>
    <row r="9" spans="2:29" ht="21" thickBot="1" x14ac:dyDescent="0.3">
      <c r="B9" s="22"/>
      <c r="C9" s="109"/>
      <c r="D9" s="105"/>
      <c r="E9" s="598"/>
      <c r="F9" s="669"/>
      <c r="G9" s="669"/>
      <c r="H9" s="665"/>
      <c r="I9" s="12"/>
      <c r="J9" s="12"/>
      <c r="K9" s="12"/>
      <c r="N9" s="722"/>
      <c r="O9" s="200"/>
      <c r="Q9" s="110"/>
      <c r="S9" s="731"/>
      <c r="T9" s="727" t="s">
        <v>311</v>
      </c>
      <c r="U9" s="750" t="s">
        <v>55</v>
      </c>
      <c r="V9" s="780"/>
      <c r="W9" s="774"/>
      <c r="X9" s="732" t="s">
        <v>55</v>
      </c>
      <c r="AB9" s="834" t="s">
        <v>234</v>
      </c>
      <c r="AC9" s="835" t="s">
        <v>362</v>
      </c>
    </row>
    <row r="10" spans="2:29" ht="21" thickBot="1" x14ac:dyDescent="0.3">
      <c r="B10" s="16">
        <f t="shared" ref="B10:B41" si="0">B9+1</f>
        <v>1</v>
      </c>
      <c r="C10" s="106" t="s">
        <v>138</v>
      </c>
      <c r="D10" s="107" t="s">
        <v>137</v>
      </c>
      <c r="E10" s="599" t="str">
        <f t="shared" ref="E10:E41" si="1">_xlfn.CONCAT(C10:D10)</f>
        <v>GunnhildOftedal</v>
      </c>
      <c r="F10" s="192">
        <f>YEAR(I$5)-_xlfn.XLOOKUP(E10,Deltakerliste!E$5:E$98,Deltakerliste!I$5:I$98)</f>
        <v>73</v>
      </c>
      <c r="G10" s="192">
        <f>_xlfn.XLOOKUP(E10,Deltakerliste!E$5:E$98,Deltakerliste!H$5:H$98)</f>
        <v>4</v>
      </c>
      <c r="H10" s="592">
        <f>VLOOKUP(F10,Deltakerliste!P$6:T$84,G10,FALSE)</f>
        <v>2.0798000000000014</v>
      </c>
      <c r="I10" s="13"/>
      <c r="J10" s="13">
        <v>3.3935185185185186E-2</v>
      </c>
      <c r="K10" s="13"/>
      <c r="L10" s="600">
        <f t="shared" ref="L10:L54" si="2">IF(OR(I10="Arr",J10="Arr",K10="Arr"),"Arr",IF(OR(I10="Brutt",J10="Brutt",K10="Brutt"),"Brutt",IF(OR(I10="Disk",J10="Disk",K10="Disk"),"Disk",IF(OR(I10="Løype",J10="Løype",K10="Løype"),"Løype",IF(I10&gt;0,I10/I$8,J10/J$8)))))</f>
        <v>9.6957671957671968E-3</v>
      </c>
      <c r="M10" s="594">
        <f>IF(L10="Løype",Poengsammendrag!$F$2,IF(L10="Arr",Poengsammendrag!$F$3,IF(L10="Brutt",50,IF(L10="Disk",50,ROUND(MAXA(100*(MIN(L$10:L$93)/L10),50),0)))))</f>
        <v>80</v>
      </c>
      <c r="N10" s="724">
        <f t="shared" ref="N10:N54" si="3">IF(L10="Arr","Arr",IF(L10="Brutt","Brutt",IF(L10="Disk","Disk",IF(L10="Løype","Løype",L10/H10))))</f>
        <v>4.6618747936182274E-3</v>
      </c>
      <c r="O10" s="596">
        <f>IF(N10="Løype",Poengsammendrag!$F$2,IF(N10="Arr",Poengsammendrag!$F$3,IF(N10="Brutt",50,IF(N10="Disk",50,ROUND(MAXA(100*(MIN(N$10:N$93)/N10),50),0)))))</f>
        <v>100</v>
      </c>
      <c r="Q10" s="672"/>
      <c r="R10" s="672"/>
      <c r="S10" s="802" t="s">
        <v>380</v>
      </c>
      <c r="T10" s="734">
        <v>7.7546296296296295E-3</v>
      </c>
      <c r="U10" s="751">
        <v>100</v>
      </c>
      <c r="V10" s="781"/>
      <c r="W10" s="775" t="s">
        <v>138</v>
      </c>
      <c r="X10" s="739">
        <v>100</v>
      </c>
      <c r="AB10" s="832">
        <v>55</v>
      </c>
      <c r="AC10" s="833">
        <f t="shared" ref="AC10:AC50" si="4">COUNTIFS(F$10:F$96,AB10,M$10:M$96,"&gt;0")</f>
        <v>0</v>
      </c>
    </row>
    <row r="11" spans="2:29" ht="21" customHeight="1" thickBot="1" x14ac:dyDescent="0.3">
      <c r="B11" s="16">
        <f t="shared" si="0"/>
        <v>2</v>
      </c>
      <c r="C11" s="106" t="s">
        <v>64</v>
      </c>
      <c r="D11" s="107" t="s">
        <v>65</v>
      </c>
      <c r="E11" s="599" t="str">
        <f t="shared" si="1"/>
        <v>BjørnBerger</v>
      </c>
      <c r="F11" s="192">
        <f>YEAR(I$5)-_xlfn.XLOOKUP(E11,Deltakerliste!E$5:E$98,Deltakerliste!I$5:I$98)</f>
        <v>75</v>
      </c>
      <c r="G11" s="192">
        <f>_xlfn.XLOOKUP(E11,Deltakerliste!E$5:E$98,Deltakerliste!H$5:H$98)</f>
        <v>2</v>
      </c>
      <c r="H11" s="592">
        <f>VLOOKUP(F11,Deltakerliste!P$6:T$84,G11,FALSE)</f>
        <v>1.605</v>
      </c>
      <c r="I11" s="13"/>
      <c r="J11" s="13">
        <v>2.7141203703703702E-2</v>
      </c>
      <c r="K11" s="19"/>
      <c r="L11" s="600">
        <f t="shared" si="2"/>
        <v>7.7546296296296295E-3</v>
      </c>
      <c r="M11" s="594">
        <f>IF(L11="Løype",Poengsammendrag!$F$2,IF(L11="Arr",Poengsammendrag!$F$3,IF(L11="Brutt",50,IF(L11="Disk",50,ROUND(MAXA(100*(MIN(L$10:L$93)/L11),50),0)))))</f>
        <v>100</v>
      </c>
      <c r="N11" s="724">
        <f t="shared" si="3"/>
        <v>4.8315449405792084E-3</v>
      </c>
      <c r="O11" s="596">
        <f>IF(N11="Løype",Poengsammendrag!$F$2,IF(N11="Arr",Poengsammendrag!$F$3,IF(N11="Brutt",50,IF(N11="Disk",50,ROUND(MAXA(100*(MIN(N$10:N$93)/N11),50),0)))))</f>
        <v>96</v>
      </c>
      <c r="Q11" s="672"/>
      <c r="R11" s="672"/>
      <c r="S11" s="803" t="s">
        <v>368</v>
      </c>
      <c r="T11" s="736">
        <v>7.8207671957671952E-3</v>
      </c>
      <c r="U11" s="752">
        <v>99</v>
      </c>
      <c r="V11" s="781"/>
      <c r="W11" s="776" t="s">
        <v>380</v>
      </c>
      <c r="X11" s="740">
        <v>96</v>
      </c>
      <c r="AB11" s="828">
        <f>AB10+1</f>
        <v>56</v>
      </c>
      <c r="AC11" s="829">
        <f t="shared" si="4"/>
        <v>0</v>
      </c>
    </row>
    <row r="12" spans="2:29" ht="21" customHeight="1" thickBot="1" x14ac:dyDescent="0.3">
      <c r="B12" s="16">
        <f t="shared" si="0"/>
        <v>3</v>
      </c>
      <c r="C12" s="106" t="s">
        <v>149</v>
      </c>
      <c r="D12" s="107" t="s">
        <v>150</v>
      </c>
      <c r="E12" s="599" t="str">
        <f t="shared" si="1"/>
        <v>BenteSkorge</v>
      </c>
      <c r="F12" s="192">
        <f>YEAR(I$5)-_xlfn.XLOOKUP(E12,Deltakerliste!E$5:E$98,Deltakerliste!I$5:I$98)</f>
        <v>67</v>
      </c>
      <c r="G12" s="192">
        <f>_xlfn.XLOOKUP(E12,Deltakerliste!E$5:E$98,Deltakerliste!H$5:H$98)</f>
        <v>4</v>
      </c>
      <c r="H12" s="592">
        <f>VLOOKUP(F12,Deltakerliste!P$6:T$84,G12,FALSE)</f>
        <v>1.8422000000000009</v>
      </c>
      <c r="I12" s="132"/>
      <c r="J12" s="132">
        <v>3.1782407407407405E-2</v>
      </c>
      <c r="K12" s="18"/>
      <c r="L12" s="600">
        <f t="shared" si="2"/>
        <v>9.0806878306878298E-3</v>
      </c>
      <c r="M12" s="594">
        <f>IF(L12="Løype",Poengsammendrag!$F$2,IF(L12="Arr",Poengsammendrag!$F$3,IF(L12="Brutt",50,IF(L12="Disk",50,ROUND(MAXA(100*(MIN(L$10:L$93)/L12),50),0)))))</f>
        <v>85</v>
      </c>
      <c r="N12" s="724">
        <f t="shared" si="3"/>
        <v>4.9292627460035959E-3</v>
      </c>
      <c r="O12" s="596">
        <f>IF(N12="Løype",Poengsammendrag!$F$2,IF(N12="Arr",Poengsammendrag!$F$3,IF(N12="Brutt",50,IF(N12="Disk",50,ROUND(MAXA(100*(MIN(N$10:N$93)/N12),50),0)))))</f>
        <v>95</v>
      </c>
      <c r="Q12" s="672"/>
      <c r="R12" s="672"/>
      <c r="S12" s="803" t="s">
        <v>134</v>
      </c>
      <c r="T12" s="736">
        <v>8.1183862433862435E-3</v>
      </c>
      <c r="U12" s="752">
        <v>96</v>
      </c>
      <c r="V12" s="781"/>
      <c r="W12" s="776" t="s">
        <v>149</v>
      </c>
      <c r="X12" s="740">
        <v>95</v>
      </c>
      <c r="AB12" s="828">
        <f t="shared" ref="AB12:AB50" si="5">AB11+1</f>
        <v>57</v>
      </c>
      <c r="AC12" s="829">
        <f t="shared" si="4"/>
        <v>0</v>
      </c>
    </row>
    <row r="13" spans="2:29" ht="21" customHeight="1" thickBot="1" x14ac:dyDescent="0.3">
      <c r="B13" s="16">
        <f t="shared" si="0"/>
        <v>4</v>
      </c>
      <c r="C13" s="106" t="s">
        <v>118</v>
      </c>
      <c r="D13" s="107" t="s">
        <v>119</v>
      </c>
      <c r="E13" s="599" t="str">
        <f t="shared" si="1"/>
        <v>KnutLillealtern</v>
      </c>
      <c r="F13" s="192">
        <f>YEAR(I$5)-_xlfn.XLOOKUP(E13,Deltakerliste!E$5:E$98,Deltakerliste!I$5:I$98)</f>
        <v>77</v>
      </c>
      <c r="G13" s="192">
        <f>_xlfn.XLOOKUP(E13,Deltakerliste!E$5:E$98,Deltakerliste!H$5:H$98)</f>
        <v>2</v>
      </c>
      <c r="H13" s="592">
        <f>VLOOKUP(F13,Deltakerliste!P$6:T$84,G13,FALSE)</f>
        <v>1.7050000000000001</v>
      </c>
      <c r="I13" s="13"/>
      <c r="J13" s="13">
        <v>3.0219907407407407E-2</v>
      </c>
      <c r="K13" s="17"/>
      <c r="L13" s="600">
        <f t="shared" si="2"/>
        <v>8.6342592592592599E-3</v>
      </c>
      <c r="M13" s="594">
        <f>IF(L13="Løype",Poengsammendrag!$F$2,IF(L13="Arr",Poengsammendrag!$F$3,IF(L13="Brutt",50,IF(L13="Disk",50,ROUND(MAXA(100*(MIN(L$10:L$93)/L13),50),0)))))</f>
        <v>90</v>
      </c>
      <c r="N13" s="724">
        <f t="shared" si="3"/>
        <v>5.0640816769849028E-3</v>
      </c>
      <c r="O13" s="596">
        <f>IF(N13="Løype",Poengsammendrag!$F$2,IF(N13="Arr",Poengsammendrag!$F$3,IF(N13="Brutt",50,IF(N13="Disk",50,ROUND(MAXA(100*(MIN(N$10:N$93)/N13),50),0)))))</f>
        <v>92</v>
      </c>
      <c r="Q13" s="672"/>
      <c r="R13" s="672"/>
      <c r="S13" s="803" t="s">
        <v>120</v>
      </c>
      <c r="T13" s="736">
        <v>8.2142857142857139E-3</v>
      </c>
      <c r="U13" s="752">
        <v>94</v>
      </c>
      <c r="V13" s="781"/>
      <c r="W13" s="776" t="s">
        <v>118</v>
      </c>
      <c r="X13" s="740">
        <v>92</v>
      </c>
      <c r="AB13" s="828">
        <f t="shared" si="5"/>
        <v>58</v>
      </c>
      <c r="AC13" s="829">
        <f t="shared" si="4"/>
        <v>0</v>
      </c>
    </row>
    <row r="14" spans="2:29" ht="21" customHeight="1" thickBot="1" x14ac:dyDescent="0.3">
      <c r="B14" s="16">
        <f t="shared" si="0"/>
        <v>5</v>
      </c>
      <c r="C14" s="106" t="s">
        <v>88</v>
      </c>
      <c r="D14" s="107" t="s">
        <v>89</v>
      </c>
      <c r="E14" s="599" t="str">
        <f t="shared" si="1"/>
        <v>EdgarFuruholt</v>
      </c>
      <c r="F14" s="192">
        <f>YEAR(I$5)-_xlfn.XLOOKUP(E14,Deltakerliste!E$5:E$98,Deltakerliste!I$5:I$98)</f>
        <v>79</v>
      </c>
      <c r="G14" s="192">
        <f>_xlfn.XLOOKUP(E14,Deltakerliste!E$5:E$98,Deltakerliste!H$5:H$98)</f>
        <v>2</v>
      </c>
      <c r="H14" s="592">
        <f>VLOOKUP(F14,Deltakerliste!P$6:T$84,G14,FALSE)</f>
        <v>1.8050000000000002</v>
      </c>
      <c r="I14" s="18"/>
      <c r="J14" s="132">
        <v>3.2743055555555553E-2</v>
      </c>
      <c r="K14" s="18"/>
      <c r="L14" s="600">
        <f t="shared" si="2"/>
        <v>9.3551587301587292E-3</v>
      </c>
      <c r="M14" s="594">
        <f>IF(L14="Løype",Poengsammendrag!$F$2,IF(L14="Arr",Poengsammendrag!$F$3,IF(L14="Brutt",50,IF(L14="Disk",50,ROUND(MAXA(100*(MIN(L$10:L$93)/L14),50),0)))))</f>
        <v>83</v>
      </c>
      <c r="N14" s="724">
        <f t="shared" si="3"/>
        <v>5.182913423910653E-3</v>
      </c>
      <c r="O14" s="596">
        <f>IF(N14="Løype",Poengsammendrag!$F$2,IF(N14="Arr",Poengsammendrag!$F$3,IF(N14="Brutt",50,IF(N14="Disk",50,ROUND(MAXA(100*(MIN(N$10:N$93)/N14),50),0)))))</f>
        <v>90</v>
      </c>
      <c r="Q14" s="672"/>
      <c r="R14" s="672"/>
      <c r="S14" s="803" t="s">
        <v>222</v>
      </c>
      <c r="T14" s="736">
        <v>8.2407407407407412E-3</v>
      </c>
      <c r="U14" s="752">
        <v>94</v>
      </c>
      <c r="V14" s="781"/>
      <c r="W14" s="776" t="s">
        <v>88</v>
      </c>
      <c r="X14" s="740">
        <v>90</v>
      </c>
      <c r="AB14" s="828">
        <f t="shared" si="5"/>
        <v>59</v>
      </c>
      <c r="AC14" s="829">
        <f t="shared" si="4"/>
        <v>1</v>
      </c>
    </row>
    <row r="15" spans="2:29" ht="21" customHeight="1" thickBot="1" x14ac:dyDescent="0.3">
      <c r="B15" s="16">
        <f t="shared" si="0"/>
        <v>6</v>
      </c>
      <c r="C15" s="106" t="s">
        <v>78</v>
      </c>
      <c r="D15" s="107" t="s">
        <v>79</v>
      </c>
      <c r="E15" s="599" t="str">
        <f t="shared" si="1"/>
        <v>LeifEngen</v>
      </c>
      <c r="F15" s="192">
        <f>YEAR(I$5)-_xlfn.XLOOKUP(E15,Deltakerliste!E$5:E$98,Deltakerliste!I$5:I$98)</f>
        <v>85</v>
      </c>
      <c r="G15" s="192">
        <f>_xlfn.XLOOKUP(E15,Deltakerliste!E$5:E$98,Deltakerliste!H$5:H$98)</f>
        <v>2</v>
      </c>
      <c r="H15" s="592">
        <f>VLOOKUP(F15,Deltakerliste!P$6:T$84,G15,FALSE)</f>
        <v>2.2249999999999996</v>
      </c>
      <c r="I15" s="86">
        <v>2.4884259259259259E-2</v>
      </c>
      <c r="J15" s="86"/>
      <c r="K15" s="13"/>
      <c r="L15" s="600">
        <f t="shared" si="2"/>
        <v>1.1849647266313932E-2</v>
      </c>
      <c r="M15" s="594">
        <f>IF(L15="Løype",Poengsammendrag!$F$2,IF(L15="Arr",Poengsammendrag!$F$3,IF(L15="Brutt",50,IF(L15="Disk",50,ROUND(MAXA(100*(MIN(L$10:L$93)/L15),50),0)))))</f>
        <v>65</v>
      </c>
      <c r="N15" s="724">
        <f t="shared" si="3"/>
        <v>5.3256841646354761E-3</v>
      </c>
      <c r="O15" s="596">
        <f>IF(N15="Løype",Poengsammendrag!$F$2,IF(N15="Arr",Poengsammendrag!$F$3,IF(N15="Brutt",50,IF(N15="Disk",50,ROUND(MAXA(100*(MIN(N$10:N$93)/N15),50),0)))))</f>
        <v>88</v>
      </c>
      <c r="Q15" s="672"/>
      <c r="R15" s="672"/>
      <c r="S15" s="803" t="s">
        <v>136</v>
      </c>
      <c r="T15" s="736">
        <v>8.5284391534391525E-3</v>
      </c>
      <c r="U15" s="752">
        <v>91</v>
      </c>
      <c r="V15" s="781"/>
      <c r="W15" s="776" t="s">
        <v>338</v>
      </c>
      <c r="X15" s="740">
        <v>88</v>
      </c>
      <c r="AB15" s="828">
        <f t="shared" si="5"/>
        <v>60</v>
      </c>
      <c r="AC15" s="829">
        <f t="shared" si="4"/>
        <v>1</v>
      </c>
    </row>
    <row r="16" spans="2:29" ht="21" customHeight="1" thickBot="1" x14ac:dyDescent="0.3">
      <c r="B16" s="16">
        <f t="shared" si="0"/>
        <v>7</v>
      </c>
      <c r="C16" s="106" t="s">
        <v>106</v>
      </c>
      <c r="D16" s="107" t="s">
        <v>107</v>
      </c>
      <c r="E16" s="599" t="str">
        <f t="shared" si="1"/>
        <v>Jon ArneKlemetsaune</v>
      </c>
      <c r="F16" s="192">
        <f>YEAR(I$5)-_xlfn.XLOOKUP(E16,Deltakerliste!E$5:E$98,Deltakerliste!I$5:I$98)</f>
        <v>77</v>
      </c>
      <c r="G16" s="192">
        <f>_xlfn.XLOOKUP(E16,Deltakerliste!E$5:E$98,Deltakerliste!H$5:H$98)</f>
        <v>2</v>
      </c>
      <c r="H16" s="592">
        <f>VLOOKUP(F16,Deltakerliste!P$6:T$84,G16,FALSE)</f>
        <v>1.7050000000000001</v>
      </c>
      <c r="I16" s="86"/>
      <c r="J16" s="86">
        <v>3.2048611111111111E-2</v>
      </c>
      <c r="K16" s="17"/>
      <c r="L16" s="600">
        <f t="shared" si="2"/>
        <v>9.1567460317460315E-3</v>
      </c>
      <c r="M16" s="594">
        <f>IF(L16="Løype",Poengsammendrag!$F$2,IF(L16="Arr",Poengsammendrag!$F$3,IF(L16="Brutt",50,IF(L16="Disk",50,ROUND(MAXA(100*(MIN(L$10:L$93)/L16),50),0)))))</f>
        <v>85</v>
      </c>
      <c r="N16" s="724">
        <f t="shared" si="3"/>
        <v>5.3705255318158536E-3</v>
      </c>
      <c r="O16" s="596">
        <f>IF(N16="Løype",Poengsammendrag!$F$2,IF(N16="Arr",Poengsammendrag!$F$3,IF(N16="Brutt",50,IF(N16="Disk",50,ROUND(MAXA(100*(MIN(N$10:N$93)/N16),50),0)))))</f>
        <v>87</v>
      </c>
      <c r="Q16" s="672"/>
      <c r="R16" s="672"/>
      <c r="S16" s="803" t="s">
        <v>118</v>
      </c>
      <c r="T16" s="736">
        <v>8.6342592592592599E-3</v>
      </c>
      <c r="U16" s="752">
        <v>90</v>
      </c>
      <c r="V16" s="781"/>
      <c r="W16" s="776" t="s">
        <v>106</v>
      </c>
      <c r="X16" s="740">
        <v>87</v>
      </c>
      <c r="AB16" s="828">
        <f t="shared" si="5"/>
        <v>61</v>
      </c>
      <c r="AC16" s="829">
        <f t="shared" si="4"/>
        <v>0</v>
      </c>
    </row>
    <row r="17" spans="2:29" ht="21" customHeight="1" thickBot="1" x14ac:dyDescent="0.3">
      <c r="B17" s="16">
        <f t="shared" si="0"/>
        <v>8</v>
      </c>
      <c r="C17" s="106" t="s">
        <v>136</v>
      </c>
      <c r="D17" s="107" t="s">
        <v>137</v>
      </c>
      <c r="E17" s="599" t="str">
        <f t="shared" si="1"/>
        <v>HaraldOftedal</v>
      </c>
      <c r="F17" s="192">
        <f>YEAR(I$5)-_xlfn.XLOOKUP(E17,Deltakerliste!E$5:E$98,Deltakerliste!I$5:I$98)</f>
        <v>74</v>
      </c>
      <c r="G17" s="192">
        <f>_xlfn.XLOOKUP(E17,Deltakerliste!E$5:E$98,Deltakerliste!H$5:H$98)</f>
        <v>2</v>
      </c>
      <c r="H17" s="592">
        <f>VLOOKUP(F17,Deltakerliste!P$6:T$84,G17,FALSE)</f>
        <v>1.569</v>
      </c>
      <c r="I17" s="132"/>
      <c r="J17" s="132">
        <v>2.9849537037037036E-2</v>
      </c>
      <c r="K17" s="134"/>
      <c r="L17" s="600">
        <f t="shared" si="2"/>
        <v>8.5284391534391525E-3</v>
      </c>
      <c r="M17" s="594">
        <f>IF(L17="Løype",Poengsammendrag!$F$2,IF(L17="Arr",Poengsammendrag!$F$3,IF(L17="Brutt",50,IF(L17="Disk",50,ROUND(MAXA(100*(MIN(L$10:L$93)/L17),50),0)))))</f>
        <v>91</v>
      </c>
      <c r="N17" s="724">
        <f t="shared" si="3"/>
        <v>5.4355890079280768E-3</v>
      </c>
      <c r="O17" s="596">
        <f>IF(N17="Løype",Poengsammendrag!$F$2,IF(N17="Arr",Poengsammendrag!$F$3,IF(N17="Brutt",50,IF(N17="Disk",50,ROUND(MAXA(100*(MIN(N$10:N$93)/N17),50),0)))))</f>
        <v>86</v>
      </c>
      <c r="Q17" s="672"/>
      <c r="R17" s="672"/>
      <c r="S17" s="803" t="s">
        <v>149</v>
      </c>
      <c r="T17" s="736">
        <v>9.0806878306878298E-3</v>
      </c>
      <c r="U17" s="752">
        <v>85</v>
      </c>
      <c r="V17" s="781"/>
      <c r="W17" s="776" t="s">
        <v>136</v>
      </c>
      <c r="X17" s="740">
        <v>86</v>
      </c>
      <c r="AB17" s="828">
        <f t="shared" si="5"/>
        <v>62</v>
      </c>
      <c r="AC17" s="829">
        <f t="shared" si="4"/>
        <v>0</v>
      </c>
    </row>
    <row r="18" spans="2:29" ht="21" customHeight="1" thickBot="1" x14ac:dyDescent="0.3">
      <c r="B18" s="16">
        <f t="shared" si="0"/>
        <v>9</v>
      </c>
      <c r="C18" s="106" t="s">
        <v>159</v>
      </c>
      <c r="D18" s="107" t="s">
        <v>160</v>
      </c>
      <c r="E18" s="599" t="str">
        <f t="shared" si="1"/>
        <v>EigilSørli</v>
      </c>
      <c r="F18" s="192">
        <f>YEAR(I$5)-_xlfn.XLOOKUP(E18,Deltakerliste!E$5:E$98,Deltakerliste!I$5:I$98)</f>
        <v>86</v>
      </c>
      <c r="G18" s="192">
        <f>_xlfn.XLOOKUP(E18,Deltakerliste!E$5:E$98,Deltakerliste!H$5:H$98)</f>
        <v>2</v>
      </c>
      <c r="H18" s="592">
        <f>VLOOKUP(F18,Deltakerliste!P$6:T$84,G18,FALSE)</f>
        <v>2.3089999999999997</v>
      </c>
      <c r="I18" s="132">
        <v>2.6400462962962962E-2</v>
      </c>
      <c r="J18" s="18"/>
      <c r="K18" s="18"/>
      <c r="L18" s="600">
        <f t="shared" si="2"/>
        <v>1.2571649029982363E-2</v>
      </c>
      <c r="M18" s="594">
        <f>IF(L18="Løype",Poengsammendrag!$F$2,IF(L18="Arr",Poengsammendrag!$F$3,IF(L18="Brutt",50,IF(L18="Disk",50,ROUND(MAXA(100*(MIN(L$10:L$93)/L18),50),0)))))</f>
        <v>62</v>
      </c>
      <c r="N18" s="724">
        <f t="shared" si="3"/>
        <v>5.4446292897281784E-3</v>
      </c>
      <c r="O18" s="596">
        <f>IF(N18="Løype",Poengsammendrag!$F$2,IF(N18="Arr",Poengsammendrag!$F$3,IF(N18="Brutt",50,IF(N18="Disk",50,ROUND(MAXA(100*(MIN(N$10:N$93)/N18),50),0)))))</f>
        <v>86</v>
      </c>
      <c r="Q18" s="672"/>
      <c r="R18" s="672"/>
      <c r="S18" s="803" t="s">
        <v>106</v>
      </c>
      <c r="T18" s="736">
        <v>9.1567460317460315E-3</v>
      </c>
      <c r="U18" s="752">
        <v>85</v>
      </c>
      <c r="V18" s="781"/>
      <c r="W18" s="776" t="s">
        <v>357</v>
      </c>
      <c r="X18" s="740">
        <v>86</v>
      </c>
      <c r="AB18" s="828">
        <f t="shared" si="5"/>
        <v>63</v>
      </c>
      <c r="AC18" s="829">
        <f t="shared" si="4"/>
        <v>0</v>
      </c>
    </row>
    <row r="19" spans="2:29" ht="21" thickBot="1" x14ac:dyDescent="0.3">
      <c r="B19" s="16">
        <f t="shared" si="0"/>
        <v>10</v>
      </c>
      <c r="C19" s="106" t="s">
        <v>120</v>
      </c>
      <c r="D19" s="107" t="s">
        <v>121</v>
      </c>
      <c r="E19" s="599" t="str">
        <f t="shared" si="1"/>
        <v>KlausLivik</v>
      </c>
      <c r="F19" s="192">
        <f>YEAR(I$5)-_xlfn.XLOOKUP(E19,Deltakerliste!E$5:E$98,Deltakerliste!I$5:I$98)</f>
        <v>72</v>
      </c>
      <c r="G19" s="192">
        <f>_xlfn.XLOOKUP(E19,Deltakerliste!E$5:E$98,Deltakerliste!H$5:H$98)</f>
        <v>2</v>
      </c>
      <c r="H19" s="592">
        <f>VLOOKUP(F19,Deltakerliste!P$6:T$84,G19,FALSE)</f>
        <v>1.4969999999999999</v>
      </c>
      <c r="I19" s="13"/>
      <c r="J19" s="13">
        <v>2.8750000000000001E-2</v>
      </c>
      <c r="K19" s="17"/>
      <c r="L19" s="600">
        <f t="shared" si="2"/>
        <v>8.2142857142857139E-3</v>
      </c>
      <c r="M19" s="594">
        <f>IF(L19="Løype",Poengsammendrag!$F$2,IF(L19="Arr",Poengsammendrag!$F$3,IF(L19="Brutt",50,IF(L19="Disk",50,ROUND(MAXA(100*(MIN(L$10:L$93)/L19),50),0)))))</f>
        <v>94</v>
      </c>
      <c r="N19" s="724">
        <f t="shared" si="3"/>
        <v>5.4871648058020805E-3</v>
      </c>
      <c r="O19" s="596">
        <f>IF(N19="Løype",Poengsammendrag!$F$2,IF(N19="Arr",Poengsammendrag!$F$3,IF(N19="Brutt",50,IF(N19="Disk",50,ROUND(MAXA(100*(MIN(N$10:N$93)/N19),50),0)))))</f>
        <v>85</v>
      </c>
      <c r="Q19" s="672"/>
      <c r="R19" s="672"/>
      <c r="S19" s="803" t="s">
        <v>346</v>
      </c>
      <c r="T19" s="736">
        <v>9.2294973544973548E-3</v>
      </c>
      <c r="U19" s="752">
        <v>84</v>
      </c>
      <c r="V19" s="781"/>
      <c r="W19" s="776" t="s">
        <v>120</v>
      </c>
      <c r="X19" s="740">
        <v>85</v>
      </c>
      <c r="AB19" s="828">
        <f t="shared" si="5"/>
        <v>64</v>
      </c>
      <c r="AC19" s="829">
        <f t="shared" si="4"/>
        <v>0</v>
      </c>
    </row>
    <row r="20" spans="2:29" ht="21" thickBot="1" x14ac:dyDescent="0.3">
      <c r="B20" s="16">
        <f t="shared" si="0"/>
        <v>11</v>
      </c>
      <c r="C20" s="106" t="s">
        <v>124</v>
      </c>
      <c r="D20" s="107" t="s">
        <v>125</v>
      </c>
      <c r="E20" s="599" t="str">
        <f t="shared" si="1"/>
        <v>Heidi Midttun</v>
      </c>
      <c r="F20" s="192">
        <f>YEAR(I$5)-_xlfn.XLOOKUP(E20,Deltakerliste!E$5:E$98,Deltakerliste!I$5:I$98)</f>
        <v>71</v>
      </c>
      <c r="G20" s="192">
        <f>_xlfn.XLOOKUP(E20,Deltakerliste!E$5:E$98,Deltakerliste!H$5:H$98)</f>
        <v>4</v>
      </c>
      <c r="H20" s="592">
        <f>VLOOKUP(F20,Deltakerliste!P$6:T$84,G20,FALSE)</f>
        <v>1.9926000000000013</v>
      </c>
      <c r="I20" s="13"/>
      <c r="J20" s="13">
        <v>3.9664351851851853E-2</v>
      </c>
      <c r="K20" s="13"/>
      <c r="L20" s="600">
        <f t="shared" si="2"/>
        <v>1.1332671957671958E-2</v>
      </c>
      <c r="M20" s="594">
        <f>IF(L20="Løype",Poengsammendrag!$F$2,IF(L20="Arr",Poengsammendrag!$F$3,IF(L20="Brutt",50,IF(L20="Disk",50,ROUND(MAXA(100*(MIN(L$10:L$93)/L20),50),0)))))</f>
        <v>68</v>
      </c>
      <c r="N20" s="724">
        <f t="shared" si="3"/>
        <v>5.6873792821800417E-3</v>
      </c>
      <c r="O20" s="596">
        <f>IF(N20="Løype",Poengsammendrag!$F$2,IF(N20="Arr",Poengsammendrag!$F$3,IF(N20="Brutt",50,IF(N20="Disk",50,ROUND(MAXA(100*(MIN(N$10:N$93)/N20),50),0)))))</f>
        <v>82</v>
      </c>
      <c r="Q20" s="672"/>
      <c r="R20" s="672"/>
      <c r="S20" s="803" t="s">
        <v>402</v>
      </c>
      <c r="T20" s="736">
        <v>9.3198853615520279E-3</v>
      </c>
      <c r="U20" s="752">
        <v>83</v>
      </c>
      <c r="V20" s="781"/>
      <c r="W20" s="776" t="s">
        <v>124</v>
      </c>
      <c r="X20" s="740">
        <v>82</v>
      </c>
      <c r="AB20" s="828">
        <f t="shared" si="5"/>
        <v>65</v>
      </c>
      <c r="AC20" s="829">
        <f t="shared" si="4"/>
        <v>0</v>
      </c>
    </row>
    <row r="21" spans="2:29" ht="21" customHeight="1" thickBot="1" x14ac:dyDescent="0.3">
      <c r="B21" s="16">
        <f t="shared" si="0"/>
        <v>12</v>
      </c>
      <c r="C21" s="106" t="s">
        <v>134</v>
      </c>
      <c r="D21" s="107" t="s">
        <v>135</v>
      </c>
      <c r="E21" s="599" t="str">
        <f t="shared" si="1"/>
        <v>IngeNørstebø</v>
      </c>
      <c r="F21" s="192">
        <f>YEAR(I$5)-_xlfn.XLOOKUP(E21,Deltakerliste!E$5:E$98,Deltakerliste!I$5:I$98)</f>
        <v>70</v>
      </c>
      <c r="G21" s="192">
        <f>_xlfn.XLOOKUP(E21,Deltakerliste!E$5:E$98,Deltakerliste!H$5:H$98)</f>
        <v>2</v>
      </c>
      <c r="H21" s="592">
        <f>VLOOKUP(F21,Deltakerliste!P$6:T$84,G21,FALSE)</f>
        <v>1.4249999999999998</v>
      </c>
      <c r="I21" s="13"/>
      <c r="J21" s="13">
        <v>2.841435185185185E-2</v>
      </c>
      <c r="K21" s="13"/>
      <c r="L21" s="600">
        <f t="shared" si="2"/>
        <v>8.1183862433862435E-3</v>
      </c>
      <c r="M21" s="594">
        <f>IF(L21="Løype",Poengsammendrag!$F$2,IF(L21="Arr",Poengsammendrag!$F$3,IF(L21="Brutt",50,IF(L21="Disk",50,ROUND(MAXA(100*(MIN(L$10:L$93)/L21),50),0)))))</f>
        <v>96</v>
      </c>
      <c r="N21" s="724">
        <f t="shared" si="3"/>
        <v>5.6971131532535047E-3</v>
      </c>
      <c r="O21" s="596">
        <f>IF(N21="Løype",Poengsammendrag!$F$2,IF(N21="Arr",Poengsammendrag!$F$3,IF(N21="Brutt",50,IF(N21="Disk",50,ROUND(MAXA(100*(MIN(N$10:N$93)/N21),50),0)))))</f>
        <v>82</v>
      </c>
      <c r="Q21" s="672"/>
      <c r="R21" s="672"/>
      <c r="S21" s="803" t="s">
        <v>88</v>
      </c>
      <c r="T21" s="736">
        <v>9.3551587301587292E-3</v>
      </c>
      <c r="U21" s="752">
        <v>83</v>
      </c>
      <c r="V21" s="781"/>
      <c r="W21" s="776" t="s">
        <v>134</v>
      </c>
      <c r="X21" s="740">
        <v>82</v>
      </c>
      <c r="AB21" s="828">
        <f t="shared" si="5"/>
        <v>66</v>
      </c>
      <c r="AC21" s="829">
        <f t="shared" si="4"/>
        <v>1</v>
      </c>
    </row>
    <row r="22" spans="2:29" ht="21" customHeight="1" thickBot="1" x14ac:dyDescent="0.3">
      <c r="B22" s="16">
        <f t="shared" si="0"/>
        <v>13</v>
      </c>
      <c r="C22" s="106" t="s">
        <v>222</v>
      </c>
      <c r="D22" s="107" t="s">
        <v>221</v>
      </c>
      <c r="E22" s="599" t="str">
        <f t="shared" si="1"/>
        <v>Kjell Maroni</v>
      </c>
      <c r="F22" s="192">
        <f>YEAR(I$5)-_xlfn.XLOOKUP(E22,Deltakerliste!E$5:E$98,Deltakerliste!I$5:I$98)</f>
        <v>70</v>
      </c>
      <c r="G22" s="192">
        <f>_xlfn.XLOOKUP(E22,Deltakerliste!E$5:E$98,Deltakerliste!H$5:H$98)</f>
        <v>2</v>
      </c>
      <c r="H22" s="592">
        <f>VLOOKUP(F22,Deltakerliste!P$6:T$84,G22,FALSE)</f>
        <v>1.4249999999999998</v>
      </c>
      <c r="I22" s="13"/>
      <c r="J22" s="13">
        <v>2.8842592592592593E-2</v>
      </c>
      <c r="K22" s="13"/>
      <c r="L22" s="600">
        <f t="shared" si="2"/>
        <v>8.2407407407407412E-3</v>
      </c>
      <c r="M22" s="594">
        <f>IF(L22="Løype",Poengsammendrag!$F$2,IF(L22="Arr",Poengsammendrag!$F$3,IF(L22="Brutt",50,IF(L22="Disk",50,ROUND(MAXA(100*(MIN(L$10:L$93)/L22),50),0)))))</f>
        <v>94</v>
      </c>
      <c r="N22" s="724">
        <f t="shared" si="3"/>
        <v>5.7829759584145561E-3</v>
      </c>
      <c r="O22" s="596">
        <f>IF(N22="Løype",Poengsammendrag!$F$2,IF(N22="Arr",Poengsammendrag!$F$3,IF(N22="Brutt",50,IF(N22="Disk",50,ROUND(MAXA(100*(MIN(N$10:N$93)/N22),50),0)))))</f>
        <v>81</v>
      </c>
      <c r="Q22" s="672"/>
      <c r="R22" s="672"/>
      <c r="S22" s="803" t="s">
        <v>345</v>
      </c>
      <c r="T22" s="736">
        <v>9.4411375661375661E-3</v>
      </c>
      <c r="U22" s="752">
        <v>82</v>
      </c>
      <c r="V22" s="781"/>
      <c r="W22" s="776" t="s">
        <v>222</v>
      </c>
      <c r="X22" s="740">
        <v>81</v>
      </c>
      <c r="AB22" s="828">
        <f t="shared" si="5"/>
        <v>67</v>
      </c>
      <c r="AC22" s="829">
        <f t="shared" si="4"/>
        <v>2</v>
      </c>
    </row>
    <row r="23" spans="2:29" ht="21" customHeight="1" thickBot="1" x14ac:dyDescent="0.3">
      <c r="B23" s="16">
        <f t="shared" si="0"/>
        <v>14</v>
      </c>
      <c r="C23" s="106" t="s">
        <v>116</v>
      </c>
      <c r="D23" s="107" t="s">
        <v>117</v>
      </c>
      <c r="E23" s="599" t="str">
        <f t="shared" si="1"/>
        <v>AndersLauglo</v>
      </c>
      <c r="F23" s="192">
        <f>YEAR(I$5)-_xlfn.XLOOKUP(E23,Deltakerliste!E$5:E$98,Deltakerliste!I$5:I$98)</f>
        <v>87</v>
      </c>
      <c r="G23" s="192">
        <f>_xlfn.XLOOKUP(E23,Deltakerliste!E$5:E$98,Deltakerliste!H$5:H$98)</f>
        <v>2</v>
      </c>
      <c r="H23" s="592">
        <f>VLOOKUP(F23,Deltakerliste!P$6:T$84,G23,FALSE)</f>
        <v>2.3929999999999998</v>
      </c>
      <c r="I23" s="13">
        <v>3.037037037037037E-2</v>
      </c>
      <c r="J23" s="13"/>
      <c r="K23" s="86"/>
      <c r="L23" s="600">
        <f t="shared" si="2"/>
        <v>1.4462081128747795E-2</v>
      </c>
      <c r="M23" s="594">
        <f>IF(L23="Løype",Poengsammendrag!$F$2,IF(L23="Arr",Poengsammendrag!$F$3,IF(L23="Brutt",50,IF(L23="Disk",50,ROUND(MAXA(100*(MIN(L$10:L$93)/L23),50),0)))))</f>
        <v>54</v>
      </c>
      <c r="N23" s="724">
        <f t="shared" si="3"/>
        <v>6.0434939944620965E-3</v>
      </c>
      <c r="O23" s="596">
        <f>IF(N23="Løype",Poengsammendrag!$F$2,IF(N23="Arr",Poengsammendrag!$F$3,IF(N23="Brutt",50,IF(N23="Disk",50,ROUND(MAXA(100*(MIN(N$10:N$93)/N23),50),0)))))</f>
        <v>77</v>
      </c>
      <c r="Q23" s="672"/>
      <c r="R23" s="672"/>
      <c r="S23" s="803" t="s">
        <v>340</v>
      </c>
      <c r="T23" s="736">
        <v>9.6924603174603184E-3</v>
      </c>
      <c r="U23" s="752">
        <v>80</v>
      </c>
      <c r="V23" s="781"/>
      <c r="W23" s="776" t="s">
        <v>315</v>
      </c>
      <c r="X23" s="740">
        <v>77</v>
      </c>
      <c r="AB23" s="828">
        <f t="shared" si="5"/>
        <v>68</v>
      </c>
      <c r="AC23" s="829">
        <f t="shared" si="4"/>
        <v>1</v>
      </c>
    </row>
    <row r="24" spans="2:29" ht="21" thickBot="1" x14ac:dyDescent="0.3">
      <c r="B24" s="16">
        <f t="shared" si="0"/>
        <v>15</v>
      </c>
      <c r="C24" s="106" t="s">
        <v>103</v>
      </c>
      <c r="D24" s="107" t="s">
        <v>104</v>
      </c>
      <c r="E24" s="599" t="str">
        <f t="shared" si="1"/>
        <v>SveinHove</v>
      </c>
      <c r="F24" s="192">
        <f>YEAR(I$5)-_xlfn.XLOOKUP(E24,Deltakerliste!E$5:E$98,Deltakerliste!I$5:I$98)</f>
        <v>79</v>
      </c>
      <c r="G24" s="192">
        <f>_xlfn.XLOOKUP(E24,Deltakerliste!E$5:E$98,Deltakerliste!H$5:H$98)</f>
        <v>2</v>
      </c>
      <c r="H24" s="592">
        <f>VLOOKUP(F24,Deltakerliste!P$6:T$84,G24,FALSE)</f>
        <v>1.8050000000000002</v>
      </c>
      <c r="I24" s="86">
        <v>2.3668981481481482E-2</v>
      </c>
      <c r="J24" s="86"/>
      <c r="K24" s="17"/>
      <c r="L24" s="600">
        <f t="shared" si="2"/>
        <v>1.127094356261023E-2</v>
      </c>
      <c r="M24" s="594">
        <f>IF(L24="Løype",Poengsammendrag!$F$2,IF(L24="Arr",Poengsammendrag!$F$3,IF(L24="Brutt",50,IF(L24="Disk",50,ROUND(MAXA(100*(MIN(L$10:L$93)/L24),50),0)))))</f>
        <v>69</v>
      </c>
      <c r="N24" s="724">
        <f t="shared" si="3"/>
        <v>6.2442900623879381E-3</v>
      </c>
      <c r="O24" s="596">
        <f>IF(N24="Løype",Poengsammendrag!$F$2,IF(N24="Arr",Poengsammendrag!$F$3,IF(N24="Brutt",50,IF(N24="Disk",50,ROUND(MAXA(100*(MIN(N$10:N$93)/N24),50),0)))))</f>
        <v>75</v>
      </c>
      <c r="Q24" s="672"/>
      <c r="R24" s="672"/>
      <c r="S24" s="803" t="s">
        <v>138</v>
      </c>
      <c r="T24" s="736">
        <v>9.6957671957671968E-3</v>
      </c>
      <c r="U24" s="752">
        <v>80</v>
      </c>
      <c r="V24" s="781"/>
      <c r="W24" s="776" t="s">
        <v>103</v>
      </c>
      <c r="X24" s="740">
        <v>75</v>
      </c>
      <c r="AB24" s="828">
        <f t="shared" si="5"/>
        <v>69</v>
      </c>
      <c r="AC24" s="829">
        <f t="shared" si="4"/>
        <v>1</v>
      </c>
    </row>
    <row r="25" spans="2:29" ht="21" thickBot="1" x14ac:dyDescent="0.3">
      <c r="B25" s="16">
        <f t="shared" si="0"/>
        <v>16</v>
      </c>
      <c r="C25" s="106" t="s">
        <v>96</v>
      </c>
      <c r="D25" s="107" t="s">
        <v>97</v>
      </c>
      <c r="E25" s="599" t="str">
        <f t="shared" si="1"/>
        <v>StigHaugskott</v>
      </c>
      <c r="F25" s="192">
        <f>YEAR(I$5)-_xlfn.XLOOKUP(E25,Deltakerliste!E$5:E$98,Deltakerliste!I$5:I$98)</f>
        <v>87</v>
      </c>
      <c r="G25" s="192">
        <f>_xlfn.XLOOKUP(E25,Deltakerliste!E$5:E$98,Deltakerliste!H$5:H$98)</f>
        <v>2</v>
      </c>
      <c r="H25" s="592">
        <f>VLOOKUP(F25,Deltakerliste!P$6:T$84,G25,FALSE)</f>
        <v>2.3929999999999998</v>
      </c>
      <c r="I25" s="86">
        <v>3.1643518518518515E-2</v>
      </c>
      <c r="J25" s="86"/>
      <c r="K25" s="86"/>
      <c r="L25" s="600">
        <f t="shared" si="2"/>
        <v>1.5068342151675483E-2</v>
      </c>
      <c r="M25" s="594">
        <f>IF(L25="Løype",Poengsammendrag!$F$2,IF(L25="Arr",Poengsammendrag!$F$3,IF(L25="Brutt",50,IF(L25="Disk",50,ROUND(MAXA(100*(MIN(L$10:L$93)/L25),50),0)))))</f>
        <v>51</v>
      </c>
      <c r="N25" s="724">
        <f t="shared" si="3"/>
        <v>6.2968416847787234E-3</v>
      </c>
      <c r="O25" s="596">
        <f>IF(N25="Løype",Poengsammendrag!$F$2,IF(N25="Arr",Poengsammendrag!$F$3,IF(N25="Brutt",50,IF(N25="Disk",50,ROUND(MAXA(100*(MIN(N$10:N$93)/N25),50),0)))))</f>
        <v>74</v>
      </c>
      <c r="Q25" s="672"/>
      <c r="R25" s="672"/>
      <c r="S25" s="803" t="s">
        <v>163</v>
      </c>
      <c r="T25" s="736">
        <v>1.0085978835978835E-2</v>
      </c>
      <c r="U25" s="752">
        <v>77</v>
      </c>
      <c r="V25" s="781"/>
      <c r="W25" s="776" t="s">
        <v>96</v>
      </c>
      <c r="X25" s="740">
        <v>74</v>
      </c>
      <c r="AB25" s="828">
        <f t="shared" si="5"/>
        <v>70</v>
      </c>
      <c r="AC25" s="829">
        <f t="shared" si="4"/>
        <v>2</v>
      </c>
    </row>
    <row r="26" spans="2:29" ht="21" customHeight="1" thickBot="1" x14ac:dyDescent="0.3">
      <c r="B26" s="16">
        <f t="shared" si="0"/>
        <v>17</v>
      </c>
      <c r="C26" s="106" t="s">
        <v>63</v>
      </c>
      <c r="D26" s="107" t="s">
        <v>98</v>
      </c>
      <c r="E26" s="599" t="str">
        <f t="shared" si="1"/>
        <v>ToreHeggem</v>
      </c>
      <c r="F26" s="192">
        <f>YEAR(I$5)-_xlfn.XLOOKUP(E26,Deltakerliste!E$5:E$98,Deltakerliste!I$5:I$98)</f>
        <v>73</v>
      </c>
      <c r="G26" s="192">
        <f>_xlfn.XLOOKUP(E26,Deltakerliste!E$5:E$98,Deltakerliste!H$5:H$98)</f>
        <v>2</v>
      </c>
      <c r="H26" s="592">
        <f>VLOOKUP(F26,Deltakerliste!P$6:T$84,G26,FALSE)</f>
        <v>1.5329999999999999</v>
      </c>
      <c r="I26" s="86"/>
      <c r="J26" s="86">
        <v>3.3923611111111113E-2</v>
      </c>
      <c r="K26" s="13"/>
      <c r="L26" s="600">
        <f t="shared" si="2"/>
        <v>9.6924603174603184E-3</v>
      </c>
      <c r="M26" s="594">
        <f>IF(L26="Løype",Poengsammendrag!$F$2,IF(L26="Arr",Poengsammendrag!$F$3,IF(L26="Brutt",50,IF(L26="Disk",50,ROUND(MAXA(100*(MIN(L$10:L$93)/L26),50),0)))))</f>
        <v>80</v>
      </c>
      <c r="N26" s="724">
        <f t="shared" si="3"/>
        <v>6.3225442383955111E-3</v>
      </c>
      <c r="O26" s="596">
        <f>IF(N26="Løype",Poengsammendrag!$F$2,IF(N26="Arr",Poengsammendrag!$F$3,IF(N26="Brutt",50,IF(N26="Disk",50,ROUND(MAXA(100*(MIN(N$10:N$93)/N26),50),0)))))</f>
        <v>74</v>
      </c>
      <c r="Q26" s="672"/>
      <c r="R26" s="672"/>
      <c r="S26" s="803" t="s">
        <v>101</v>
      </c>
      <c r="T26" s="736">
        <v>1.0529100529100529E-2</v>
      </c>
      <c r="U26" s="752">
        <v>74</v>
      </c>
      <c r="V26" s="781"/>
      <c r="W26" s="776" t="s">
        <v>340</v>
      </c>
      <c r="X26" s="740">
        <v>74</v>
      </c>
      <c r="AB26" s="828">
        <f t="shared" si="5"/>
        <v>71</v>
      </c>
      <c r="AC26" s="829">
        <f t="shared" si="4"/>
        <v>2</v>
      </c>
    </row>
    <row r="27" spans="2:29" ht="21" thickBot="1" x14ac:dyDescent="0.3">
      <c r="B27" s="16">
        <f t="shared" si="0"/>
        <v>18</v>
      </c>
      <c r="C27" s="106" t="s">
        <v>170</v>
      </c>
      <c r="D27" s="107" t="s">
        <v>171</v>
      </c>
      <c r="E27" s="599" t="str">
        <f t="shared" si="1"/>
        <v>ØisteinÅsmul</v>
      </c>
      <c r="F27" s="192">
        <f>YEAR(I$5)-_xlfn.XLOOKUP(E27,Deltakerliste!E$5:E$98,Deltakerliste!I$5:I$98)</f>
        <v>81</v>
      </c>
      <c r="G27" s="192">
        <f>_xlfn.XLOOKUP(E27,Deltakerliste!E$5:E$98,Deltakerliste!H$5:H$98)</f>
        <v>2</v>
      </c>
      <c r="H27" s="592">
        <f>VLOOKUP(F27,Deltakerliste!P$6:T$84,G27,FALSE)</f>
        <v>1.9290000000000003</v>
      </c>
      <c r="I27" s="132">
        <v>2.6238425925925925E-2</v>
      </c>
      <c r="J27" s="132"/>
      <c r="K27" s="18"/>
      <c r="L27" s="600">
        <f t="shared" si="2"/>
        <v>1.2494488536155202E-2</v>
      </c>
      <c r="M27" s="594">
        <f>IF(L27="Løype",Poengsammendrag!$F$2,IF(L27="Arr",Poengsammendrag!$F$3,IF(L27="Brutt",50,IF(L27="Disk",50,ROUND(MAXA(100*(MIN(L$10:L$93)/L27),50),0)))))</f>
        <v>62</v>
      </c>
      <c r="N27" s="724">
        <f t="shared" si="3"/>
        <v>6.4771843111224468E-3</v>
      </c>
      <c r="O27" s="596">
        <f>IF(N27="Løype",Poengsammendrag!$F$2,IF(N27="Arr",Poengsammendrag!$F$3,IF(N27="Brutt",50,IF(N27="Disk",50,ROUND(MAXA(100*(MIN(N$10:N$93)/N27),50),0)))))</f>
        <v>72</v>
      </c>
      <c r="Q27" s="672"/>
      <c r="R27" s="672"/>
      <c r="S27" s="803" t="s">
        <v>168</v>
      </c>
      <c r="T27" s="736">
        <v>1.1078042328042327E-2</v>
      </c>
      <c r="U27" s="752">
        <v>70</v>
      </c>
      <c r="V27" s="781"/>
      <c r="W27" s="776" t="s">
        <v>347</v>
      </c>
      <c r="X27" s="740">
        <v>72</v>
      </c>
      <c r="AB27" s="828">
        <f t="shared" si="5"/>
        <v>72</v>
      </c>
      <c r="AC27" s="829">
        <f t="shared" si="4"/>
        <v>2</v>
      </c>
    </row>
    <row r="28" spans="2:29" ht="21" customHeight="1" thickBot="1" x14ac:dyDescent="0.3">
      <c r="B28" s="16">
        <f t="shared" si="0"/>
        <v>19</v>
      </c>
      <c r="C28" s="106" t="s">
        <v>265</v>
      </c>
      <c r="D28" s="107" t="s">
        <v>266</v>
      </c>
      <c r="E28" s="599" t="str">
        <f t="shared" si="1"/>
        <v>ØysteinWiggen</v>
      </c>
      <c r="F28" s="192">
        <f>YEAR(I$5)-_xlfn.XLOOKUP(E28,Deltakerliste!E$5:E$98,Deltakerliste!I$5:I$98)</f>
        <v>60</v>
      </c>
      <c r="G28" s="192">
        <f>_xlfn.XLOOKUP(E28,Deltakerliste!E$5:E$98,Deltakerliste!H$5:H$98)</f>
        <v>2</v>
      </c>
      <c r="H28" s="592">
        <f>VLOOKUP(F28,Deltakerliste!P$6:T$84,G28,FALSE)</f>
        <v>1.2000000000000002</v>
      </c>
      <c r="I28" s="134"/>
      <c r="J28" s="132">
        <v>2.7372685185185184E-2</v>
      </c>
      <c r="K28" s="18"/>
      <c r="L28" s="600">
        <f t="shared" si="2"/>
        <v>7.8207671957671952E-3</v>
      </c>
      <c r="M28" s="594">
        <f>IF(L28="Løype",Poengsammendrag!$F$2,IF(L28="Arr",Poengsammendrag!$F$3,IF(L28="Brutt",50,IF(L28="Disk",50,ROUND(MAXA(100*(MIN(L$10:L$93)/L28),50),0)))))</f>
        <v>99</v>
      </c>
      <c r="N28" s="724">
        <f t="shared" si="3"/>
        <v>6.5173059964726615E-3</v>
      </c>
      <c r="O28" s="596">
        <f>IF(N28="Løype",Poengsammendrag!$F$2,IF(N28="Arr",Poengsammendrag!$F$3,IF(N28="Brutt",50,IF(N28="Disk",50,ROUND(MAXA(100*(MIN(N$10:N$93)/N28),50),0)))))</f>
        <v>72</v>
      </c>
      <c r="Q28" s="672"/>
      <c r="R28" s="672"/>
      <c r="S28" s="803" t="s">
        <v>269</v>
      </c>
      <c r="T28" s="736">
        <v>1.1177248677248676E-2</v>
      </c>
      <c r="U28" s="752">
        <v>69</v>
      </c>
      <c r="V28" s="781"/>
      <c r="W28" s="776" t="s">
        <v>368</v>
      </c>
      <c r="X28" s="740">
        <v>72</v>
      </c>
      <c r="AB28" s="828">
        <f t="shared" si="5"/>
        <v>73</v>
      </c>
      <c r="AC28" s="829">
        <f t="shared" si="4"/>
        <v>5</v>
      </c>
    </row>
    <row r="29" spans="2:29" ht="21" thickBot="1" x14ac:dyDescent="0.3">
      <c r="B29" s="16">
        <f t="shared" si="0"/>
        <v>20</v>
      </c>
      <c r="C29" s="106" t="s">
        <v>163</v>
      </c>
      <c r="D29" s="107" t="s">
        <v>164</v>
      </c>
      <c r="E29" s="599" t="str">
        <f t="shared" si="1"/>
        <v>ArnulfVilmo</v>
      </c>
      <c r="F29" s="192">
        <f>YEAR(I$5)-_xlfn.XLOOKUP(E29,Deltakerliste!E$5:E$98,Deltakerliste!I$5:I$98)</f>
        <v>73</v>
      </c>
      <c r="G29" s="192">
        <f>_xlfn.XLOOKUP(E29,Deltakerliste!E$5:E$98,Deltakerliste!H$5:H$98)</f>
        <v>2</v>
      </c>
      <c r="H29" s="592">
        <f>VLOOKUP(F29,Deltakerliste!P$6:T$84,G29,FALSE)</f>
        <v>1.5329999999999999</v>
      </c>
      <c r="I29" s="132">
        <v>2.1180555555555557E-2</v>
      </c>
      <c r="J29" s="132"/>
      <c r="K29" s="18"/>
      <c r="L29" s="600">
        <f t="shared" si="2"/>
        <v>1.0085978835978835E-2</v>
      </c>
      <c r="M29" s="594">
        <f>IF(L29="Løype",Poengsammendrag!$F$2,IF(L29="Arr",Poengsammendrag!$F$3,IF(L29="Brutt",50,IF(L29="Disk",50,ROUND(MAXA(100*(MIN(L$10:L$93)/L29),50),0)))))</f>
        <v>77</v>
      </c>
      <c r="N29" s="724">
        <f t="shared" si="3"/>
        <v>6.5792425544545568E-3</v>
      </c>
      <c r="O29" s="596">
        <f>IF(N29="Løype",Poengsammendrag!$F$2,IF(N29="Arr",Poengsammendrag!$F$3,IF(N29="Brutt",50,IF(N29="Disk",50,ROUND(MAXA(100*(MIN(N$10:N$93)/N29),50),0)))))</f>
        <v>71</v>
      </c>
      <c r="Q29" s="672"/>
      <c r="R29" s="672"/>
      <c r="S29" s="803" t="s">
        <v>103</v>
      </c>
      <c r="T29" s="736">
        <v>1.127094356261023E-2</v>
      </c>
      <c r="U29" s="752">
        <v>69</v>
      </c>
      <c r="V29" s="781"/>
      <c r="W29" s="776" t="s">
        <v>163</v>
      </c>
      <c r="X29" s="740">
        <v>71</v>
      </c>
      <c r="AB29" s="828">
        <f t="shared" si="5"/>
        <v>74</v>
      </c>
      <c r="AC29" s="829">
        <f t="shared" si="4"/>
        <v>1</v>
      </c>
    </row>
    <row r="30" spans="2:29" ht="21" thickBot="1" x14ac:dyDescent="0.3">
      <c r="B30" s="16">
        <f t="shared" si="0"/>
        <v>21</v>
      </c>
      <c r="C30" s="106" t="s">
        <v>80</v>
      </c>
      <c r="D30" s="107" t="s">
        <v>81</v>
      </c>
      <c r="E30" s="599" t="str">
        <f t="shared" si="1"/>
        <v>HalvorFlatberg</v>
      </c>
      <c r="F30" s="192">
        <f>YEAR(I$5)-_xlfn.XLOOKUP(E30,Deltakerliste!E$5:E$98,Deltakerliste!I$5:I$98)</f>
        <v>80</v>
      </c>
      <c r="G30" s="192">
        <f>_xlfn.XLOOKUP(E30,Deltakerliste!E$5:E$98,Deltakerliste!H$5:H$98)</f>
        <v>2</v>
      </c>
      <c r="H30" s="592">
        <f>VLOOKUP(F30,Deltakerliste!P$6:T$84,G30,FALSE)</f>
        <v>1.8550000000000002</v>
      </c>
      <c r="I30" s="86">
        <v>2.5775462962962962E-2</v>
      </c>
      <c r="J30" s="86"/>
      <c r="K30" s="13"/>
      <c r="L30" s="600">
        <f t="shared" si="2"/>
        <v>1.2274029982363314E-2</v>
      </c>
      <c r="M30" s="594">
        <f>IF(L30="Løype",Poengsammendrag!$F$2,IF(L30="Arr",Poengsammendrag!$F$3,IF(L30="Brutt",50,IF(L30="Disk",50,ROUND(MAXA(100*(MIN(L$10:L$93)/L30),50),0)))))</f>
        <v>63</v>
      </c>
      <c r="N30" s="724">
        <f t="shared" si="3"/>
        <v>6.6167277532955867E-3</v>
      </c>
      <c r="O30" s="596">
        <f>IF(N30="Løype",Poengsammendrag!$F$2,IF(N30="Arr",Poengsammendrag!$F$3,IF(N30="Brutt",50,IF(N30="Disk",50,ROUND(MAXA(100*(MIN(N$10:N$93)/N30),50),0)))))</f>
        <v>70</v>
      </c>
      <c r="Q30" s="672"/>
      <c r="R30" s="672"/>
      <c r="S30" s="803" t="s">
        <v>124</v>
      </c>
      <c r="T30" s="736">
        <v>1.1332671957671958E-2</v>
      </c>
      <c r="U30" s="752">
        <v>68</v>
      </c>
      <c r="V30" s="781"/>
      <c r="W30" s="776" t="s">
        <v>80</v>
      </c>
      <c r="X30" s="740">
        <v>70</v>
      </c>
      <c r="AB30" s="828">
        <f t="shared" si="5"/>
        <v>75</v>
      </c>
      <c r="AC30" s="829">
        <f t="shared" si="4"/>
        <v>5</v>
      </c>
    </row>
    <row r="31" spans="2:29" ht="21" customHeight="1" thickBot="1" x14ac:dyDescent="0.3">
      <c r="B31" s="16">
        <f t="shared" si="0"/>
        <v>22</v>
      </c>
      <c r="C31" s="106" t="s">
        <v>63</v>
      </c>
      <c r="D31" s="107" t="s">
        <v>336</v>
      </c>
      <c r="E31" s="599" t="str">
        <f t="shared" si="1"/>
        <v>ToreFornes</v>
      </c>
      <c r="F31" s="192">
        <f>YEAR(I$5)-_xlfn.XLOOKUP(E31,Deltakerliste!E$5:E$98,Deltakerliste!I$5:I$98)</f>
        <v>67</v>
      </c>
      <c r="G31" s="192">
        <f>_xlfn.XLOOKUP(E31,Deltakerliste!E$5:E$98,Deltakerliste!H$5:H$98)</f>
        <v>2</v>
      </c>
      <c r="H31" s="592">
        <f>VLOOKUP(F31,Deltakerliste!P$6:T$84,G31,FALSE)</f>
        <v>1.3469999999999998</v>
      </c>
      <c r="I31" s="86"/>
      <c r="J31" s="86">
        <v>3.2303240740740743E-2</v>
      </c>
      <c r="K31" s="13"/>
      <c r="L31" s="600">
        <f t="shared" si="2"/>
        <v>9.2294973544973548E-3</v>
      </c>
      <c r="M31" s="594">
        <f>IF(L31="Løype",Poengsammendrag!$F$2,IF(L31="Arr",Poengsammendrag!$F$3,IF(L31="Brutt",50,IF(L31="Disk",50,ROUND(MAXA(100*(MIN(L$10:L$93)/L31),50),0)))))</f>
        <v>84</v>
      </c>
      <c r="N31" s="724">
        <f t="shared" si="3"/>
        <v>6.8518911317723506E-3</v>
      </c>
      <c r="O31" s="596">
        <f>IF(N31="Løype",Poengsammendrag!$F$2,IF(N31="Arr",Poengsammendrag!$F$3,IF(N31="Brutt",50,IF(N31="Disk",50,ROUND(MAXA(100*(MIN(N$10:N$93)/N31),50),0)))))</f>
        <v>68</v>
      </c>
      <c r="Q31" s="672"/>
      <c r="R31" s="672"/>
      <c r="S31" s="803" t="s">
        <v>299</v>
      </c>
      <c r="T31" s="736">
        <v>1.1471560846560846E-2</v>
      </c>
      <c r="U31" s="752">
        <v>68</v>
      </c>
      <c r="V31" s="781"/>
      <c r="W31" s="776" t="s">
        <v>346</v>
      </c>
      <c r="X31" s="740">
        <v>68</v>
      </c>
      <c r="AB31" s="828">
        <f t="shared" si="5"/>
        <v>76</v>
      </c>
      <c r="AC31" s="829">
        <f t="shared" si="4"/>
        <v>1</v>
      </c>
    </row>
    <row r="32" spans="2:29" ht="21" customHeight="1" thickBot="1" x14ac:dyDescent="0.3">
      <c r="B32" s="16">
        <f t="shared" si="0"/>
        <v>23</v>
      </c>
      <c r="C32" s="106" t="s">
        <v>168</v>
      </c>
      <c r="D32" s="107" t="s">
        <v>169</v>
      </c>
      <c r="E32" s="599" t="str">
        <f t="shared" si="1"/>
        <v>SteinØvstedal</v>
      </c>
      <c r="F32" s="192">
        <f>YEAR(I$5)-_xlfn.XLOOKUP(E32,Deltakerliste!E$5:E$98,Deltakerliste!I$5:I$98)</f>
        <v>75</v>
      </c>
      <c r="G32" s="192">
        <f>_xlfn.XLOOKUP(E32,Deltakerliste!E$5:E$98,Deltakerliste!H$5:H$98)</f>
        <v>2</v>
      </c>
      <c r="H32" s="592">
        <f>VLOOKUP(F32,Deltakerliste!P$6:T$84,G32,FALSE)</f>
        <v>1.605</v>
      </c>
      <c r="I32" s="132">
        <v>2.326388888888889E-2</v>
      </c>
      <c r="J32" s="132"/>
      <c r="K32" s="18"/>
      <c r="L32" s="600">
        <f t="shared" si="2"/>
        <v>1.1078042328042327E-2</v>
      </c>
      <c r="M32" s="594">
        <f>IF(L32="Løype",Poengsammendrag!$F$2,IF(L32="Arr",Poengsammendrag!$F$3,IF(L32="Brutt",50,IF(L32="Disk",50,ROUND(MAXA(100*(MIN(L$10:L$93)/L32),50),0)))))</f>
        <v>70</v>
      </c>
      <c r="N32" s="724">
        <f t="shared" si="3"/>
        <v>6.9022070579702974E-3</v>
      </c>
      <c r="O32" s="596">
        <f>IF(N32="Løype",Poengsammendrag!$F$2,IF(N32="Arr",Poengsammendrag!$F$3,IF(N32="Brutt",50,IF(N32="Disk",50,ROUND(MAXA(100*(MIN(N$10:N$93)/N32),50),0)))))</f>
        <v>68</v>
      </c>
      <c r="S32" s="803" t="s">
        <v>338</v>
      </c>
      <c r="T32" s="736">
        <v>1.1849647266313932E-2</v>
      </c>
      <c r="U32" s="752">
        <v>65</v>
      </c>
      <c r="V32" s="781"/>
      <c r="W32" s="776" t="s">
        <v>168</v>
      </c>
      <c r="X32" s="740">
        <v>68</v>
      </c>
      <c r="AB32" s="828">
        <f t="shared" si="5"/>
        <v>77</v>
      </c>
      <c r="AC32" s="829">
        <f t="shared" si="4"/>
        <v>3</v>
      </c>
    </row>
    <row r="33" spans="2:29" ht="21" customHeight="1" thickBot="1" x14ac:dyDescent="0.3">
      <c r="B33" s="16">
        <f t="shared" si="0"/>
        <v>24</v>
      </c>
      <c r="C33" s="106" t="s">
        <v>101</v>
      </c>
      <c r="D33" s="107" t="s">
        <v>102</v>
      </c>
      <c r="E33" s="599" t="str">
        <f t="shared" si="1"/>
        <v>EvenHofstad</v>
      </c>
      <c r="F33" s="192">
        <f>YEAR(I$5)-_xlfn.XLOOKUP(E33,Deltakerliste!E$5:E$98,Deltakerliste!I$5:I$98)</f>
        <v>72</v>
      </c>
      <c r="G33" s="192">
        <f>_xlfn.XLOOKUP(E33,Deltakerliste!E$5:E$98,Deltakerliste!H$5:H$98)</f>
        <v>2</v>
      </c>
      <c r="H33" s="592">
        <f>VLOOKUP(F33,Deltakerliste!P$6:T$84,G33,FALSE)</f>
        <v>1.4969999999999999</v>
      </c>
      <c r="I33" s="86"/>
      <c r="J33" s="86">
        <v>3.6851851851851851E-2</v>
      </c>
      <c r="K33" s="13"/>
      <c r="L33" s="600">
        <f t="shared" si="2"/>
        <v>1.0529100529100529E-2</v>
      </c>
      <c r="M33" s="594">
        <f>IF(L33="Løype",Poengsammendrag!$F$2,IF(L33="Arr",Poengsammendrag!$F$3,IF(L33="Brutt",50,IF(L33="Disk",50,ROUND(MAXA(100*(MIN(L$10:L$93)/L33),50),0)))))</f>
        <v>74</v>
      </c>
      <c r="N33" s="724">
        <f t="shared" si="3"/>
        <v>7.0334672873083029E-3</v>
      </c>
      <c r="O33" s="596">
        <f>IF(N33="Løype",Poengsammendrag!$F$2,IF(N33="Arr",Poengsammendrag!$F$3,IF(N33="Brutt",50,IF(N33="Disk",50,ROUND(MAXA(100*(MIN(N$10:N$93)/N33),50),0)))))</f>
        <v>66</v>
      </c>
      <c r="S33" s="803" t="s">
        <v>342</v>
      </c>
      <c r="T33" s="736">
        <v>1.1904761904761904E-2</v>
      </c>
      <c r="U33" s="752">
        <v>65</v>
      </c>
      <c r="V33" s="781"/>
      <c r="W33" s="776" t="s">
        <v>101</v>
      </c>
      <c r="X33" s="740">
        <v>66</v>
      </c>
      <c r="AB33" s="828">
        <f t="shared" si="5"/>
        <v>78</v>
      </c>
      <c r="AC33" s="829">
        <f t="shared" si="4"/>
        <v>2</v>
      </c>
    </row>
    <row r="34" spans="2:29" ht="21" customHeight="1" thickBot="1" x14ac:dyDescent="0.3">
      <c r="B34" s="16">
        <f t="shared" si="0"/>
        <v>25</v>
      </c>
      <c r="C34" s="106" t="s">
        <v>108</v>
      </c>
      <c r="D34" s="107" t="s">
        <v>109</v>
      </c>
      <c r="E34" s="599" t="str">
        <f t="shared" si="1"/>
        <v>Finn FayeKnudsen</v>
      </c>
      <c r="F34" s="192">
        <f>YEAR(I$5)-_xlfn.XLOOKUP(E34,Deltakerliste!E$5:E$98,Deltakerliste!I$5:I$98)</f>
        <v>84</v>
      </c>
      <c r="G34" s="192">
        <f>_xlfn.XLOOKUP(E34,Deltakerliste!E$5:E$98,Deltakerliste!H$5:H$98)</f>
        <v>2</v>
      </c>
      <c r="H34" s="592">
        <f>VLOOKUP(F34,Deltakerliste!P$6:T$84,G34,FALSE)</f>
        <v>2.1509999999999998</v>
      </c>
      <c r="I34" s="86">
        <v>3.2025462962962964E-2</v>
      </c>
      <c r="J34" s="86"/>
      <c r="K34" s="13"/>
      <c r="L34" s="600">
        <f t="shared" si="2"/>
        <v>1.5250220458553792E-2</v>
      </c>
      <c r="M34" s="594">
        <f>IF(L34="Løype",Poengsammendrag!$F$2,IF(L34="Arr",Poengsammendrag!$F$3,IF(L34="Brutt",50,IF(L34="Disk",50,ROUND(MAXA(100*(MIN(L$10:L$93)/L34),50),0)))))</f>
        <v>51</v>
      </c>
      <c r="N34" s="724">
        <f t="shared" si="3"/>
        <v>7.089828200164479E-3</v>
      </c>
      <c r="O34" s="596">
        <f>IF(N34="Løype",Poengsammendrag!$F$2,IF(N34="Arr",Poengsammendrag!$F$3,IF(N34="Brutt",50,IF(N34="Disk",50,ROUND(MAXA(100*(MIN(N$10:N$93)/N34),50),0)))))</f>
        <v>66</v>
      </c>
      <c r="S34" s="803" t="s">
        <v>80</v>
      </c>
      <c r="T34" s="736">
        <v>1.2274029982363314E-2</v>
      </c>
      <c r="U34" s="752">
        <v>63</v>
      </c>
      <c r="V34" s="781"/>
      <c r="W34" s="776" t="s">
        <v>108</v>
      </c>
      <c r="X34" s="740">
        <v>66</v>
      </c>
      <c r="AB34" s="828">
        <f t="shared" si="5"/>
        <v>79</v>
      </c>
      <c r="AC34" s="829">
        <f t="shared" si="4"/>
        <v>3</v>
      </c>
    </row>
    <row r="35" spans="2:29" ht="21" customHeight="1" thickBot="1" x14ac:dyDescent="0.3">
      <c r="B35" s="16">
        <f t="shared" si="0"/>
        <v>26</v>
      </c>
      <c r="C35" s="106" t="s">
        <v>265</v>
      </c>
      <c r="D35" s="107" t="s">
        <v>344</v>
      </c>
      <c r="E35" s="599" t="str">
        <f t="shared" si="1"/>
        <v>ØysteinNytrø</v>
      </c>
      <c r="F35" s="192">
        <f>YEAR(I$5)-_xlfn.XLOOKUP(E35,Deltakerliste!E$5:E$98,Deltakerliste!I$5:I$98)</f>
        <v>66</v>
      </c>
      <c r="G35" s="192">
        <f>_xlfn.XLOOKUP(E35,Deltakerliste!E$5:E$98,Deltakerliste!H$5:H$98)</f>
        <v>2</v>
      </c>
      <c r="H35" s="592">
        <f>VLOOKUP(F35,Deltakerliste!P$6:T$84,G35,FALSE)</f>
        <v>1.3209999999999997</v>
      </c>
      <c r="I35" s="18"/>
      <c r="J35" s="132">
        <v>3.304398148148148E-2</v>
      </c>
      <c r="K35" s="18"/>
      <c r="L35" s="600">
        <f t="shared" si="2"/>
        <v>9.4411375661375661E-3</v>
      </c>
      <c r="M35" s="594">
        <f>IF(L35="Løype",Poengsammendrag!$F$2,IF(L35="Arr",Poengsammendrag!$F$3,IF(L35="Brutt",50,IF(L35="Disk",50,ROUND(MAXA(100*(MIN(L$10:L$93)/L35),50),0)))))</f>
        <v>82</v>
      </c>
      <c r="N35" s="724">
        <f t="shared" si="3"/>
        <v>7.146962578453874E-3</v>
      </c>
      <c r="O35" s="596">
        <f>IF(N35="Løype",Poengsammendrag!$F$2,IF(N35="Arr",Poengsammendrag!$F$3,IF(N35="Brutt",50,IF(N35="Disk",50,ROUND(MAXA(100*(MIN(N$10:N$93)/N35),50),0)))))</f>
        <v>65</v>
      </c>
      <c r="S35" s="803" t="s">
        <v>76</v>
      </c>
      <c r="T35" s="736">
        <v>1.2422839506172838E-2</v>
      </c>
      <c r="U35" s="752">
        <v>62</v>
      </c>
      <c r="V35" s="781"/>
      <c r="W35" s="776" t="s">
        <v>345</v>
      </c>
      <c r="X35" s="740">
        <v>65</v>
      </c>
      <c r="AB35" s="828">
        <f t="shared" si="5"/>
        <v>80</v>
      </c>
      <c r="AC35" s="829">
        <f t="shared" si="4"/>
        <v>1</v>
      </c>
    </row>
    <row r="36" spans="2:29" ht="21" thickBot="1" x14ac:dyDescent="0.3">
      <c r="B36" s="16">
        <f t="shared" si="0"/>
        <v>27</v>
      </c>
      <c r="C36" s="106" t="s">
        <v>76</v>
      </c>
      <c r="D36" s="107" t="s">
        <v>77</v>
      </c>
      <c r="E36" s="599" t="str">
        <f t="shared" si="1"/>
        <v>ReinoldEllingsen</v>
      </c>
      <c r="F36" s="192">
        <f>YEAR(I$5)-_xlfn.XLOOKUP(E36,Deltakerliste!E$5:E$98,Deltakerliste!I$5:I$98)</f>
        <v>75</v>
      </c>
      <c r="G36" s="192">
        <f>_xlfn.XLOOKUP(E36,Deltakerliste!E$5:E$98,Deltakerliste!H$5:H$98)</f>
        <v>2</v>
      </c>
      <c r="H36" s="592">
        <f>VLOOKUP(F36,Deltakerliste!P$6:T$84,G36,FALSE)</f>
        <v>1.605</v>
      </c>
      <c r="I36" s="855">
        <v>2.6087962962962962E-2</v>
      </c>
      <c r="J36" s="13"/>
      <c r="K36" s="13"/>
      <c r="L36" s="600">
        <f t="shared" si="2"/>
        <v>1.2422839506172838E-2</v>
      </c>
      <c r="M36" s="594">
        <f>IF(L36="Løype",Poengsammendrag!$F$2,IF(L36="Arr",Poengsammendrag!$F$3,IF(L36="Brutt",50,IF(L36="Disk",50,ROUND(MAXA(100*(MIN(L$10:L$93)/L36),50),0)))))</f>
        <v>62</v>
      </c>
      <c r="N36" s="724">
        <f t="shared" si="3"/>
        <v>7.7400869197338552E-3</v>
      </c>
      <c r="O36" s="596">
        <f>IF(N36="Løype",Poengsammendrag!$F$2,IF(N36="Arr",Poengsammendrag!$F$3,IF(N36="Brutt",50,IF(N36="Disk",50,ROUND(MAXA(100*(MIN(N$10:N$93)/N36),50),0)))))</f>
        <v>60</v>
      </c>
      <c r="S36" s="803" t="s">
        <v>347</v>
      </c>
      <c r="T36" s="736">
        <v>1.2494488536155202E-2</v>
      </c>
      <c r="U36" s="752">
        <v>62</v>
      </c>
      <c r="V36" s="781"/>
      <c r="W36" s="776" t="s">
        <v>76</v>
      </c>
      <c r="X36" s="740">
        <v>60</v>
      </c>
      <c r="AB36" s="828">
        <f t="shared" si="5"/>
        <v>81</v>
      </c>
      <c r="AC36" s="829">
        <f t="shared" si="4"/>
        <v>2</v>
      </c>
    </row>
    <row r="37" spans="2:29" ht="21" customHeight="1" thickBot="1" x14ac:dyDescent="0.3">
      <c r="B37" s="16">
        <f t="shared" si="0"/>
        <v>28</v>
      </c>
      <c r="C37" s="106" t="s">
        <v>72</v>
      </c>
      <c r="D37" s="107" t="s">
        <v>73</v>
      </c>
      <c r="E37" s="599" t="str">
        <f t="shared" si="1"/>
        <v>KåreEggereide</v>
      </c>
      <c r="F37" s="192">
        <f>YEAR(I$5)-_xlfn.XLOOKUP(E37,Deltakerliste!E$5:E$98,Deltakerliste!I$5:I$98)</f>
        <v>75</v>
      </c>
      <c r="G37" s="192">
        <f>_xlfn.XLOOKUP(E37,Deltakerliste!E$5:E$98,Deltakerliste!H$5:H$98)</f>
        <v>2</v>
      </c>
      <c r="H37" s="592">
        <f>VLOOKUP(F37,Deltakerliste!P$6:T$84,G37,FALSE)</f>
        <v>1.605</v>
      </c>
      <c r="I37" s="86">
        <v>2.6365740740740742E-2</v>
      </c>
      <c r="J37" s="13"/>
      <c r="K37" s="13"/>
      <c r="L37" s="600">
        <f t="shared" si="2"/>
        <v>1.2555114638447972E-2</v>
      </c>
      <c r="M37" s="594">
        <f>IF(L37="Løype",Poengsammendrag!$F$2,IF(L37="Arr",Poengsammendrag!$F$3,IF(L37="Brutt",50,IF(L37="Disk",50,ROUND(MAXA(100*(MIN(L$10:L$93)/L37),50),0)))))</f>
        <v>62</v>
      </c>
      <c r="N37" s="724">
        <f t="shared" si="3"/>
        <v>7.8225013323663384E-3</v>
      </c>
      <c r="O37" s="596">
        <f>IF(N37="Løype",Poengsammendrag!$F$2,IF(N37="Arr",Poengsammendrag!$F$3,IF(N37="Brutt",50,IF(N37="Disk",50,ROUND(MAXA(100*(MIN(N$10:N$93)/N37),50),0)))))</f>
        <v>60</v>
      </c>
      <c r="S37" s="803" t="s">
        <v>350</v>
      </c>
      <c r="T37" s="736">
        <v>1.2555114638447972E-2</v>
      </c>
      <c r="U37" s="752">
        <v>62</v>
      </c>
      <c r="V37" s="781"/>
      <c r="W37" s="776" t="s">
        <v>350</v>
      </c>
      <c r="X37" s="740">
        <v>60</v>
      </c>
      <c r="AB37" s="828">
        <f t="shared" si="5"/>
        <v>82</v>
      </c>
      <c r="AC37" s="829">
        <f t="shared" si="4"/>
        <v>2</v>
      </c>
    </row>
    <row r="38" spans="2:29" ht="21" customHeight="1" thickBot="1" x14ac:dyDescent="0.3">
      <c r="B38" s="16">
        <f t="shared" si="0"/>
        <v>29</v>
      </c>
      <c r="C38" s="106" t="s">
        <v>299</v>
      </c>
      <c r="D38" s="107" t="s">
        <v>300</v>
      </c>
      <c r="E38" s="599" t="str">
        <f t="shared" si="1"/>
        <v>OlavKvittem</v>
      </c>
      <c r="F38" s="192">
        <f>YEAR(I$5)-_xlfn.XLOOKUP(E38,Deltakerliste!E$5:E$98,Deltakerliste!I$5:I$98)</f>
        <v>71</v>
      </c>
      <c r="G38" s="192">
        <f>_xlfn.XLOOKUP(E38,Deltakerliste!E$5:E$98,Deltakerliste!H$5:H$98)</f>
        <v>2</v>
      </c>
      <c r="H38" s="592">
        <f>VLOOKUP(F38,Deltakerliste!P$6:T$84,G38,FALSE)</f>
        <v>1.4609999999999999</v>
      </c>
      <c r="I38" s="86"/>
      <c r="J38" s="86">
        <v>4.0150462962962964E-2</v>
      </c>
      <c r="K38" s="13"/>
      <c r="L38" s="600">
        <f t="shared" si="2"/>
        <v>1.1471560846560846E-2</v>
      </c>
      <c r="M38" s="594">
        <f>IF(L38="Løype",Poengsammendrag!$F$2,IF(L38="Arr",Poengsammendrag!$F$3,IF(L38="Brutt",50,IF(L38="Disk",50,ROUND(MAXA(100*(MIN(L$10:L$93)/L38),50),0)))))</f>
        <v>68</v>
      </c>
      <c r="N38" s="724">
        <f t="shared" si="3"/>
        <v>7.851855473347602E-3</v>
      </c>
      <c r="O38" s="596">
        <f>IF(N38="Løype",Poengsammendrag!$F$2,IF(N38="Arr",Poengsammendrag!$F$3,IF(N38="Brutt",50,IF(N38="Disk",50,ROUND(MAXA(100*(MIN(N$10:N$93)/N38),50),0)))))</f>
        <v>59</v>
      </c>
      <c r="S38" s="803" t="s">
        <v>357</v>
      </c>
      <c r="T38" s="736">
        <v>1.2571649029982363E-2</v>
      </c>
      <c r="U38" s="752">
        <v>62</v>
      </c>
      <c r="V38" s="781"/>
      <c r="W38" s="776" t="s">
        <v>299</v>
      </c>
      <c r="X38" s="740">
        <v>59</v>
      </c>
      <c r="AB38" s="828">
        <f t="shared" si="5"/>
        <v>83</v>
      </c>
      <c r="AC38" s="829">
        <f t="shared" si="4"/>
        <v>1</v>
      </c>
    </row>
    <row r="39" spans="2:29" ht="21" customHeight="1" thickBot="1" x14ac:dyDescent="0.3">
      <c r="B39" s="16">
        <f t="shared" si="0"/>
        <v>30</v>
      </c>
      <c r="C39" s="106" t="s">
        <v>269</v>
      </c>
      <c r="D39" s="107" t="s">
        <v>270</v>
      </c>
      <c r="E39" s="599" t="str">
        <f t="shared" si="1"/>
        <v>Per OlavJohansen</v>
      </c>
      <c r="F39" s="192">
        <f>YEAR(I$5)-_xlfn.XLOOKUP(E39,Deltakerliste!E$5:E$98,Deltakerliste!I$5:I$98)</f>
        <v>68</v>
      </c>
      <c r="G39" s="192">
        <f>_xlfn.XLOOKUP(E39,Deltakerliste!E$5:E$98,Deltakerliste!H$5:H$98)</f>
        <v>2</v>
      </c>
      <c r="H39" s="592">
        <f>VLOOKUP(F39,Deltakerliste!P$6:T$84,G39,FALSE)</f>
        <v>1.3729999999999998</v>
      </c>
      <c r="I39" s="132">
        <v>2.3472222222222221E-2</v>
      </c>
      <c r="J39" s="132"/>
      <c r="K39" s="134"/>
      <c r="L39" s="600">
        <f t="shared" si="2"/>
        <v>1.1177248677248676E-2</v>
      </c>
      <c r="M39" s="594">
        <f>IF(L39="Løype",Poengsammendrag!$F$2,IF(L39="Arr",Poengsammendrag!$F$3,IF(L39="Brutt",50,IF(L39="Disk",50,ROUND(MAXA(100*(MIN(L$10:L$93)/L39),50),0)))))</f>
        <v>69</v>
      </c>
      <c r="N39" s="724">
        <f t="shared" si="3"/>
        <v>8.1407492186807567E-3</v>
      </c>
      <c r="O39" s="596">
        <f>IF(N39="Løype",Poengsammendrag!$F$2,IF(N39="Arr",Poengsammendrag!$F$3,IF(N39="Brutt",50,IF(N39="Disk",50,ROUND(MAXA(100*(MIN(N$10:N$93)/N39),50),0)))))</f>
        <v>57</v>
      </c>
      <c r="S39" s="803" t="s">
        <v>315</v>
      </c>
      <c r="T39" s="736">
        <v>1.4462081128747795E-2</v>
      </c>
      <c r="U39" s="752">
        <v>54</v>
      </c>
      <c r="V39" s="781"/>
      <c r="W39" s="776" t="s">
        <v>269</v>
      </c>
      <c r="X39" s="740">
        <v>57</v>
      </c>
      <c r="AB39" s="828">
        <f t="shared" si="5"/>
        <v>84</v>
      </c>
      <c r="AC39" s="829">
        <f t="shared" si="4"/>
        <v>1</v>
      </c>
    </row>
    <row r="40" spans="2:29" ht="21" thickBot="1" x14ac:dyDescent="0.3">
      <c r="B40" s="16">
        <f t="shared" si="0"/>
        <v>31</v>
      </c>
      <c r="C40" s="106" t="s">
        <v>402</v>
      </c>
      <c r="D40" s="107" t="s">
        <v>403</v>
      </c>
      <c r="E40" s="599" t="str">
        <f t="shared" si="1"/>
        <v>BørgeNordli</v>
      </c>
      <c r="F40" s="192">
        <f>YEAR(I$5)-_xlfn.XLOOKUP(E40,Deltakerliste!E$5:E$98,Deltakerliste!I$5:I$98)</f>
        <v>44</v>
      </c>
      <c r="G40" s="192">
        <f>_xlfn.XLOOKUP(E40,Deltakerliste!E$5:E$98,Deltakerliste!H$5:H$98)</f>
        <v>2</v>
      </c>
      <c r="H40" s="592">
        <f>VLOOKUP(F40,Deltakerliste!P$6:T$84,G40,FALSE)</f>
        <v>1.0399999999999996</v>
      </c>
      <c r="I40" s="132">
        <v>1.9571759259259261E-2</v>
      </c>
      <c r="J40" s="132"/>
      <c r="K40" s="18"/>
      <c r="L40" s="600">
        <f t="shared" si="2"/>
        <v>9.3198853615520279E-3</v>
      </c>
      <c r="M40" s="594">
        <f>IF(L40="Løype",Poengsammendrag!$F$2,IF(L40="Arr",Poengsammendrag!$F$3,IF(L40="Brutt",50,IF(L40="Disk",50,ROUND(MAXA(100*(MIN(L$10:L$93)/L40),50),0)))))</f>
        <v>83</v>
      </c>
      <c r="N40" s="724">
        <f t="shared" si="3"/>
        <v>8.9614282322615681E-3</v>
      </c>
      <c r="O40" s="596">
        <f>IF(N40="Løype",Poengsammendrag!$F$2,IF(N40="Arr",Poengsammendrag!$F$3,IF(N40="Brutt",50,IF(N40="Disk",50,ROUND(MAXA(100*(MIN(N$10:N$93)/N40),50),0)))))</f>
        <v>52</v>
      </c>
      <c r="S40" s="803" t="s">
        <v>60</v>
      </c>
      <c r="T40" s="736">
        <v>1.4710097001763667E-2</v>
      </c>
      <c r="U40" s="752">
        <v>53</v>
      </c>
      <c r="V40" s="781"/>
      <c r="W40" s="776" t="s">
        <v>402</v>
      </c>
      <c r="X40" s="740">
        <v>52</v>
      </c>
      <c r="AB40" s="828">
        <f t="shared" si="5"/>
        <v>85</v>
      </c>
      <c r="AC40" s="829">
        <f t="shared" si="4"/>
        <v>1</v>
      </c>
    </row>
    <row r="41" spans="2:29" ht="21" thickBot="1" x14ac:dyDescent="0.3">
      <c r="B41" s="16">
        <f t="shared" si="0"/>
        <v>32</v>
      </c>
      <c r="C41" s="106" t="s">
        <v>60</v>
      </c>
      <c r="D41" s="107" t="s">
        <v>372</v>
      </c>
      <c r="E41" s="599" t="str">
        <f t="shared" si="1"/>
        <v>JosteinGrepstad</v>
      </c>
      <c r="F41" s="192">
        <f>YEAR(I$5)-_xlfn.XLOOKUP(E41,Deltakerliste!E$5:E$98,Deltakerliste!I$5:I$98)</f>
        <v>75</v>
      </c>
      <c r="G41" s="192">
        <f>_xlfn.XLOOKUP(E41,Deltakerliste!E$5:E$98,Deltakerliste!H$5:H$98)</f>
        <v>2</v>
      </c>
      <c r="H41" s="592">
        <f>VLOOKUP(F41,Deltakerliste!P$6:T$84,G41,FALSE)</f>
        <v>1.605</v>
      </c>
      <c r="I41" s="14">
        <v>3.0891203703703702E-2</v>
      </c>
      <c r="J41" s="14"/>
      <c r="K41" s="18"/>
      <c r="L41" s="600">
        <f t="shared" si="2"/>
        <v>1.4710097001763667E-2</v>
      </c>
      <c r="M41" s="594">
        <f>IF(L41="Løype",Poengsammendrag!$F$2,IF(L41="Arr",Poengsammendrag!$F$3,IF(L41="Brutt",50,IF(L41="Disk",50,ROUND(MAXA(100*(MIN(L$10:L$93)/L41),50),0)))))</f>
        <v>53</v>
      </c>
      <c r="N41" s="724">
        <f t="shared" si="3"/>
        <v>9.165169471503842E-3</v>
      </c>
      <c r="O41" s="596">
        <f>IF(N41="Løype",Poengsammendrag!$F$2,IF(N41="Arr",Poengsammendrag!$F$3,IF(N41="Brutt",50,IF(N41="Disk",50,ROUND(MAXA(100*(MIN(N$10:N$93)/N41),50),0)))))</f>
        <v>51</v>
      </c>
      <c r="S41" s="803" t="s">
        <v>263</v>
      </c>
      <c r="T41" s="736">
        <v>1.4710097001763667E-2</v>
      </c>
      <c r="U41" s="752">
        <v>53</v>
      </c>
      <c r="V41" s="781"/>
      <c r="W41" s="776" t="s">
        <v>60</v>
      </c>
      <c r="X41" s="740">
        <v>51</v>
      </c>
      <c r="AB41" s="828">
        <f t="shared" si="5"/>
        <v>86</v>
      </c>
      <c r="AC41" s="829">
        <f t="shared" si="4"/>
        <v>1</v>
      </c>
    </row>
    <row r="42" spans="2:29" ht="21" customHeight="1" thickBot="1" x14ac:dyDescent="0.3">
      <c r="B42" s="16">
        <f t="shared" ref="B42:B73" si="6">B41+1</f>
        <v>33</v>
      </c>
      <c r="C42" s="106" t="s">
        <v>72</v>
      </c>
      <c r="D42" s="107" t="s">
        <v>139</v>
      </c>
      <c r="E42" s="599" t="str">
        <f t="shared" ref="E42:E73" si="7">_xlfn.CONCAT(C42:D42)</f>
        <v>KåreOnsøyen</v>
      </c>
      <c r="F42" s="192">
        <f>YEAR(I$5)-_xlfn.XLOOKUP(E42,Deltakerliste!E$5:E$98,Deltakerliste!I$5:I$98)</f>
        <v>78</v>
      </c>
      <c r="G42" s="192">
        <f>_xlfn.XLOOKUP(E42,Deltakerliste!E$5:E$98,Deltakerliste!H$5:H$98)</f>
        <v>2</v>
      </c>
      <c r="H42" s="592">
        <f>VLOOKUP(F42,Deltakerliste!P$6:T$84,G42,FALSE)</f>
        <v>1.7550000000000001</v>
      </c>
      <c r="I42" s="13">
        <v>3.4687500000000003E-2</v>
      </c>
      <c r="J42" s="13"/>
      <c r="K42" s="13"/>
      <c r="L42" s="600">
        <f t="shared" si="2"/>
        <v>1.6517857142857143E-2</v>
      </c>
      <c r="M42" s="594">
        <f>IF(L42="Løype",Poengsammendrag!$F$2,IF(L42="Arr",Poengsammendrag!$F$3,IF(L42="Brutt",50,IF(L42="Disk",50,ROUND(MAXA(100*(MIN(L$10:L$93)/L42),50),0)))))</f>
        <v>50</v>
      </c>
      <c r="N42" s="724">
        <f t="shared" si="3"/>
        <v>9.4118844118844108E-3</v>
      </c>
      <c r="O42" s="596">
        <f>IF(N42="Løype",Poengsammendrag!$F$2,IF(N42="Arr",Poengsammendrag!$F$3,IF(N42="Brutt",50,IF(N42="Disk",50,ROUND(MAXA(100*(MIN(N$10:N$93)/N42),50),0)))))</f>
        <v>50</v>
      </c>
      <c r="S42" s="803" t="s">
        <v>96</v>
      </c>
      <c r="T42" s="796">
        <v>1.5068342151675483E-2</v>
      </c>
      <c r="U42" s="765">
        <v>51</v>
      </c>
      <c r="V42" s="782"/>
      <c r="W42" s="777" t="s">
        <v>349</v>
      </c>
      <c r="X42" s="762">
        <v>50</v>
      </c>
      <c r="AB42" s="828">
        <f t="shared" si="5"/>
        <v>87</v>
      </c>
      <c r="AC42" s="829">
        <f t="shared" si="4"/>
        <v>2</v>
      </c>
    </row>
    <row r="43" spans="2:29" ht="21" thickBot="1" x14ac:dyDescent="0.3">
      <c r="B43" s="16">
        <f t="shared" si="6"/>
        <v>34</v>
      </c>
      <c r="C43" s="106" t="s">
        <v>263</v>
      </c>
      <c r="D43" s="107" t="s">
        <v>264</v>
      </c>
      <c r="E43" s="599" t="str">
        <f t="shared" si="7"/>
        <v>RuneHolt</v>
      </c>
      <c r="F43" s="192">
        <f>YEAR(I$5)-_xlfn.XLOOKUP(E43,Deltakerliste!E$5:E$98,Deltakerliste!I$5:I$98)</f>
        <v>73</v>
      </c>
      <c r="G43" s="192">
        <f>_xlfn.XLOOKUP(E43,Deltakerliste!E$5:E$98,Deltakerliste!H$5:H$98)</f>
        <v>2</v>
      </c>
      <c r="H43" s="592">
        <f>VLOOKUP(F43,Deltakerliste!P$6:T$84,G43,FALSE)</f>
        <v>1.5329999999999999</v>
      </c>
      <c r="I43" s="86">
        <v>3.0891203703703702E-2</v>
      </c>
      <c r="J43" s="134"/>
      <c r="K43" s="17"/>
      <c r="L43" s="600">
        <f t="shared" si="2"/>
        <v>1.4710097001763667E-2</v>
      </c>
      <c r="M43" s="594">
        <f>IF(L43="Løype",Poengsammendrag!$F$2,IF(L43="Arr",Poengsammendrag!$F$3,IF(L43="Brutt",50,IF(L43="Disk",50,ROUND(MAXA(100*(MIN(L$10:L$93)/L43),50),0)))))</f>
        <v>53</v>
      </c>
      <c r="N43" s="724">
        <f t="shared" si="3"/>
        <v>9.5956275288738863E-3</v>
      </c>
      <c r="O43" s="596">
        <f>IF(N43="Løype",Poengsammendrag!$F$2,IF(N43="Arr",Poengsammendrag!$F$3,IF(N43="Brutt",50,IF(N43="Disk",50,ROUND(MAXA(100*(MIN(N$10:N$93)/N43),50),0)))))</f>
        <v>50</v>
      </c>
      <c r="S43" s="803" t="s">
        <v>108</v>
      </c>
      <c r="T43" s="797">
        <v>1.5250220458553792E-2</v>
      </c>
      <c r="U43" s="770">
        <v>51</v>
      </c>
      <c r="V43" s="778"/>
      <c r="W43" s="783" t="s">
        <v>263</v>
      </c>
      <c r="X43" s="740">
        <v>50</v>
      </c>
      <c r="AB43" s="828">
        <f t="shared" si="5"/>
        <v>88</v>
      </c>
      <c r="AC43" s="829">
        <f t="shared" si="4"/>
        <v>0</v>
      </c>
    </row>
    <row r="44" spans="2:29" ht="21" customHeight="1" thickBot="1" x14ac:dyDescent="0.3">
      <c r="B44" s="16">
        <f t="shared" si="6"/>
        <v>35</v>
      </c>
      <c r="C44" s="106" t="s">
        <v>63</v>
      </c>
      <c r="D44" s="107" t="s">
        <v>105</v>
      </c>
      <c r="E44" s="599" t="str">
        <f t="shared" si="7"/>
        <v>ToreKiste</v>
      </c>
      <c r="F44" s="192">
        <f>YEAR(I$5)-_xlfn.XLOOKUP(E44,Deltakerliste!E$5:E$98,Deltakerliste!I$5:I$98)</f>
        <v>81</v>
      </c>
      <c r="G44" s="192">
        <f>_xlfn.XLOOKUP(E44,Deltakerliste!E$5:E$98,Deltakerliste!H$5:H$98)</f>
        <v>2</v>
      </c>
      <c r="H44" s="592">
        <f>VLOOKUP(F44,Deltakerliste!P$6:T$84,G44,FALSE)</f>
        <v>1.9290000000000003</v>
      </c>
      <c r="I44" s="86">
        <v>3.9444444444444442E-2</v>
      </c>
      <c r="J44" s="86"/>
      <c r="K44" s="13"/>
      <c r="L44" s="600">
        <f t="shared" si="2"/>
        <v>1.878306878306878E-2</v>
      </c>
      <c r="M44" s="594">
        <f>IF(L44="Løype",Poengsammendrag!$F$2,IF(L44="Arr",Poengsammendrag!$F$3,IF(L44="Brutt",50,IF(L44="Disk",50,ROUND(MAXA(100*(MIN(L$10:L$93)/L44),50),0)))))</f>
        <v>50</v>
      </c>
      <c r="N44" s="724">
        <f t="shared" si="3"/>
        <v>9.7372051752559752E-3</v>
      </c>
      <c r="O44" s="596">
        <f>IF(N44="Løype",Poengsammendrag!$F$2,IF(N44="Arr",Poengsammendrag!$F$3,IF(N44="Brutt",50,IF(N44="Disk",50,ROUND(MAXA(100*(MIN(N$10:N$93)/N44),50),0)))))</f>
        <v>50</v>
      </c>
      <c r="S44" s="803" t="s">
        <v>349</v>
      </c>
      <c r="T44" s="797">
        <v>1.6517857142857143E-2</v>
      </c>
      <c r="U44" s="770">
        <v>50</v>
      </c>
      <c r="V44" s="772"/>
      <c r="W44" s="783" t="s">
        <v>339</v>
      </c>
      <c r="X44" s="740">
        <v>50</v>
      </c>
      <c r="AB44" s="828">
        <f t="shared" si="5"/>
        <v>89</v>
      </c>
      <c r="AC44" s="829">
        <f t="shared" si="4"/>
        <v>0</v>
      </c>
    </row>
    <row r="45" spans="2:29" ht="21" thickBot="1" x14ac:dyDescent="0.3">
      <c r="B45" s="16">
        <f t="shared" si="6"/>
        <v>36</v>
      </c>
      <c r="C45" s="106" t="s">
        <v>342</v>
      </c>
      <c r="D45" s="107" t="s">
        <v>343</v>
      </c>
      <c r="E45" s="599" t="str">
        <f t="shared" si="7"/>
        <v>ArildHeggeset</v>
      </c>
      <c r="F45" s="192">
        <f>YEAR(I$5)-_xlfn.XLOOKUP(E45,Deltakerliste!E$5:E$98,Deltakerliste!I$5:I$98)</f>
        <v>59</v>
      </c>
      <c r="G45" s="192">
        <f>_xlfn.XLOOKUP(E45,Deltakerliste!E$5:E$98,Deltakerliste!H$5:H$98)</f>
        <v>2</v>
      </c>
      <c r="H45" s="592">
        <f>VLOOKUP(F45,Deltakerliste!P$6:T$84,G45,FALSE)</f>
        <v>1.1860000000000002</v>
      </c>
      <c r="I45" s="86">
        <v>2.5000000000000001E-2</v>
      </c>
      <c r="J45" s="86"/>
      <c r="K45" s="13"/>
      <c r="L45" s="600">
        <f t="shared" si="2"/>
        <v>1.1904761904761904E-2</v>
      </c>
      <c r="M45" s="594">
        <f>IF(L45="Løype",Poengsammendrag!$F$2,IF(L45="Arr",Poengsammendrag!$F$3,IF(L45="Brutt",50,IF(L45="Disk",50,ROUND(MAXA(100*(MIN(L$10:L$93)/L45),50),0)))))</f>
        <v>65</v>
      </c>
      <c r="N45" s="724">
        <f t="shared" si="3"/>
        <v>1.0037741909580018E-2</v>
      </c>
      <c r="O45" s="596">
        <f>IF(N45="Løype",Poengsammendrag!$F$2,IF(N45="Arr",Poengsammendrag!$F$3,IF(N45="Brutt",50,IF(N45="Disk",50,ROUND(MAXA(100*(MIN(N$10:N$93)/N45),50),0)))))</f>
        <v>50</v>
      </c>
      <c r="S45" s="803" t="s">
        <v>248</v>
      </c>
      <c r="T45" s="797">
        <v>1.8259479717813047E-2</v>
      </c>
      <c r="U45" s="770">
        <v>50</v>
      </c>
      <c r="V45" s="772"/>
      <c r="W45" s="783" t="s">
        <v>342</v>
      </c>
      <c r="X45" s="740">
        <v>50</v>
      </c>
      <c r="AB45" s="828">
        <f t="shared" si="5"/>
        <v>90</v>
      </c>
      <c r="AC45" s="829">
        <f t="shared" si="4"/>
        <v>0</v>
      </c>
    </row>
    <row r="46" spans="2:29" ht="21" thickBot="1" x14ac:dyDescent="0.3">
      <c r="B46" s="16">
        <f t="shared" si="6"/>
        <v>37</v>
      </c>
      <c r="C46" s="106" t="s">
        <v>248</v>
      </c>
      <c r="D46" s="107" t="s">
        <v>249</v>
      </c>
      <c r="E46" s="599" t="str">
        <f t="shared" si="7"/>
        <v>ErikLund</v>
      </c>
      <c r="F46" s="192">
        <f>YEAR(I$5)-_xlfn.XLOOKUP(E46,Deltakerliste!E$5:E$98,Deltakerliste!I$5:I$98)</f>
        <v>79</v>
      </c>
      <c r="G46" s="192">
        <f>_xlfn.XLOOKUP(E46,Deltakerliste!E$5:E$98,Deltakerliste!H$5:H$98)</f>
        <v>2</v>
      </c>
      <c r="H46" s="592">
        <f>VLOOKUP(F46,Deltakerliste!P$6:T$84,G46,FALSE)</f>
        <v>1.8050000000000002</v>
      </c>
      <c r="I46" s="13">
        <v>3.8344907407407404E-2</v>
      </c>
      <c r="J46" s="855"/>
      <c r="K46" s="17"/>
      <c r="L46" s="600">
        <f t="shared" si="2"/>
        <v>1.8259479717813047E-2</v>
      </c>
      <c r="M46" s="594">
        <f>IF(L46="Løype",Poengsammendrag!$F$2,IF(L46="Arr",Poengsammendrag!$F$3,IF(L46="Brutt",50,IF(L46="Disk",50,ROUND(MAXA(100*(MIN(L$10:L$93)/L46),50),0)))))</f>
        <v>50</v>
      </c>
      <c r="N46" s="724">
        <f t="shared" si="3"/>
        <v>1.0116055245325786E-2</v>
      </c>
      <c r="O46" s="596">
        <f>IF(N46="Løype",Poengsammendrag!$F$2,IF(N46="Arr",Poengsammendrag!$F$3,IF(N46="Brutt",50,IF(N46="Disk",50,ROUND(MAXA(100*(MIN(N$10:N$93)/N46),50),0)))))</f>
        <v>50</v>
      </c>
      <c r="S46" s="803" t="s">
        <v>339</v>
      </c>
      <c r="T46" s="797">
        <v>1.878306878306878E-2</v>
      </c>
      <c r="U46" s="770">
        <v>50</v>
      </c>
      <c r="V46" s="772"/>
      <c r="W46" s="783" t="s">
        <v>248</v>
      </c>
      <c r="X46" s="740">
        <v>50</v>
      </c>
      <c r="AB46" s="828">
        <f t="shared" si="5"/>
        <v>91</v>
      </c>
      <c r="AC46" s="829">
        <f t="shared" si="4"/>
        <v>0</v>
      </c>
    </row>
    <row r="47" spans="2:29" ht="21" customHeight="1" thickBot="1" x14ac:dyDescent="0.3">
      <c r="B47" s="16">
        <f t="shared" si="6"/>
        <v>38</v>
      </c>
      <c r="C47" s="106" t="s">
        <v>99</v>
      </c>
      <c r="D47" s="107" t="s">
        <v>100</v>
      </c>
      <c r="E47" s="599" t="str">
        <f t="shared" si="7"/>
        <v>RobertHirsch</v>
      </c>
      <c r="F47" s="192">
        <f>YEAR(I$5)-_xlfn.XLOOKUP(E47,Deltakerliste!E$5:E$98,Deltakerliste!I$5:I$98)</f>
        <v>69</v>
      </c>
      <c r="G47" s="192">
        <f>_xlfn.XLOOKUP(E47,Deltakerliste!E$5:E$98,Deltakerliste!H$5:H$98)</f>
        <v>2</v>
      </c>
      <c r="H47" s="592">
        <f>VLOOKUP(F47,Deltakerliste!P$6:T$84,G47,FALSE)</f>
        <v>1.3989999999999998</v>
      </c>
      <c r="I47" s="86"/>
      <c r="J47" s="86" t="s">
        <v>7</v>
      </c>
      <c r="K47" s="13"/>
      <c r="L47" s="600" t="str">
        <f t="shared" si="2"/>
        <v>Arr</v>
      </c>
      <c r="M47" s="594">
        <f>IF(L47="Løype",Poengsammendrag!$F$2,IF(L47="Arr",Poengsammendrag!$F$3,IF(L47="Brutt",50,IF(L47="Disk",50,ROUND(MAXA(100*(MIN(L$10:L$93)/L47),50),0)))))</f>
        <v>94</v>
      </c>
      <c r="N47" s="724" t="str">
        <f t="shared" si="3"/>
        <v>Arr</v>
      </c>
      <c r="O47" s="596">
        <f>IF(N47="Løype",Poengsammendrag!$F$2,IF(N47="Arr",Poengsammendrag!$F$3,IF(N47="Brutt",50,IF(N47="Disk",50,ROUND(MAXA(100*(MIN(N$10:N$93)/N47),50),0)))))</f>
        <v>94</v>
      </c>
      <c r="S47" s="803" t="s">
        <v>99</v>
      </c>
      <c r="T47" s="797" t="s">
        <v>7</v>
      </c>
      <c r="U47" s="770">
        <v>94</v>
      </c>
      <c r="V47" s="772"/>
      <c r="W47" s="783" t="s">
        <v>99</v>
      </c>
      <c r="X47" s="740">
        <v>94</v>
      </c>
      <c r="AB47" s="828">
        <f t="shared" si="5"/>
        <v>92</v>
      </c>
      <c r="AC47" s="829">
        <f t="shared" si="4"/>
        <v>0</v>
      </c>
    </row>
    <row r="48" spans="2:29" ht="21" customHeight="1" thickBot="1" x14ac:dyDescent="0.3">
      <c r="B48" s="16">
        <f t="shared" si="6"/>
        <v>39</v>
      </c>
      <c r="C48" s="106" t="s">
        <v>130</v>
      </c>
      <c r="D48" s="107" t="s">
        <v>131</v>
      </c>
      <c r="E48" s="599" t="str">
        <f t="shared" si="7"/>
        <v>AtleMørk</v>
      </c>
      <c r="F48" s="192">
        <f>YEAR(I$5)-_xlfn.XLOOKUP(E48,Deltakerliste!E$5:E$98,Deltakerliste!I$5:I$98)</f>
        <v>77</v>
      </c>
      <c r="G48" s="192">
        <f>_xlfn.XLOOKUP(E48,Deltakerliste!E$5:E$98,Deltakerliste!H$5:H$98)</f>
        <v>2</v>
      </c>
      <c r="H48" s="592">
        <f>VLOOKUP(F48,Deltakerliste!P$6:T$84,G48,FALSE)</f>
        <v>1.7050000000000001</v>
      </c>
      <c r="I48" s="132"/>
      <c r="J48" s="132" t="s">
        <v>7</v>
      </c>
      <c r="K48" s="132"/>
      <c r="L48" s="600" t="str">
        <f t="shared" si="2"/>
        <v>Arr</v>
      </c>
      <c r="M48" s="594">
        <f>IF(L48="Løype",Poengsammendrag!$F$2,IF(L48="Arr",Poengsammendrag!$F$3,IF(L48="Brutt",50,IF(L48="Disk",50,ROUND(MAXA(100*(MIN(L$10:L$93)/L48),50),0)))))</f>
        <v>94</v>
      </c>
      <c r="N48" s="724" t="str">
        <f t="shared" si="3"/>
        <v>Arr</v>
      </c>
      <c r="O48" s="596">
        <f>IF(N48="Løype",Poengsammendrag!$F$2,IF(N48="Arr",Poengsammendrag!$F$3,IF(N48="Brutt",50,IF(N48="Disk",50,ROUND(MAXA(100*(MIN(N$10:N$93)/N48),50),0)))))</f>
        <v>94</v>
      </c>
      <c r="S48" s="803" t="s">
        <v>130</v>
      </c>
      <c r="T48" s="797" t="s">
        <v>7</v>
      </c>
      <c r="U48" s="770">
        <v>94</v>
      </c>
      <c r="V48" s="772"/>
      <c r="W48" s="783" t="s">
        <v>130</v>
      </c>
      <c r="X48" s="740">
        <v>94</v>
      </c>
      <c r="AB48" s="828">
        <f t="shared" si="5"/>
        <v>93</v>
      </c>
      <c r="AC48" s="829">
        <f t="shared" si="4"/>
        <v>0</v>
      </c>
    </row>
    <row r="49" spans="2:29" ht="21" customHeight="1" thickBot="1" x14ac:dyDescent="0.3">
      <c r="B49" s="16">
        <f t="shared" si="6"/>
        <v>40</v>
      </c>
      <c r="C49" s="106" t="s">
        <v>82</v>
      </c>
      <c r="D49" s="107" t="s">
        <v>83</v>
      </c>
      <c r="E49" s="599" t="str">
        <f t="shared" si="7"/>
        <v>RoarForbord</v>
      </c>
      <c r="F49" s="192">
        <f>YEAR(I$5)-_xlfn.XLOOKUP(E49,Deltakerliste!E$5:E$98,Deltakerliste!I$5:I$98)</f>
        <v>83</v>
      </c>
      <c r="G49" s="192">
        <f>_xlfn.XLOOKUP(E49,Deltakerliste!E$5:E$98,Deltakerliste!H$5:H$98)</f>
        <v>2</v>
      </c>
      <c r="H49" s="592">
        <f>VLOOKUP(F49,Deltakerliste!P$6:T$84,G49,FALSE)</f>
        <v>2.077</v>
      </c>
      <c r="I49" s="86" t="s">
        <v>306</v>
      </c>
      <c r="J49" s="86"/>
      <c r="K49" s="13"/>
      <c r="L49" s="600" t="str">
        <f t="shared" si="2"/>
        <v>Brutt</v>
      </c>
      <c r="M49" s="594">
        <f>IF(L49="Løype",Poengsammendrag!$F$2,IF(L49="Arr",Poengsammendrag!$F$3,IF(L49="Brutt",50,IF(L49="Disk",50,ROUND(MAXA(100*(MIN(L$10:L$93)/L49),50),0)))))</f>
        <v>50</v>
      </c>
      <c r="N49" s="724" t="str">
        <f t="shared" si="3"/>
        <v>Brutt</v>
      </c>
      <c r="O49" s="596">
        <f>IF(N49="Løype",Poengsammendrag!$F$2,IF(N49="Arr",Poengsammendrag!$F$3,IF(N49="Brutt",50,IF(N49="Disk",50,ROUND(MAXA(100*(MIN(N$10:N$93)/N49),50),0)))))</f>
        <v>50</v>
      </c>
      <c r="S49" s="803" t="s">
        <v>82</v>
      </c>
      <c r="T49" s="796" t="s">
        <v>306</v>
      </c>
      <c r="U49" s="793">
        <v>50</v>
      </c>
      <c r="V49" s="794"/>
      <c r="W49" s="795" t="s">
        <v>82</v>
      </c>
      <c r="X49" s="762">
        <v>50</v>
      </c>
      <c r="AB49" s="828">
        <f t="shared" si="5"/>
        <v>94</v>
      </c>
      <c r="AC49" s="829">
        <f t="shared" si="4"/>
        <v>0</v>
      </c>
    </row>
    <row r="50" spans="2:29" ht="21" thickBot="1" x14ac:dyDescent="0.3">
      <c r="B50" s="16">
        <f t="shared" si="6"/>
        <v>41</v>
      </c>
      <c r="C50" s="106" t="s">
        <v>90</v>
      </c>
      <c r="D50" s="107" t="s">
        <v>91</v>
      </c>
      <c r="E50" s="599" t="str">
        <f t="shared" si="7"/>
        <v>TorGjermstad</v>
      </c>
      <c r="F50" s="192">
        <f>YEAR(I$5)-_xlfn.XLOOKUP(E50,Deltakerliste!E$5:E$98,Deltakerliste!I$5:I$98)</f>
        <v>76</v>
      </c>
      <c r="G50" s="192">
        <f>_xlfn.XLOOKUP(E50,Deltakerliste!E$5:E$98,Deltakerliste!H$5:H$98)</f>
        <v>2</v>
      </c>
      <c r="H50" s="592">
        <f>VLOOKUP(F50,Deltakerliste!P$6:T$84,G50,FALSE)</f>
        <v>1.655</v>
      </c>
      <c r="I50" s="86" t="s">
        <v>319</v>
      </c>
      <c r="J50" s="86"/>
      <c r="K50" s="13"/>
      <c r="L50" s="600" t="str">
        <f t="shared" si="2"/>
        <v>Disk</v>
      </c>
      <c r="M50" s="594">
        <f>IF(L50="Løype",Poengsammendrag!$F$2,IF(L50="Arr",Poengsammendrag!$F$3,IF(L50="Brutt",50,IF(L50="Disk",50,ROUND(MAXA(100*(MIN(L$10:L$93)/L50),50),0)))))</f>
        <v>50</v>
      </c>
      <c r="N50" s="724" t="str">
        <f t="shared" si="3"/>
        <v>Disk</v>
      </c>
      <c r="O50" s="596">
        <f>IF(N50="Løype",Poengsammendrag!$F$2,IF(N50="Arr",Poengsammendrag!$F$3,IF(N50="Brutt",50,IF(N50="Disk",50,ROUND(MAXA(100*(MIN(N$10:N$93)/N50),50),0)))))</f>
        <v>50</v>
      </c>
      <c r="S50" s="803" t="s">
        <v>90</v>
      </c>
      <c r="T50" s="851" t="s">
        <v>319</v>
      </c>
      <c r="U50" s="770">
        <v>50</v>
      </c>
      <c r="V50" s="772"/>
      <c r="W50" s="783" t="s">
        <v>90</v>
      </c>
      <c r="X50" s="740">
        <v>50</v>
      </c>
      <c r="AB50" s="830">
        <f t="shared" si="5"/>
        <v>95</v>
      </c>
      <c r="AC50" s="831">
        <f t="shared" si="4"/>
        <v>0</v>
      </c>
    </row>
    <row r="51" spans="2:29" ht="21" customHeight="1" thickBot="1" x14ac:dyDescent="0.3">
      <c r="B51" s="16">
        <f t="shared" si="6"/>
        <v>42</v>
      </c>
      <c r="C51" s="106" t="s">
        <v>122</v>
      </c>
      <c r="D51" s="107" t="s">
        <v>123</v>
      </c>
      <c r="E51" s="599" t="str">
        <f t="shared" si="7"/>
        <v>MartinMelhuus</v>
      </c>
      <c r="F51" s="192">
        <f>YEAR(I$5)-_xlfn.XLOOKUP(E51,Deltakerliste!E$5:E$98,Deltakerliste!I$5:I$98)</f>
        <v>82</v>
      </c>
      <c r="G51" s="192">
        <f>_xlfn.XLOOKUP(E51,Deltakerliste!E$5:E$98,Deltakerliste!H$5:H$98)</f>
        <v>2</v>
      </c>
      <c r="H51" s="592">
        <f>VLOOKUP(F51,Deltakerliste!P$6:T$84,G51,FALSE)</f>
        <v>2.0030000000000001</v>
      </c>
      <c r="I51" s="13" t="s">
        <v>319</v>
      </c>
      <c r="J51" s="13"/>
      <c r="K51" s="13"/>
      <c r="L51" s="600" t="str">
        <f t="shared" si="2"/>
        <v>Disk</v>
      </c>
      <c r="M51" s="594">
        <f>IF(L51="Løype",Poengsammendrag!$F$2,IF(L51="Arr",Poengsammendrag!$F$3,IF(L51="Brutt",50,IF(L51="Disk",50,ROUND(MAXA(100*(MIN(L$10:L$93)/L51),50),0)))))</f>
        <v>50</v>
      </c>
      <c r="N51" s="724" t="str">
        <f t="shared" si="3"/>
        <v>Disk</v>
      </c>
      <c r="O51" s="596">
        <f>IF(N51="Løype",Poengsammendrag!$F$2,IF(N51="Arr",Poengsammendrag!$F$3,IF(N51="Brutt",50,IF(N51="Disk",50,ROUND(MAXA(100*(MIN(N$10:N$93)/N51),50),0)))))</f>
        <v>50</v>
      </c>
      <c r="S51" s="803" t="s">
        <v>122</v>
      </c>
      <c r="T51" s="797" t="s">
        <v>319</v>
      </c>
      <c r="U51" s="770">
        <v>50</v>
      </c>
      <c r="V51" s="772"/>
      <c r="W51" s="783" t="s">
        <v>122</v>
      </c>
      <c r="X51" s="740">
        <v>50</v>
      </c>
    </row>
    <row r="52" spans="2:29" ht="21" thickBot="1" x14ac:dyDescent="0.3">
      <c r="B52" s="16">
        <f t="shared" si="6"/>
        <v>43</v>
      </c>
      <c r="C52" s="106" t="s">
        <v>78</v>
      </c>
      <c r="D52" s="107" t="s">
        <v>146</v>
      </c>
      <c r="E52" s="599" t="str">
        <f t="shared" si="7"/>
        <v>LeifRøhjell</v>
      </c>
      <c r="F52" s="192">
        <f>YEAR(I$5)-_xlfn.XLOOKUP(E52,Deltakerliste!E$5:E$98,Deltakerliste!I$5:I$98)</f>
        <v>82</v>
      </c>
      <c r="G52" s="192">
        <f>_xlfn.XLOOKUP(E52,Deltakerliste!E$5:E$98,Deltakerliste!H$5:H$98)</f>
        <v>2</v>
      </c>
      <c r="H52" s="592">
        <f>VLOOKUP(F52,Deltakerliste!P$6:T$84,G52,FALSE)</f>
        <v>2.0030000000000001</v>
      </c>
      <c r="I52" s="132" t="s">
        <v>319</v>
      </c>
      <c r="J52" s="18"/>
      <c r="K52" s="18"/>
      <c r="L52" s="600" t="str">
        <f t="shared" si="2"/>
        <v>Disk</v>
      </c>
      <c r="M52" s="594">
        <f>IF(L52="Løype",Poengsammendrag!$F$2,IF(L52="Arr",Poengsammendrag!$F$3,IF(L52="Brutt",50,IF(L52="Disk",50,ROUND(MAXA(100*(MIN(L$10:L$93)/L52),50),0)))))</f>
        <v>50</v>
      </c>
      <c r="N52" s="724" t="str">
        <f t="shared" si="3"/>
        <v>Disk</v>
      </c>
      <c r="O52" s="596">
        <f>IF(N52="Løype",Poengsammendrag!$F$2,IF(N52="Arr",Poengsammendrag!$F$3,IF(N52="Brutt",50,IF(N52="Disk",50,ROUND(MAXA(100*(MIN(N$10:N$93)/N52),50),0)))))</f>
        <v>50</v>
      </c>
      <c r="S52" s="803" t="s">
        <v>337</v>
      </c>
      <c r="T52" s="798" t="s">
        <v>319</v>
      </c>
      <c r="U52" s="770">
        <v>50</v>
      </c>
      <c r="V52" s="772"/>
      <c r="W52" s="783" t="s">
        <v>337</v>
      </c>
      <c r="X52" s="740">
        <v>50</v>
      </c>
      <c r="AC52" s="651">
        <f>SUM(AC10:AC50)</f>
        <v>44</v>
      </c>
    </row>
    <row r="53" spans="2:29" ht="21" thickBot="1" x14ac:dyDescent="0.3">
      <c r="B53" s="16">
        <f t="shared" si="6"/>
        <v>44</v>
      </c>
      <c r="C53" s="106" t="s">
        <v>116</v>
      </c>
      <c r="D53" s="107" t="s">
        <v>165</v>
      </c>
      <c r="E53" s="599" t="str">
        <f t="shared" si="7"/>
        <v>AndersWaage</v>
      </c>
      <c r="F53" s="192">
        <f>YEAR(I$5)-_xlfn.XLOOKUP(E53,Deltakerliste!E$5:E$98,Deltakerliste!I$5:I$98)</f>
        <v>78</v>
      </c>
      <c r="G53" s="192">
        <f>_xlfn.XLOOKUP(E53,Deltakerliste!E$5:E$98,Deltakerliste!H$5:H$98)</f>
        <v>2</v>
      </c>
      <c r="H53" s="592">
        <f>VLOOKUP(F53,Deltakerliste!P$6:T$84,G53,FALSE)</f>
        <v>1.7550000000000001</v>
      </c>
      <c r="I53" s="18"/>
      <c r="J53" s="132" t="s">
        <v>319</v>
      </c>
      <c r="K53" s="18"/>
      <c r="L53" s="600" t="str">
        <f t="shared" si="2"/>
        <v>Disk</v>
      </c>
      <c r="M53" s="594">
        <f>IF(L53="Løype",Poengsammendrag!$F$2,IF(L53="Arr",Poengsammendrag!$F$3,IF(L53="Brutt",50,IF(L53="Disk",50,ROUND(MAXA(100*(MIN(L$10:L$93)/L53),50),0)))))</f>
        <v>50</v>
      </c>
      <c r="N53" s="724" t="str">
        <f t="shared" si="3"/>
        <v>Disk</v>
      </c>
      <c r="O53" s="596">
        <f>IF(N53="Løype",Poengsammendrag!$F$2,IF(N53="Arr",Poengsammendrag!$F$3,IF(N53="Brutt",50,IF(N53="Disk",50,ROUND(MAXA(100*(MIN(N$10:N$93)/N53),50),0)))))</f>
        <v>50</v>
      </c>
      <c r="S53" s="803" t="s">
        <v>314</v>
      </c>
      <c r="T53" s="798" t="s">
        <v>319</v>
      </c>
      <c r="U53" s="770">
        <v>50</v>
      </c>
      <c r="V53" s="772"/>
      <c r="W53" s="783" t="s">
        <v>314</v>
      </c>
      <c r="X53" s="740">
        <v>50</v>
      </c>
    </row>
    <row r="54" spans="2:29" ht="21" thickBot="1" x14ac:dyDescent="0.3">
      <c r="B54" s="16">
        <f t="shared" si="6"/>
        <v>45</v>
      </c>
      <c r="C54" s="106" t="s">
        <v>126</v>
      </c>
      <c r="D54" s="107" t="s">
        <v>127</v>
      </c>
      <c r="E54" s="599" t="str">
        <f t="shared" si="7"/>
        <v>ArneMikkelsen</v>
      </c>
      <c r="F54" s="192">
        <f>YEAR(I$5)-_xlfn.XLOOKUP(E54,Deltakerliste!E$5:E$98,Deltakerliste!I$5:I$98)</f>
        <v>73</v>
      </c>
      <c r="G54" s="192">
        <f>_xlfn.XLOOKUP(E54,Deltakerliste!E$5:E$98,Deltakerliste!H$5:H$98)</f>
        <v>2</v>
      </c>
      <c r="H54" s="592">
        <f>VLOOKUP(F54,Deltakerliste!P$6:T$84,G54,FALSE)</f>
        <v>1.5329999999999999</v>
      </c>
      <c r="I54" s="13"/>
      <c r="J54" s="13" t="s">
        <v>62</v>
      </c>
      <c r="K54" s="13"/>
      <c r="L54" s="600" t="str">
        <f t="shared" si="2"/>
        <v>Løype</v>
      </c>
      <c r="M54" s="594">
        <f>IF(L54="Løype",Poengsammendrag!$F$2,IF(L54="Arr",Poengsammendrag!$F$3,IF(L54="Brutt",50,IF(L54="Disk",50,ROUND(MAXA(100*(MIN(L$10:L$93)/L54),50),0)))))</f>
        <v>100</v>
      </c>
      <c r="N54" s="724" t="str">
        <f t="shared" si="3"/>
        <v>Løype</v>
      </c>
      <c r="O54" s="596">
        <f>IF(N54="Løype",Poengsammendrag!$F$2,IF(N54="Arr",Poengsammendrag!$F$3,IF(N54="Brutt",50,IF(N54="Disk",50,ROUND(MAXA(100*(MIN(N$10:N$93)/N54),50),0)))))</f>
        <v>100</v>
      </c>
      <c r="S54" s="846" t="s">
        <v>386</v>
      </c>
      <c r="T54" s="847" t="s">
        <v>62</v>
      </c>
      <c r="U54" s="848">
        <v>100</v>
      </c>
      <c r="V54" s="778"/>
      <c r="W54" s="849" t="s">
        <v>386</v>
      </c>
      <c r="X54" s="850">
        <v>100</v>
      </c>
    </row>
    <row r="55" spans="2:29" ht="21" customHeight="1" thickBot="1" x14ac:dyDescent="0.3">
      <c r="B55" s="16">
        <f t="shared" si="6"/>
        <v>46</v>
      </c>
      <c r="C55" s="106" t="s">
        <v>60</v>
      </c>
      <c r="D55" s="107" t="s">
        <v>61</v>
      </c>
      <c r="E55" s="599" t="str">
        <f t="shared" si="7"/>
        <v>JosteinAlvestad</v>
      </c>
      <c r="F55" s="192">
        <f>YEAR(I$5)-_xlfn.XLOOKUP(E55,Deltakerliste!E$5:E$98,Deltakerliste!I$5:I$98)</f>
        <v>71</v>
      </c>
      <c r="G55" s="192">
        <f>_xlfn.XLOOKUP(E55,Deltakerliste!E$5:E$98,Deltakerliste!H$5:H$98)</f>
        <v>2</v>
      </c>
      <c r="H55" s="592">
        <f>VLOOKUP(F55,Deltakerliste!P$6:T$84,G55,FALSE)</f>
        <v>1.4609999999999999</v>
      </c>
      <c r="I55" s="13"/>
      <c r="J55" s="13"/>
      <c r="K55" s="17"/>
      <c r="L55" s="600"/>
      <c r="M55" s="594"/>
      <c r="N55" s="724"/>
      <c r="O55" s="596"/>
      <c r="S55" s="803"/>
      <c r="T55" s="798"/>
      <c r="U55" s="770"/>
      <c r="V55" s="772"/>
      <c r="W55" s="783"/>
      <c r="X55" s="740"/>
    </row>
    <row r="56" spans="2:29" ht="21" thickBot="1" x14ac:dyDescent="0.3">
      <c r="B56" s="16">
        <f t="shared" si="6"/>
        <v>47</v>
      </c>
      <c r="C56" s="106" t="s">
        <v>66</v>
      </c>
      <c r="D56" s="107" t="s">
        <v>67</v>
      </c>
      <c r="E56" s="599" t="str">
        <f t="shared" si="7"/>
        <v>FrankBjarkø</v>
      </c>
      <c r="F56" s="192">
        <f>YEAR(I$5)-_xlfn.XLOOKUP(E56,Deltakerliste!E$5:E$98,Deltakerliste!I$5:I$98)</f>
        <v>74</v>
      </c>
      <c r="G56" s="192">
        <f>_xlfn.XLOOKUP(E56,Deltakerliste!E$5:E$98,Deltakerliste!H$5:H$98)</f>
        <v>2</v>
      </c>
      <c r="H56" s="592">
        <f>VLOOKUP(F56,Deltakerliste!P$6:T$84,G56,FALSE)</f>
        <v>1.569</v>
      </c>
      <c r="I56" s="13"/>
      <c r="J56" s="13"/>
      <c r="K56" s="13"/>
      <c r="L56" s="600"/>
      <c r="M56" s="594"/>
      <c r="N56" s="724"/>
      <c r="O56" s="596"/>
      <c r="S56" s="803"/>
      <c r="T56" s="798"/>
      <c r="U56" s="770"/>
      <c r="V56" s="772"/>
      <c r="W56" s="783"/>
      <c r="X56" s="740"/>
    </row>
    <row r="57" spans="2:29" ht="21" thickBot="1" x14ac:dyDescent="0.3">
      <c r="B57" s="16">
        <f t="shared" si="6"/>
        <v>48</v>
      </c>
      <c r="C57" s="106" t="s">
        <v>364</v>
      </c>
      <c r="D57" s="107" t="s">
        <v>365</v>
      </c>
      <c r="E57" s="599" t="str">
        <f t="shared" si="7"/>
        <v>GerdBjørset</v>
      </c>
      <c r="F57" s="192">
        <f>YEAR(I$5)-_xlfn.XLOOKUP(E57,Deltakerliste!E$5:E$98,Deltakerliste!I$5:I$98)</f>
        <v>72</v>
      </c>
      <c r="G57" s="192">
        <f>_xlfn.XLOOKUP(E57,Deltakerliste!E$5:E$98,Deltakerliste!H$5:H$98)</f>
        <v>4</v>
      </c>
      <c r="H57" s="592">
        <f>VLOOKUP(F57,Deltakerliste!P$6:T$84,G57,FALSE)</f>
        <v>2.0362000000000013</v>
      </c>
      <c r="I57" s="13"/>
      <c r="J57" s="13"/>
      <c r="K57" s="13"/>
      <c r="L57" s="600"/>
      <c r="M57" s="594"/>
      <c r="N57" s="724"/>
      <c r="O57" s="596"/>
      <c r="S57" s="804"/>
      <c r="T57" s="801"/>
      <c r="U57" s="771"/>
      <c r="V57" s="773"/>
      <c r="W57" s="784"/>
      <c r="X57" s="741"/>
    </row>
    <row r="58" spans="2:29" ht="20" customHeight="1" thickBot="1" x14ac:dyDescent="0.3">
      <c r="B58" s="16">
        <f t="shared" si="6"/>
        <v>49</v>
      </c>
      <c r="C58" s="106" t="s">
        <v>64</v>
      </c>
      <c r="D58" s="107" t="s">
        <v>267</v>
      </c>
      <c r="E58" s="599" t="str">
        <f t="shared" si="7"/>
        <v>BjørnBrenne</v>
      </c>
      <c r="F58" s="192">
        <f>YEAR(I$5)-_xlfn.XLOOKUP(E58,Deltakerliste!E$5:E$98,Deltakerliste!I$5:I$98)</f>
        <v>81</v>
      </c>
      <c r="G58" s="192">
        <f>_xlfn.XLOOKUP(E58,Deltakerliste!E$5:E$98,Deltakerliste!H$5:H$98)</f>
        <v>2</v>
      </c>
      <c r="H58" s="592">
        <f>VLOOKUP(F58,Deltakerliste!P$6:T$84,G58,FALSE)</f>
        <v>1.9290000000000003</v>
      </c>
      <c r="I58" s="86"/>
      <c r="J58" s="86"/>
      <c r="K58" s="13"/>
      <c r="L58" s="600"/>
      <c r="M58" s="594"/>
      <c r="N58" s="724"/>
      <c r="O58" s="596"/>
    </row>
    <row r="59" spans="2:29" ht="21" thickBot="1" x14ac:dyDescent="0.3">
      <c r="B59" s="16">
        <f t="shared" si="6"/>
        <v>50</v>
      </c>
      <c r="C59" s="106" t="s">
        <v>68</v>
      </c>
      <c r="D59" s="107" t="s">
        <v>69</v>
      </c>
      <c r="E59" s="599" t="str">
        <f t="shared" si="7"/>
        <v>JanBøhle</v>
      </c>
      <c r="F59" s="192">
        <f>YEAR(I$5)-_xlfn.XLOOKUP(E59,Deltakerliste!E$5:E$98,Deltakerliste!I$5:I$98)</f>
        <v>74</v>
      </c>
      <c r="G59" s="192">
        <f>_xlfn.XLOOKUP(E59,Deltakerliste!E$5:E$98,Deltakerliste!H$5:H$98)</f>
        <v>2</v>
      </c>
      <c r="H59" s="592">
        <f>VLOOKUP(F59,Deltakerliste!P$6:T$84,G59,FALSE)</f>
        <v>1.569</v>
      </c>
      <c r="I59" s="86"/>
      <c r="J59" s="86"/>
      <c r="K59" s="13"/>
      <c r="L59" s="600"/>
      <c r="M59" s="594"/>
      <c r="N59" s="724"/>
      <c r="O59" s="596"/>
    </row>
    <row r="60" spans="2:29" ht="21" customHeight="1" thickBot="1" x14ac:dyDescent="0.3">
      <c r="B60" s="16">
        <f t="shared" si="6"/>
        <v>51</v>
      </c>
      <c r="C60" s="106" t="s">
        <v>342</v>
      </c>
      <c r="D60" s="107" t="s">
        <v>388</v>
      </c>
      <c r="E60" s="599" t="str">
        <f t="shared" si="7"/>
        <v>ArildClausen</v>
      </c>
      <c r="F60" s="192">
        <f>YEAR(I$5)-_xlfn.XLOOKUP(E60,Deltakerliste!E$5:E$98,Deltakerliste!I$5:I$98)</f>
        <v>58</v>
      </c>
      <c r="G60" s="192">
        <f>_xlfn.XLOOKUP(E60,Deltakerliste!E$5:E$98,Deltakerliste!H$5:H$98)</f>
        <v>2</v>
      </c>
      <c r="H60" s="592">
        <f>VLOOKUP(F60,Deltakerliste!P$6:T$84,G60,FALSE)</f>
        <v>1.1720000000000002</v>
      </c>
      <c r="I60" s="86"/>
      <c r="J60" s="86"/>
      <c r="K60" s="13"/>
      <c r="L60" s="600"/>
      <c r="M60" s="594"/>
      <c r="N60" s="724"/>
      <c r="O60" s="596"/>
    </row>
    <row r="61" spans="2:29" ht="21" customHeight="1" thickBot="1" x14ac:dyDescent="0.3">
      <c r="B61" s="16">
        <f t="shared" si="6"/>
        <v>52</v>
      </c>
      <c r="C61" s="106" t="s">
        <v>70</v>
      </c>
      <c r="D61" s="107" t="s">
        <v>71</v>
      </c>
      <c r="E61" s="599" t="str">
        <f t="shared" si="7"/>
        <v>TrondDamås</v>
      </c>
      <c r="F61" s="192">
        <f>YEAR(I$5)-_xlfn.XLOOKUP(E61,Deltakerliste!E$5:E$98,Deltakerliste!I$5:I$98)</f>
        <v>76</v>
      </c>
      <c r="G61" s="192">
        <f>_xlfn.XLOOKUP(E61,Deltakerliste!E$5:E$98,Deltakerliste!H$5:H$98)</f>
        <v>2</v>
      </c>
      <c r="H61" s="592">
        <f>VLOOKUP(F61,Deltakerliste!P$6:T$84,G61,FALSE)</f>
        <v>1.655</v>
      </c>
      <c r="I61" s="13"/>
      <c r="J61" s="13"/>
      <c r="K61" s="13"/>
      <c r="L61" s="600"/>
      <c r="M61" s="594"/>
      <c r="N61" s="724"/>
      <c r="O61" s="596"/>
    </row>
    <row r="62" spans="2:29" ht="21" customHeight="1" thickBot="1" x14ac:dyDescent="0.3">
      <c r="B62" s="16">
        <f t="shared" si="6"/>
        <v>53</v>
      </c>
      <c r="C62" s="106" t="s">
        <v>74</v>
      </c>
      <c r="D62" s="107" t="s">
        <v>75</v>
      </c>
      <c r="E62" s="599" t="str">
        <f t="shared" si="7"/>
        <v>StinaElfving</v>
      </c>
      <c r="F62" s="192">
        <f>YEAR(I$5)-_xlfn.XLOOKUP(E62,Deltakerliste!E$5:E$98,Deltakerliste!I$5:I$98)</f>
        <v>76</v>
      </c>
      <c r="G62" s="192">
        <f>_xlfn.XLOOKUP(E62,Deltakerliste!E$5:E$98,Deltakerliste!H$5:H$98)</f>
        <v>4</v>
      </c>
      <c r="H62" s="592">
        <f>VLOOKUP(F62,Deltakerliste!P$6:T$84,G62,FALSE)</f>
        <v>2.2246000000000015</v>
      </c>
      <c r="I62" s="13"/>
      <c r="J62" s="13"/>
      <c r="K62" s="17"/>
      <c r="L62" s="600"/>
      <c r="M62" s="594"/>
      <c r="N62" s="724"/>
      <c r="O62" s="596"/>
    </row>
    <row r="63" spans="2:29" ht="21" thickBot="1" x14ac:dyDescent="0.3">
      <c r="B63" s="16">
        <f t="shared" si="6"/>
        <v>54</v>
      </c>
      <c r="C63" s="106" t="s">
        <v>216</v>
      </c>
      <c r="D63" s="107" t="s">
        <v>77</v>
      </c>
      <c r="E63" s="599" t="str">
        <f t="shared" si="7"/>
        <v>Åse RitaEllingsen</v>
      </c>
      <c r="F63" s="192">
        <f>YEAR(I$5)-_xlfn.XLOOKUP(E63,Deltakerliste!E$5:E$98,Deltakerliste!I$5:I$98)</f>
        <v>62</v>
      </c>
      <c r="G63" s="192">
        <f>_xlfn.XLOOKUP(E63,Deltakerliste!E$5:E$98,Deltakerliste!H$5:H$98)</f>
        <v>4</v>
      </c>
      <c r="H63" s="592">
        <f>VLOOKUP(F63,Deltakerliste!P$6:T$84,G63,FALSE)</f>
        <v>1.6834000000000005</v>
      </c>
      <c r="I63" s="86"/>
      <c r="J63" s="14"/>
      <c r="K63" s="13"/>
      <c r="L63" s="600"/>
      <c r="M63" s="594"/>
      <c r="N63" s="724"/>
      <c r="O63" s="596"/>
    </row>
    <row r="64" spans="2:29" ht="21" thickBot="1" x14ac:dyDescent="0.3">
      <c r="B64" s="16">
        <f t="shared" si="6"/>
        <v>55</v>
      </c>
      <c r="C64" s="106" t="s">
        <v>271</v>
      </c>
      <c r="D64" s="107" t="s">
        <v>272</v>
      </c>
      <c r="E64" s="599" t="str">
        <f t="shared" si="7"/>
        <v>Arne KjellFoldvik</v>
      </c>
      <c r="F64" s="192">
        <f>YEAR(I$5)-_xlfn.XLOOKUP(E64,Deltakerliste!E$5:E$98,Deltakerliste!I$5:I$98)</f>
        <v>92</v>
      </c>
      <c r="G64" s="192">
        <f>_xlfn.XLOOKUP(E64,Deltakerliste!E$5:E$98,Deltakerliste!H$5:H$98)</f>
        <v>2</v>
      </c>
      <c r="H64" s="592">
        <f>VLOOKUP(F64,Deltakerliste!P$6:T$84,G64,FALSE)</f>
        <v>2.8130000000000002</v>
      </c>
      <c r="I64" s="14"/>
      <c r="J64" s="14"/>
      <c r="K64" s="13"/>
      <c r="L64" s="600"/>
      <c r="M64" s="594"/>
      <c r="N64" s="724"/>
      <c r="O64" s="596"/>
    </row>
    <row r="65" spans="2:17" ht="21" thickBot="1" x14ac:dyDescent="0.3">
      <c r="B65" s="16">
        <f t="shared" si="6"/>
        <v>56</v>
      </c>
      <c r="C65" s="106" t="s">
        <v>377</v>
      </c>
      <c r="D65" s="107" t="s">
        <v>83</v>
      </c>
      <c r="E65" s="599" t="str">
        <f t="shared" si="7"/>
        <v>HildeForbord</v>
      </c>
      <c r="F65" s="192">
        <f>YEAR(I$5)-_xlfn.XLOOKUP(E65,Deltakerliste!E$5:E$98,Deltakerliste!I$5:I$98)</f>
        <v>60</v>
      </c>
      <c r="G65" s="192">
        <f>_xlfn.XLOOKUP(E65,Deltakerliste!E$5:E$98,Deltakerliste!H$5:H$98)</f>
        <v>4</v>
      </c>
      <c r="H65" s="592">
        <f>VLOOKUP(F65,Deltakerliste!P$6:T$84,G65,FALSE)</f>
        <v>1.6250000000000002</v>
      </c>
      <c r="I65" s="14"/>
      <c r="J65" s="14"/>
      <c r="K65" s="13"/>
      <c r="L65" s="600"/>
      <c r="M65" s="594"/>
      <c r="N65" s="724"/>
      <c r="O65" s="596"/>
    </row>
    <row r="66" spans="2:17" ht="21" thickBot="1" x14ac:dyDescent="0.3">
      <c r="B66" s="16">
        <f t="shared" si="6"/>
        <v>57</v>
      </c>
      <c r="C66" s="106" t="s">
        <v>84</v>
      </c>
      <c r="D66" s="107" t="s">
        <v>85</v>
      </c>
      <c r="E66" s="599" t="str">
        <f t="shared" si="7"/>
        <v>PaulForseth</v>
      </c>
      <c r="F66" s="192">
        <f>YEAR(I$5)-_xlfn.XLOOKUP(E66,Deltakerliste!E$5:E$98,Deltakerliste!I$5:I$98)</f>
        <v>94</v>
      </c>
      <c r="G66" s="192">
        <f>_xlfn.XLOOKUP(E66,Deltakerliste!E$5:E$98,Deltakerliste!H$5:H$98)</f>
        <v>2</v>
      </c>
      <c r="H66" s="592">
        <f>VLOOKUP(F66,Deltakerliste!P$6:T$84,G66,FALSE)</f>
        <v>2.9810000000000003</v>
      </c>
      <c r="I66" s="86"/>
      <c r="J66" s="86"/>
      <c r="K66" s="17"/>
      <c r="L66" s="600"/>
      <c r="M66" s="594"/>
      <c r="N66" s="724"/>
      <c r="O66" s="596"/>
    </row>
    <row r="67" spans="2:17" ht="21" thickBot="1" x14ac:dyDescent="0.3">
      <c r="B67" s="16">
        <f t="shared" si="6"/>
        <v>58</v>
      </c>
      <c r="C67" s="106" t="s">
        <v>86</v>
      </c>
      <c r="D67" s="107" t="s">
        <v>87</v>
      </c>
      <c r="E67" s="599" t="str">
        <f t="shared" si="7"/>
        <v>KristianFougner</v>
      </c>
      <c r="F67" s="192">
        <f>YEAR(I$5)-_xlfn.XLOOKUP(E67,Deltakerliste!E$5:E$98,Deltakerliste!I$5:I$98)</f>
        <v>76</v>
      </c>
      <c r="G67" s="192">
        <f>_xlfn.XLOOKUP(E67,Deltakerliste!E$5:E$98,Deltakerliste!H$5:H$98)</f>
        <v>2</v>
      </c>
      <c r="H67" s="592">
        <f>VLOOKUP(F67,Deltakerliste!P$6:T$84,G67,FALSE)</f>
        <v>1.655</v>
      </c>
      <c r="I67" s="86"/>
      <c r="J67" s="86"/>
      <c r="K67" s="13"/>
      <c r="L67" s="600"/>
      <c r="M67" s="594"/>
      <c r="N67" s="724"/>
      <c r="O67" s="596"/>
    </row>
    <row r="68" spans="2:17" ht="21" thickBot="1" x14ac:dyDescent="0.3">
      <c r="B68" s="16">
        <f t="shared" si="6"/>
        <v>59</v>
      </c>
      <c r="C68" s="106" t="s">
        <v>207</v>
      </c>
      <c r="D68" s="107" t="s">
        <v>89</v>
      </c>
      <c r="E68" s="599" t="str">
        <f t="shared" si="7"/>
        <v>AnneFuruholt</v>
      </c>
      <c r="F68" s="192">
        <f>YEAR(I$5)-_xlfn.XLOOKUP(E68,Deltakerliste!E$5:E$98,Deltakerliste!I$5:I$98)</f>
        <v>79</v>
      </c>
      <c r="G68" s="192">
        <f>_xlfn.XLOOKUP(E68,Deltakerliste!E$5:E$98,Deltakerliste!H$5:H$98)</f>
        <v>4</v>
      </c>
      <c r="H68" s="592">
        <f>VLOOKUP(F68,Deltakerliste!P$6:T$84,G68,FALSE)</f>
        <v>2.3974000000000011</v>
      </c>
      <c r="I68" s="13"/>
      <c r="J68" s="13"/>
      <c r="K68" s="13"/>
      <c r="L68" s="600"/>
      <c r="M68" s="594"/>
      <c r="N68" s="724"/>
      <c r="O68" s="596"/>
    </row>
    <row r="69" spans="2:17" ht="21" thickBot="1" x14ac:dyDescent="0.3">
      <c r="B69" s="16">
        <f t="shared" si="6"/>
        <v>60</v>
      </c>
      <c r="C69" s="106" t="s">
        <v>116</v>
      </c>
      <c r="D69" s="107" t="s">
        <v>353</v>
      </c>
      <c r="E69" s="599" t="str">
        <f t="shared" si="7"/>
        <v>AndersGjermo</v>
      </c>
      <c r="F69" s="192">
        <f>YEAR(I$5)-_xlfn.XLOOKUP(E69,Deltakerliste!E$5:E$98,Deltakerliste!I$5:I$98)</f>
        <v>68</v>
      </c>
      <c r="G69" s="192">
        <f>_xlfn.XLOOKUP(E69,Deltakerliste!E$5:E$98,Deltakerliste!H$5:H$98)</f>
        <v>2</v>
      </c>
      <c r="H69" s="592">
        <f>VLOOKUP(F69,Deltakerliste!P$6:T$84,G69,FALSE)</f>
        <v>1.3729999999999998</v>
      </c>
      <c r="I69" s="132"/>
      <c r="J69" s="132"/>
      <c r="K69" s="18"/>
      <c r="L69" s="600"/>
      <c r="M69" s="594"/>
      <c r="N69" s="724"/>
      <c r="O69" s="596"/>
    </row>
    <row r="70" spans="2:17" ht="21" thickBot="1" x14ac:dyDescent="0.3">
      <c r="B70" s="16">
        <f t="shared" si="6"/>
        <v>61</v>
      </c>
      <c r="C70" s="106" t="s">
        <v>92</v>
      </c>
      <c r="D70" s="107" t="s">
        <v>93</v>
      </c>
      <c r="E70" s="599" t="str">
        <f t="shared" si="7"/>
        <v>Jens ØysteinGjersvold</v>
      </c>
      <c r="F70" s="192">
        <f>YEAR(I$5)-_xlfn.XLOOKUP(E70,Deltakerliste!E$5:E$98,Deltakerliste!I$5:I$98)</f>
        <v>74</v>
      </c>
      <c r="G70" s="192">
        <f>_xlfn.XLOOKUP(E70,Deltakerliste!E$5:E$98,Deltakerliste!H$5:H$98)</f>
        <v>2</v>
      </c>
      <c r="H70" s="592">
        <f>VLOOKUP(F70,Deltakerliste!P$6:T$84,G70,FALSE)</f>
        <v>1.569</v>
      </c>
      <c r="I70" s="14"/>
      <c r="J70" s="14"/>
      <c r="K70" s="18"/>
      <c r="L70" s="600"/>
      <c r="M70" s="594"/>
      <c r="N70" s="724"/>
      <c r="O70" s="596"/>
    </row>
    <row r="71" spans="2:17" ht="21" thickBot="1" x14ac:dyDescent="0.3">
      <c r="B71" s="16">
        <f t="shared" si="6"/>
        <v>62</v>
      </c>
      <c r="C71" s="106" t="s">
        <v>64</v>
      </c>
      <c r="D71" s="107" t="s">
        <v>366</v>
      </c>
      <c r="E71" s="599" t="str">
        <f t="shared" si="7"/>
        <v>BjørnHafskjold</v>
      </c>
      <c r="F71" s="192">
        <f>YEAR(I$5)-_xlfn.XLOOKUP(E71,Deltakerliste!E$5:E$98,Deltakerliste!I$5:I$98)</f>
        <v>79</v>
      </c>
      <c r="G71" s="192">
        <f>_xlfn.XLOOKUP(E71,Deltakerliste!E$5:E$98,Deltakerliste!H$5:H$98)</f>
        <v>2</v>
      </c>
      <c r="H71" s="592">
        <f>VLOOKUP(F71,Deltakerliste!P$6:T$84,G71,FALSE)</f>
        <v>1.8050000000000002</v>
      </c>
      <c r="I71" s="14"/>
      <c r="J71" s="14"/>
      <c r="K71" s="18"/>
      <c r="L71" s="600"/>
      <c r="M71" s="594"/>
      <c r="N71" s="724"/>
      <c r="O71" s="596"/>
    </row>
    <row r="72" spans="2:17" ht="21" thickBot="1" x14ac:dyDescent="0.3">
      <c r="B72" s="16">
        <f t="shared" si="6"/>
        <v>63</v>
      </c>
      <c r="C72" s="106" t="s">
        <v>94</v>
      </c>
      <c r="D72" s="107" t="s">
        <v>95</v>
      </c>
      <c r="E72" s="599" t="str">
        <f t="shared" si="7"/>
        <v>TerjeHanssen</v>
      </c>
      <c r="F72" s="192">
        <f>YEAR(I$5)-_xlfn.XLOOKUP(E72,Deltakerliste!E$5:E$98,Deltakerliste!I$5:I$98)</f>
        <v>78</v>
      </c>
      <c r="G72" s="192">
        <f>_xlfn.XLOOKUP(E72,Deltakerliste!E$5:E$98,Deltakerliste!H$5:H$98)</f>
        <v>2</v>
      </c>
      <c r="H72" s="592">
        <f>VLOOKUP(F72,Deltakerliste!P$6:T$84,G72,FALSE)</f>
        <v>1.7550000000000001</v>
      </c>
      <c r="I72" s="86"/>
      <c r="J72" s="86"/>
      <c r="K72" s="17"/>
      <c r="L72" s="600"/>
      <c r="M72" s="594"/>
      <c r="N72" s="724"/>
      <c r="O72" s="596"/>
    </row>
    <row r="73" spans="2:17" ht="21" thickBot="1" x14ac:dyDescent="0.3">
      <c r="B73" s="16">
        <f t="shared" si="6"/>
        <v>64</v>
      </c>
      <c r="C73" s="106" t="s">
        <v>309</v>
      </c>
      <c r="D73" s="107" t="s">
        <v>310</v>
      </c>
      <c r="E73" s="599" t="str">
        <f t="shared" si="7"/>
        <v>VigdisHeimly</v>
      </c>
      <c r="F73" s="192">
        <f>YEAR(I$5)-_xlfn.XLOOKUP(E73,Deltakerliste!E$5:E$98,Deltakerliste!I$5:I$98)</f>
        <v>67</v>
      </c>
      <c r="G73" s="192">
        <f>_xlfn.XLOOKUP(E73,Deltakerliste!E$5:E$98,Deltakerliste!H$5:H$98)</f>
        <v>4</v>
      </c>
      <c r="H73" s="592">
        <f>VLOOKUP(F73,Deltakerliste!P$6:T$84,G73,FALSE)</f>
        <v>1.8422000000000009</v>
      </c>
      <c r="I73" s="86"/>
      <c r="J73" s="86"/>
      <c r="K73" s="17"/>
      <c r="L73" s="600"/>
      <c r="M73" s="594"/>
      <c r="N73" s="724"/>
      <c r="O73" s="596"/>
    </row>
    <row r="74" spans="2:17" ht="21" thickBot="1" x14ac:dyDescent="0.3">
      <c r="B74" s="16">
        <f t="shared" ref="B74:B95" si="8">B73+1</f>
        <v>65</v>
      </c>
      <c r="C74" s="106" t="s">
        <v>126</v>
      </c>
      <c r="D74" s="107" t="s">
        <v>383</v>
      </c>
      <c r="E74" s="599" t="str">
        <f t="shared" ref="E74:E95" si="9">_xlfn.CONCAT(C74:D74)</f>
        <v>ArneHelland</v>
      </c>
      <c r="F74" s="192">
        <f>YEAR(I$5)-_xlfn.XLOOKUP(E74,Deltakerliste!E$5:E$98,Deltakerliste!I$5:I$98)</f>
        <v>61</v>
      </c>
      <c r="G74" s="192">
        <f>_xlfn.XLOOKUP(E74,Deltakerliste!E$5:E$98,Deltakerliste!H$5:H$98)</f>
        <v>2</v>
      </c>
      <c r="H74" s="592">
        <f>VLOOKUP(F74,Deltakerliste!P$6:T$84,G74,FALSE)</f>
        <v>1.2190000000000001</v>
      </c>
      <c r="I74" s="86"/>
      <c r="J74" s="86"/>
      <c r="K74" s="17"/>
      <c r="L74" s="600"/>
      <c r="M74" s="594"/>
      <c r="N74" s="724"/>
      <c r="O74" s="596"/>
    </row>
    <row r="75" spans="2:17" ht="21" thickBot="1" x14ac:dyDescent="0.3">
      <c r="B75" s="16">
        <f t="shared" si="8"/>
        <v>66</v>
      </c>
      <c r="C75" s="106" t="s">
        <v>118</v>
      </c>
      <c r="D75" s="107" t="s">
        <v>383</v>
      </c>
      <c r="E75" s="599" t="str">
        <f t="shared" si="9"/>
        <v>KnutHelland</v>
      </c>
      <c r="F75" s="192">
        <f>YEAR(I$5)-_xlfn.XLOOKUP(E75,Deltakerliste!E$5:E$98,Deltakerliste!I$5:I$98)</f>
        <v>64</v>
      </c>
      <c r="G75" s="192">
        <f>_xlfn.XLOOKUP(E75,Deltakerliste!E$5:E$98,Deltakerliste!H$5:H$98)</f>
        <v>2</v>
      </c>
      <c r="H75" s="592">
        <f>VLOOKUP(F75,Deltakerliste!P$6:T$84,G75,FALSE)</f>
        <v>1.2759999999999998</v>
      </c>
      <c r="I75" s="86"/>
      <c r="J75" s="86"/>
      <c r="K75" s="17"/>
      <c r="L75" s="600"/>
      <c r="M75" s="594"/>
      <c r="N75" s="724"/>
      <c r="O75" s="596"/>
      <c r="Q75" s="112"/>
    </row>
    <row r="76" spans="2:17" ht="21" thickBot="1" x14ac:dyDescent="0.3">
      <c r="B76" s="16">
        <f t="shared" si="8"/>
        <v>67</v>
      </c>
      <c r="C76" s="106" t="s">
        <v>110</v>
      </c>
      <c r="D76" s="107" t="s">
        <v>111</v>
      </c>
      <c r="E76" s="599" t="str">
        <f t="shared" si="9"/>
        <v>Jan ErikKofoed</v>
      </c>
      <c r="F76" s="192">
        <f>YEAR(I$5)-_xlfn.XLOOKUP(E76,Deltakerliste!E$5:E$98,Deltakerliste!I$5:I$98)</f>
        <v>72</v>
      </c>
      <c r="G76" s="192">
        <f>_xlfn.XLOOKUP(E76,Deltakerliste!E$5:E$98,Deltakerliste!H$5:H$98)</f>
        <v>2</v>
      </c>
      <c r="H76" s="592">
        <f>VLOOKUP(F76,Deltakerliste!P$6:T$84,G76,FALSE)</f>
        <v>1.4969999999999999</v>
      </c>
      <c r="I76" s="86"/>
      <c r="J76" s="86"/>
      <c r="K76" s="13"/>
      <c r="L76" s="600"/>
      <c r="M76" s="594"/>
      <c r="N76" s="724"/>
      <c r="O76" s="596"/>
    </row>
    <row r="77" spans="2:17" ht="21" thickBot="1" x14ac:dyDescent="0.3">
      <c r="B77" s="16">
        <f t="shared" si="8"/>
        <v>68</v>
      </c>
      <c r="C77" s="106" t="s">
        <v>251</v>
      </c>
      <c r="D77" s="107" t="s">
        <v>252</v>
      </c>
      <c r="E77" s="599" t="str">
        <f t="shared" si="9"/>
        <v>OttarKristiansen</v>
      </c>
      <c r="F77" s="192">
        <f>YEAR(I$5)-_xlfn.XLOOKUP(E77,Deltakerliste!E$5:E$98,Deltakerliste!I$5:I$98)</f>
        <v>77</v>
      </c>
      <c r="G77" s="192">
        <f>_xlfn.XLOOKUP(E77,Deltakerliste!E$5:E$98,Deltakerliste!H$5:H$98)</f>
        <v>2</v>
      </c>
      <c r="H77" s="592">
        <f>VLOOKUP(F77,Deltakerliste!P$6:T$84,G77,FALSE)</f>
        <v>1.7050000000000001</v>
      </c>
      <c r="I77" s="86"/>
      <c r="J77" s="86"/>
      <c r="K77" s="17"/>
      <c r="L77" s="600"/>
      <c r="M77" s="594"/>
      <c r="N77" s="724"/>
      <c r="O77" s="596"/>
    </row>
    <row r="78" spans="2:17" ht="21" thickBot="1" x14ac:dyDescent="0.3">
      <c r="B78" s="16">
        <f t="shared" si="8"/>
        <v>69</v>
      </c>
      <c r="C78" s="106" t="s">
        <v>112</v>
      </c>
      <c r="D78" s="107" t="s">
        <v>113</v>
      </c>
      <c r="E78" s="599" t="str">
        <f t="shared" si="9"/>
        <v>ToridKvaal</v>
      </c>
      <c r="F78" s="192">
        <f>YEAR(I$5)-_xlfn.XLOOKUP(E78,Deltakerliste!E$5:E$98,Deltakerliste!I$5:I$98)</f>
        <v>84</v>
      </c>
      <c r="G78" s="192">
        <f>_xlfn.XLOOKUP(E78,Deltakerliste!E$5:E$98,Deltakerliste!H$5:H$98)</f>
        <v>4</v>
      </c>
      <c r="H78" s="592">
        <f>VLOOKUP(F78,Deltakerliste!P$6:T$84,G78,FALSE)</f>
        <v>2.7814000000000005</v>
      </c>
      <c r="I78" s="86"/>
      <c r="J78" s="86"/>
      <c r="K78" s="13"/>
      <c r="L78" s="600"/>
      <c r="M78" s="594"/>
      <c r="N78" s="724"/>
      <c r="O78" s="596"/>
    </row>
    <row r="79" spans="2:17" ht="21" thickBot="1" x14ac:dyDescent="0.3">
      <c r="B79" s="16">
        <f t="shared" si="8"/>
        <v>70</v>
      </c>
      <c r="C79" s="106" t="s">
        <v>114</v>
      </c>
      <c r="D79" s="107" t="s">
        <v>115</v>
      </c>
      <c r="E79" s="599" t="str">
        <f t="shared" si="9"/>
        <v>MagnusLandstad</v>
      </c>
      <c r="F79" s="192">
        <f>YEAR(I$5)-_xlfn.XLOOKUP(E79,Deltakerliste!E$5:E$98,Deltakerliste!I$5:I$98)</f>
        <v>83</v>
      </c>
      <c r="G79" s="192">
        <f>_xlfn.XLOOKUP(E79,Deltakerliste!E$5:E$98,Deltakerliste!H$5:H$98)</f>
        <v>2</v>
      </c>
      <c r="H79" s="592">
        <f>VLOOKUP(F79,Deltakerliste!P$6:T$84,G79,FALSE)</f>
        <v>2.077</v>
      </c>
      <c r="I79" s="86"/>
      <c r="J79" s="86"/>
      <c r="K79" s="13"/>
      <c r="L79" s="600"/>
      <c r="M79" s="594"/>
      <c r="N79" s="724"/>
      <c r="O79" s="596"/>
    </row>
    <row r="80" spans="2:17" ht="21" thickBot="1" x14ac:dyDescent="0.3">
      <c r="B80" s="16">
        <f t="shared" si="8"/>
        <v>71</v>
      </c>
      <c r="C80" s="106" t="s">
        <v>254</v>
      </c>
      <c r="D80" s="107" t="s">
        <v>255</v>
      </c>
      <c r="E80" s="599" t="str">
        <f t="shared" si="9"/>
        <v>ArnfinnLangeland</v>
      </c>
      <c r="F80" s="192">
        <f>YEAR(I$5)-_xlfn.XLOOKUP(E80,Deltakerliste!E$5:E$98,Deltakerliste!I$5:I$98)</f>
        <v>90</v>
      </c>
      <c r="G80" s="192">
        <f>_xlfn.XLOOKUP(E80,Deltakerliste!E$5:E$98,Deltakerliste!H$5:H$98)</f>
        <v>2</v>
      </c>
      <c r="H80" s="592">
        <f>VLOOKUP(F80,Deltakerliste!P$6:T$84,G80,FALSE)</f>
        <v>2.645</v>
      </c>
      <c r="I80" s="86"/>
      <c r="J80" s="86"/>
      <c r="K80" s="13"/>
      <c r="L80" s="600"/>
      <c r="M80" s="594"/>
      <c r="N80" s="724"/>
      <c r="O80" s="596"/>
    </row>
    <row r="81" spans="2:15" ht="21" thickBot="1" x14ac:dyDescent="0.3">
      <c r="B81" s="16">
        <f t="shared" si="8"/>
        <v>72</v>
      </c>
      <c r="C81" s="106" t="s">
        <v>128</v>
      </c>
      <c r="D81" s="107" t="s">
        <v>129</v>
      </c>
      <c r="E81" s="599" t="str">
        <f t="shared" si="9"/>
        <v>OddMusum</v>
      </c>
      <c r="F81" s="192">
        <f>YEAR(I$5)-_xlfn.XLOOKUP(E81,Deltakerliste!E$5:E$98,Deltakerliste!I$5:I$98)</f>
        <v>84</v>
      </c>
      <c r="G81" s="192">
        <f>_xlfn.XLOOKUP(E81,Deltakerliste!E$5:E$98,Deltakerliste!H$5:H$98)</f>
        <v>2</v>
      </c>
      <c r="H81" s="592">
        <f>VLOOKUP(F81,Deltakerliste!P$6:T$84,G81,FALSE)</f>
        <v>2.1509999999999998</v>
      </c>
      <c r="I81" s="13"/>
      <c r="J81" s="13"/>
      <c r="K81" s="13"/>
      <c r="L81" s="600"/>
      <c r="M81" s="594"/>
      <c r="N81" s="724"/>
      <c r="O81" s="596"/>
    </row>
    <row r="82" spans="2:15" ht="21" thickBot="1" x14ac:dyDescent="0.3">
      <c r="B82" s="16">
        <f t="shared" si="8"/>
        <v>73</v>
      </c>
      <c r="C82" s="106" t="s">
        <v>132</v>
      </c>
      <c r="D82" s="107" t="s">
        <v>133</v>
      </c>
      <c r="E82" s="599" t="str">
        <f t="shared" si="9"/>
        <v>JarleNestvold</v>
      </c>
      <c r="F82" s="192">
        <f>YEAR(I$5)-_xlfn.XLOOKUP(E82,Deltakerliste!E$5:E$98,Deltakerliste!I$5:I$98)</f>
        <v>89</v>
      </c>
      <c r="G82" s="192">
        <f>_xlfn.XLOOKUP(E82,Deltakerliste!E$5:E$98,Deltakerliste!H$5:H$98)</f>
        <v>2</v>
      </c>
      <c r="H82" s="592">
        <f>VLOOKUP(F82,Deltakerliste!P$6:T$84,G82,FALSE)</f>
        <v>2.5609999999999999</v>
      </c>
      <c r="I82" s="132"/>
      <c r="J82" s="18"/>
      <c r="K82" s="18"/>
      <c r="L82" s="600"/>
      <c r="M82" s="594"/>
      <c r="N82" s="724"/>
      <c r="O82" s="596"/>
    </row>
    <row r="83" spans="2:15" ht="21" thickBot="1" x14ac:dyDescent="0.3">
      <c r="B83" s="16">
        <f t="shared" si="8"/>
        <v>74</v>
      </c>
      <c r="C83" s="106" t="s">
        <v>140</v>
      </c>
      <c r="D83" s="107" t="s">
        <v>141</v>
      </c>
      <c r="E83" s="599" t="str">
        <f t="shared" si="9"/>
        <v>Grete BergeOwren</v>
      </c>
      <c r="F83" s="192">
        <f>YEAR(I$5)-_xlfn.XLOOKUP(E83,Deltakerliste!E$5:E$98,Deltakerliste!I$5:I$98)</f>
        <v>68</v>
      </c>
      <c r="G83" s="192">
        <f>_xlfn.XLOOKUP(E83,Deltakerliste!E$5:E$98,Deltakerliste!H$5:H$98)</f>
        <v>4</v>
      </c>
      <c r="H83" s="592">
        <f>VLOOKUP(F83,Deltakerliste!P$6:T$84,G83,FALSE)</f>
        <v>1.877800000000001</v>
      </c>
      <c r="I83" s="18"/>
      <c r="J83" s="18"/>
      <c r="K83" s="18"/>
      <c r="L83" s="600"/>
      <c r="M83" s="594"/>
      <c r="N83" s="724"/>
      <c r="O83" s="596"/>
    </row>
    <row r="84" spans="2:15" ht="21" thickBot="1" x14ac:dyDescent="0.3">
      <c r="B84" s="16">
        <f t="shared" si="8"/>
        <v>75</v>
      </c>
      <c r="C84" s="111" t="s">
        <v>142</v>
      </c>
      <c r="D84" s="193" t="s">
        <v>143</v>
      </c>
      <c r="E84" s="599" t="str">
        <f t="shared" si="9"/>
        <v>EgilRepvik</v>
      </c>
      <c r="F84" s="192">
        <f>YEAR(I$5)-_xlfn.XLOOKUP(E84,Deltakerliste!E$5:E$98,Deltakerliste!I$5:I$98)</f>
        <v>80</v>
      </c>
      <c r="G84" s="192">
        <f>_xlfn.XLOOKUP(E84,Deltakerliste!E$5:E$98,Deltakerliste!H$5:H$98)</f>
        <v>2</v>
      </c>
      <c r="H84" s="592">
        <f>VLOOKUP(F84,Deltakerliste!P$6:T$84,G84,FALSE)</f>
        <v>1.8550000000000002</v>
      </c>
      <c r="I84" s="132"/>
      <c r="J84" s="18"/>
      <c r="K84" s="18"/>
      <c r="L84" s="600"/>
      <c r="M84" s="594"/>
      <c r="N84" s="724"/>
      <c r="O84" s="596"/>
    </row>
    <row r="85" spans="2:15" ht="21" thickBot="1" x14ac:dyDescent="0.3">
      <c r="B85" s="16">
        <f t="shared" si="8"/>
        <v>76</v>
      </c>
      <c r="C85" s="111" t="s">
        <v>144</v>
      </c>
      <c r="D85" s="193" t="s">
        <v>145</v>
      </c>
      <c r="E85" s="599" t="str">
        <f t="shared" si="9"/>
        <v>Bjørn Rindstad</v>
      </c>
      <c r="F85" s="192">
        <f>YEAR(I$5)-_xlfn.XLOOKUP(E85,Deltakerliste!E$5:E$98,Deltakerliste!I$5:I$98)</f>
        <v>75</v>
      </c>
      <c r="G85" s="192">
        <f>_xlfn.XLOOKUP(E85,Deltakerliste!E$5:E$98,Deltakerliste!H$5:H$98)</f>
        <v>2</v>
      </c>
      <c r="H85" s="592">
        <f>VLOOKUP(F85,Deltakerliste!P$6:T$84,G85,FALSE)</f>
        <v>1.605</v>
      </c>
      <c r="I85" s="18"/>
      <c r="J85" s="18"/>
      <c r="K85" s="18"/>
      <c r="L85" s="600"/>
      <c r="M85" s="594"/>
      <c r="N85" s="724"/>
      <c r="O85" s="596"/>
    </row>
    <row r="86" spans="2:15" ht="21" thickBot="1" x14ac:dyDescent="0.3">
      <c r="B86" s="16">
        <f t="shared" si="8"/>
        <v>77</v>
      </c>
      <c r="C86" s="111" t="s">
        <v>228</v>
      </c>
      <c r="D86" s="108" t="s">
        <v>229</v>
      </c>
      <c r="E86" s="599" t="str">
        <f t="shared" si="9"/>
        <v>May-LisRønning</v>
      </c>
      <c r="F86" s="192">
        <f>YEAR(I$5)-_xlfn.XLOOKUP(E86,Deltakerliste!E$5:E$98,Deltakerliste!I$5:I$98)</f>
        <v>56</v>
      </c>
      <c r="G86" s="192">
        <f>_xlfn.XLOOKUP(E86,Deltakerliste!E$5:E$98,Deltakerliste!H$5:H$98)</f>
        <v>4</v>
      </c>
      <c r="H86" s="592">
        <f>VLOOKUP(F86,Deltakerliste!P$6:T$84,G86,FALSE)</f>
        <v>1.5329999999999997</v>
      </c>
      <c r="I86" s="18"/>
      <c r="J86" s="18"/>
      <c r="K86" s="18"/>
      <c r="L86" s="600"/>
      <c r="M86" s="594"/>
      <c r="N86" s="724"/>
      <c r="O86" s="596"/>
    </row>
    <row r="87" spans="2:15" ht="21" thickBot="1" x14ac:dyDescent="0.3">
      <c r="B87" s="16">
        <f t="shared" si="8"/>
        <v>78</v>
      </c>
      <c r="C87" s="111" t="s">
        <v>147</v>
      </c>
      <c r="D87" s="193" t="s">
        <v>148</v>
      </c>
      <c r="E87" s="599" t="str">
        <f t="shared" si="9"/>
        <v>ViggoSchei</v>
      </c>
      <c r="F87" s="192">
        <f>YEAR(I$5)-_xlfn.XLOOKUP(E87,Deltakerliste!E$5:E$98,Deltakerliste!I$5:I$98)</f>
        <v>75</v>
      </c>
      <c r="G87" s="192">
        <f>_xlfn.XLOOKUP(E87,Deltakerliste!E$5:E$98,Deltakerliste!H$5:H$98)</f>
        <v>2</v>
      </c>
      <c r="H87" s="592">
        <f>VLOOKUP(F87,Deltakerliste!P$6:T$84,G87,FALSE)</f>
        <v>1.605</v>
      </c>
      <c r="I87" s="18"/>
      <c r="J87" s="132"/>
      <c r="K87" s="18"/>
      <c r="L87" s="600"/>
      <c r="M87" s="594"/>
      <c r="N87" s="724"/>
      <c r="O87" s="596"/>
    </row>
    <row r="88" spans="2:15" ht="21" thickBot="1" x14ac:dyDescent="0.3">
      <c r="B88" s="16">
        <f t="shared" si="8"/>
        <v>79</v>
      </c>
      <c r="C88" s="111" t="s">
        <v>298</v>
      </c>
      <c r="D88" s="193" t="s">
        <v>297</v>
      </c>
      <c r="E88" s="599" t="str">
        <f t="shared" si="9"/>
        <v>ØyvindSchjelderup</v>
      </c>
      <c r="F88" s="192">
        <f>YEAR(I$5)-_xlfn.XLOOKUP(E88,Deltakerliste!E$5:E$98,Deltakerliste!I$5:I$98)</f>
        <v>61</v>
      </c>
      <c r="G88" s="192">
        <f>_xlfn.XLOOKUP(E88,Deltakerliste!E$5:E$98,Deltakerliste!H$5:H$98)</f>
        <v>2</v>
      </c>
      <c r="H88" s="592">
        <f>VLOOKUP(F88,Deltakerliste!P$6:T$84,G88,FALSE)</f>
        <v>1.2190000000000001</v>
      </c>
      <c r="I88" s="18"/>
      <c r="J88" s="18"/>
      <c r="K88" s="18"/>
      <c r="L88" s="600"/>
      <c r="M88" s="594"/>
      <c r="N88" s="724"/>
      <c r="O88" s="596"/>
    </row>
    <row r="89" spans="2:15" ht="21" thickBot="1" x14ac:dyDescent="0.3">
      <c r="B89" s="16">
        <f t="shared" si="8"/>
        <v>80</v>
      </c>
      <c r="C89" s="111" t="s">
        <v>153</v>
      </c>
      <c r="D89" s="108" t="s">
        <v>154</v>
      </c>
      <c r="E89" s="599" t="str">
        <f t="shared" si="9"/>
        <v>ReidunSmaavik</v>
      </c>
      <c r="F89" s="192">
        <f>YEAR(I$5)-_xlfn.XLOOKUP(E89,Deltakerliste!E$5:E$98,Deltakerliste!I$5:I$98)</f>
        <v>71</v>
      </c>
      <c r="G89" s="192">
        <f>_xlfn.XLOOKUP(E89,Deltakerliste!E$5:E$98,Deltakerliste!H$5:H$98)</f>
        <v>4</v>
      </c>
      <c r="H89" s="592">
        <f>VLOOKUP(F89,Deltakerliste!P$6:T$84,G89,FALSE)</f>
        <v>1.9926000000000013</v>
      </c>
      <c r="I89" s="132"/>
      <c r="J89" s="18"/>
      <c r="K89" s="18"/>
      <c r="L89" s="600"/>
      <c r="M89" s="594"/>
      <c r="N89" s="724"/>
      <c r="O89" s="596"/>
    </row>
    <row r="90" spans="2:15" ht="21" thickBot="1" x14ac:dyDescent="0.3">
      <c r="B90" s="16">
        <f t="shared" si="8"/>
        <v>81</v>
      </c>
      <c r="C90" s="111" t="s">
        <v>155</v>
      </c>
      <c r="D90" s="108" t="s">
        <v>156</v>
      </c>
      <c r="E90" s="599" t="str">
        <f t="shared" si="9"/>
        <v>KjellrunSporild</v>
      </c>
      <c r="F90" s="192">
        <f>YEAR(I$5)-_xlfn.XLOOKUP(E90,Deltakerliste!E$5:E$98,Deltakerliste!I$5:I$98)</f>
        <v>71</v>
      </c>
      <c r="G90" s="192">
        <f>_xlfn.XLOOKUP(E90,Deltakerliste!E$5:E$98,Deltakerliste!H$5:H$98)</f>
        <v>4</v>
      </c>
      <c r="H90" s="592">
        <f>VLOOKUP(F90,Deltakerliste!P$6:T$84,G90,FALSE)</f>
        <v>1.9926000000000013</v>
      </c>
      <c r="I90" s="18"/>
      <c r="J90" s="132"/>
      <c r="K90" s="18"/>
      <c r="L90" s="600"/>
      <c r="M90" s="594"/>
      <c r="N90" s="724"/>
      <c r="O90" s="596"/>
    </row>
    <row r="91" spans="2:15" ht="21" thickBot="1" x14ac:dyDescent="0.3">
      <c r="B91" s="16">
        <f t="shared" si="8"/>
        <v>82</v>
      </c>
      <c r="C91" s="193" t="s">
        <v>232</v>
      </c>
      <c r="D91" s="133" t="s">
        <v>231</v>
      </c>
      <c r="E91" s="599" t="str">
        <f t="shared" si="9"/>
        <v>BeritSunnset</v>
      </c>
      <c r="F91" s="192">
        <f>YEAR(I$5)-_xlfn.XLOOKUP(E91,Deltakerliste!E$5:E$98,Deltakerliste!I$5:I$98)</f>
        <v>63</v>
      </c>
      <c r="G91" s="192">
        <f>_xlfn.XLOOKUP(E91,Deltakerliste!E$5:E$98,Deltakerliste!H$5:H$98)</f>
        <v>4</v>
      </c>
      <c r="H91" s="592">
        <f>VLOOKUP(F91,Deltakerliste!P$6:T$84,G91,FALSE)</f>
        <v>1.7126000000000006</v>
      </c>
      <c r="I91" s="18"/>
      <c r="J91" s="18"/>
      <c r="K91" s="18"/>
      <c r="L91" s="600"/>
      <c r="M91" s="594"/>
      <c r="N91" s="724"/>
      <c r="O91" s="596"/>
    </row>
    <row r="92" spans="2:15" ht="21" thickBot="1" x14ac:dyDescent="0.3">
      <c r="B92" s="16">
        <f t="shared" si="8"/>
        <v>83</v>
      </c>
      <c r="C92" s="193" t="s">
        <v>230</v>
      </c>
      <c r="D92" s="108" t="s">
        <v>231</v>
      </c>
      <c r="E92" s="599" t="str">
        <f t="shared" si="9"/>
        <v>TrineSunnset</v>
      </c>
      <c r="F92" s="192">
        <f>YEAR(I$5)-_xlfn.XLOOKUP(E92,Deltakerliste!E$5:E$98,Deltakerliste!I$5:I$98)</f>
        <v>63</v>
      </c>
      <c r="G92" s="192">
        <f>_xlfn.XLOOKUP(E92,Deltakerliste!E$5:E$98,Deltakerliste!H$5:H$98)</f>
        <v>4</v>
      </c>
      <c r="H92" s="592">
        <f>VLOOKUP(F92,Deltakerliste!P$6:T$84,G92,FALSE)</f>
        <v>1.7126000000000006</v>
      </c>
      <c r="I92" s="18"/>
      <c r="J92" s="18"/>
      <c r="K92" s="18"/>
      <c r="L92" s="600"/>
      <c r="M92" s="594"/>
      <c r="N92" s="724"/>
      <c r="O92" s="596"/>
    </row>
    <row r="93" spans="2:15" ht="21" thickBot="1" x14ac:dyDescent="0.3">
      <c r="B93" s="16">
        <f t="shared" si="8"/>
        <v>84</v>
      </c>
      <c r="C93" s="193" t="s">
        <v>161</v>
      </c>
      <c r="D93" s="108" t="s">
        <v>162</v>
      </c>
      <c r="E93" s="599" t="str">
        <f t="shared" si="9"/>
        <v>Nils OlavVennevik</v>
      </c>
      <c r="F93" s="192">
        <f>YEAR(I$5)-_xlfn.XLOOKUP(E93,Deltakerliste!E$5:E$98,Deltakerliste!I$5:I$98)</f>
        <v>78</v>
      </c>
      <c r="G93" s="192">
        <f>_xlfn.XLOOKUP(E93,Deltakerliste!E$5:E$98,Deltakerliste!H$5:H$98)</f>
        <v>2</v>
      </c>
      <c r="H93" s="592">
        <f>VLOOKUP(F93,Deltakerliste!P$6:T$84,G93,FALSE)</f>
        <v>1.7550000000000001</v>
      </c>
      <c r="I93" s="132"/>
      <c r="J93" s="18"/>
      <c r="K93" s="18"/>
      <c r="L93" s="600"/>
      <c r="M93" s="594"/>
      <c r="N93" s="724"/>
      <c r="O93" s="596"/>
    </row>
    <row r="94" spans="2:15" ht="21" thickBot="1" x14ac:dyDescent="0.3">
      <c r="B94" s="16">
        <f t="shared" si="8"/>
        <v>85</v>
      </c>
      <c r="C94" s="193" t="s">
        <v>307</v>
      </c>
      <c r="D94" s="108" t="s">
        <v>308</v>
      </c>
      <c r="E94" s="599" t="str">
        <f t="shared" si="9"/>
        <v>RolfWærnes</v>
      </c>
      <c r="F94" s="192">
        <f>YEAR(I$5)-_xlfn.XLOOKUP(E94,Deltakerliste!E$5:E$98,Deltakerliste!I$5:I$98)</f>
        <v>75</v>
      </c>
      <c r="G94" s="192">
        <f>_xlfn.XLOOKUP(E94,Deltakerliste!E$5:E$98,Deltakerliste!H$5:H$98)</f>
        <v>2</v>
      </c>
      <c r="H94" s="592">
        <f>VLOOKUP(F94,Deltakerliste!P$6:T$84,G94,FALSE)</f>
        <v>1.605</v>
      </c>
      <c r="I94" s="18"/>
      <c r="J94" s="132"/>
      <c r="K94" s="18"/>
      <c r="L94" s="600"/>
      <c r="M94" s="594"/>
      <c r="N94" s="724"/>
      <c r="O94" s="596"/>
    </row>
    <row r="95" spans="2:15" ht="21" thickBot="1" x14ac:dyDescent="0.3">
      <c r="B95" s="16">
        <f t="shared" si="8"/>
        <v>86</v>
      </c>
      <c r="C95" s="193" t="s">
        <v>166</v>
      </c>
      <c r="D95" s="108" t="s">
        <v>167</v>
      </c>
      <c r="E95" s="599" t="str">
        <f t="shared" si="9"/>
        <v>GunnarØsterbø</v>
      </c>
      <c r="F95" s="192">
        <f>YEAR(I$5)-_xlfn.XLOOKUP(E95,Deltakerliste!E$5:E$98,Deltakerliste!I$5:I$98)</f>
        <v>87</v>
      </c>
      <c r="G95" s="192">
        <f>_xlfn.XLOOKUP(E95,Deltakerliste!E$5:E$98,Deltakerliste!H$5:H$98)</f>
        <v>2</v>
      </c>
      <c r="H95" s="592">
        <f>VLOOKUP(F95,Deltakerliste!P$6:T$84,G95,FALSE)</f>
        <v>2.3929999999999998</v>
      </c>
      <c r="I95" s="18"/>
      <c r="J95" s="132"/>
      <c r="K95" s="18"/>
      <c r="L95" s="725"/>
      <c r="M95" s="717"/>
      <c r="N95" s="726"/>
      <c r="O95" s="719"/>
    </row>
    <row r="100" spans="4:11" ht="17" thickBot="1" x14ac:dyDescent="0.25"/>
    <row r="101" spans="4:11" ht="21" thickTop="1" thickBot="1" x14ac:dyDescent="0.3">
      <c r="D101" s="646" t="s">
        <v>288</v>
      </c>
      <c r="E101" s="647"/>
      <c r="F101" s="666"/>
      <c r="G101" s="666"/>
      <c r="H101" s="666"/>
      <c r="I101" s="648" t="s">
        <v>195</v>
      </c>
      <c r="J101" s="648" t="s">
        <v>196</v>
      </c>
      <c r="K101" s="649" t="s">
        <v>197</v>
      </c>
    </row>
    <row r="102" spans="4:11" ht="20" x14ac:dyDescent="0.25">
      <c r="D102" s="634" t="s">
        <v>172</v>
      </c>
      <c r="E102" s="320"/>
      <c r="F102" s="208"/>
      <c r="G102" s="208"/>
      <c r="H102" s="208"/>
      <c r="I102" s="635">
        <f>COUNT(I10:I96)+COUNTIF(I10:I96,"Brutt")+COUNTIF(I10:I96,"Disk")+COUNTIF(I10:I96,"(*)")</f>
        <v>24</v>
      </c>
      <c r="J102" s="635">
        <f>COUNT(J10:J96)+COUNTIF(J10:J96,"Brutt")+COUNTIF(J10:J96,"Disk")+COUNTIF(J10:J96,"(*)")</f>
        <v>18</v>
      </c>
      <c r="K102" s="636">
        <f>I102+J102</f>
        <v>42</v>
      </c>
    </row>
    <row r="103" spans="4:11" ht="19" x14ac:dyDescent="0.25">
      <c r="D103" s="637" t="s">
        <v>174</v>
      </c>
      <c r="E103" s="320"/>
      <c r="F103" s="208"/>
      <c r="G103" s="208"/>
      <c r="H103" s="208"/>
      <c r="I103" s="635">
        <f>COUNT(I10:I96)</f>
        <v>20</v>
      </c>
      <c r="J103" s="635">
        <f>COUNT(J10:J96)</f>
        <v>17</v>
      </c>
      <c r="K103" s="636">
        <f t="shared" ref="K103" si="10">I103+J103</f>
        <v>37</v>
      </c>
    </row>
    <row r="104" spans="4:11" ht="19" x14ac:dyDescent="0.25">
      <c r="D104" s="637" t="s">
        <v>173</v>
      </c>
      <c r="E104" s="320"/>
      <c r="F104" s="208"/>
      <c r="G104" s="208"/>
      <c r="H104" s="208"/>
      <c r="I104" s="208"/>
      <c r="J104" s="208"/>
      <c r="K104" s="636">
        <f>K102+COUNTIF(L10:L96,"Arr")+COUNTIF(L10:L96,"Løype")</f>
        <v>45</v>
      </c>
    </row>
    <row r="105" spans="4:11" ht="19" x14ac:dyDescent="0.25">
      <c r="D105" s="637" t="s">
        <v>341</v>
      </c>
      <c r="E105" s="320"/>
      <c r="F105" s="208"/>
      <c r="G105" s="208"/>
      <c r="H105" s="208"/>
      <c r="I105" s="208"/>
      <c r="J105" s="208"/>
      <c r="K105" s="638">
        <f>IF(SUM(L10:L96)=0," ",AVERAGEIF(M10:M96,"&gt;0",F10:F96))</f>
        <v>74.62222222222222</v>
      </c>
    </row>
    <row r="106" spans="4:11" ht="19" x14ac:dyDescent="0.25">
      <c r="D106" s="637" t="s">
        <v>296</v>
      </c>
      <c r="E106" s="320"/>
      <c r="F106" s="208"/>
      <c r="G106" s="208"/>
      <c r="H106" s="208"/>
      <c r="I106" s="208"/>
      <c r="J106" s="208"/>
      <c r="K106" s="638">
        <f>AVERAGE(I8:J8)</f>
        <v>2.8</v>
      </c>
    </row>
    <row r="107" spans="4:11" ht="19" x14ac:dyDescent="0.25">
      <c r="D107" s="637" t="s">
        <v>176</v>
      </c>
      <c r="E107" s="320"/>
      <c r="F107" s="208"/>
      <c r="G107" s="208"/>
      <c r="H107" s="208"/>
      <c r="I107" s="112">
        <f>I8*I103</f>
        <v>42</v>
      </c>
      <c r="J107" s="112">
        <f>J8*J103</f>
        <v>59.5</v>
      </c>
      <c r="K107" s="638">
        <f>I107+J107</f>
        <v>101.5</v>
      </c>
    </row>
    <row r="108" spans="4:11" ht="19" x14ac:dyDescent="0.25">
      <c r="D108" s="639" t="s">
        <v>286</v>
      </c>
      <c r="E108" s="320"/>
      <c r="F108" s="208"/>
      <c r="G108" s="208"/>
      <c r="H108" s="208"/>
      <c r="I108" s="103">
        <f>IF(SUM(I10:I96)=0," ",AVERAGE(I10:I96))</f>
        <v>2.8010416666666659E-2</v>
      </c>
      <c r="J108" s="103">
        <f>IF(SUM(J10:J96)=0," ",AVERAGE(J10:J96))</f>
        <v>3.2178649237472767E-2</v>
      </c>
      <c r="K108" s="640">
        <f>IF(SUM(I10:J96)=0," ",AVERAGE(I10:J96))</f>
        <v>2.9925550550550545E-2</v>
      </c>
    </row>
    <row r="109" spans="4:11" ht="20" thickBot="1" x14ac:dyDescent="0.3">
      <c r="D109" s="641" t="s">
        <v>287</v>
      </c>
      <c r="E109" s="642"/>
      <c r="F109" s="644"/>
      <c r="G109" s="644"/>
      <c r="H109" s="644"/>
      <c r="I109" s="643"/>
      <c r="J109" s="644"/>
      <c r="K109" s="645">
        <f>MIN(L10:L96)</f>
        <v>7.7546296296296295E-3</v>
      </c>
    </row>
    <row r="110" spans="4:11" ht="17" thickTop="1" x14ac:dyDescent="0.2"/>
  </sheetData>
  <autoFilter ref="B9:O95" xr:uid="{193EB3E6-B7CD-4446-ADD3-DA5AB7FBABE6}">
    <sortState xmlns:xlrd2="http://schemas.microsoft.com/office/spreadsheetml/2017/richdata2" ref="B10:O95">
      <sortCondition ref="N9:N95"/>
    </sortState>
  </autoFilter>
  <mergeCells count="3">
    <mergeCell ref="W7:X7"/>
    <mergeCell ref="S8:U8"/>
    <mergeCell ref="W8:X8"/>
  </mergeCells>
  <pageMargins left="0.7" right="0.7" top="0.75" bottom="0.75" header="0.3" footer="0.3"/>
  <pageSetup paperSize="9" orientation="portrait" horizontalDpi="0" verticalDpi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1EE84-6088-EE48-95D5-1AF69D3BD102}">
  <dimension ref="B1:AC110"/>
  <sheetViews>
    <sheetView topLeftCell="A61" workbookViewId="0">
      <selection sqref="A1:XFD1048576"/>
    </sheetView>
  </sheetViews>
  <sheetFormatPr baseColWidth="10" defaultColWidth="10.83203125" defaultRowHeight="16" x14ac:dyDescent="0.2"/>
  <cols>
    <col min="3" max="3" width="14.5" customWidth="1"/>
    <col min="4" max="4" width="20.1640625" customWidth="1"/>
    <col min="5" max="5" width="20.1640625" hidden="1" customWidth="1"/>
    <col min="6" max="6" width="14.5" style="15" customWidth="1"/>
    <col min="7" max="7" width="14.5" style="15" hidden="1" customWidth="1"/>
    <col min="8" max="8" width="14" style="15" customWidth="1"/>
    <col min="9" max="10" width="19.1640625" style="15" customWidth="1"/>
    <col min="11" max="11" width="17.6640625" style="15" customWidth="1"/>
    <col min="12" max="12" width="10.83203125" style="15"/>
    <col min="14" max="14" width="10.83203125" style="15"/>
    <col min="18" max="18" width="12.5" customWidth="1"/>
    <col min="19" max="19" width="13.5" customWidth="1"/>
    <col min="22" max="22" width="1.83203125" customWidth="1"/>
    <col min="23" max="23" width="15.83203125" customWidth="1"/>
    <col min="24" max="24" width="11" customWidth="1"/>
  </cols>
  <sheetData>
    <row r="1" spans="2:29" ht="8" customHeight="1" x14ac:dyDescent="0.2"/>
    <row r="2" spans="2:29" ht="8" customHeight="1" x14ac:dyDescent="0.2"/>
    <row r="5" spans="2:29" ht="26" x14ac:dyDescent="0.3">
      <c r="B5" s="21" t="s">
        <v>329</v>
      </c>
      <c r="C5" s="245" t="s">
        <v>404</v>
      </c>
      <c r="F5" s="667"/>
      <c r="G5" s="667"/>
      <c r="H5" s="671" t="s">
        <v>189</v>
      </c>
      <c r="I5" s="670">
        <f>'Løp 20'!I5+7</f>
        <v>46077</v>
      </c>
    </row>
    <row r="6" spans="2:29" ht="17" thickBot="1" x14ac:dyDescent="0.25">
      <c r="B6" s="15"/>
    </row>
    <row r="7" spans="2:29" ht="59" customHeight="1" thickBot="1" x14ac:dyDescent="0.35">
      <c r="B7" s="12" t="s">
        <v>194</v>
      </c>
      <c r="C7" s="662" t="s">
        <v>57</v>
      </c>
      <c r="D7" s="391" t="s">
        <v>58</v>
      </c>
      <c r="E7" s="663"/>
      <c r="F7" s="663" t="s">
        <v>234</v>
      </c>
      <c r="G7" s="391" t="s">
        <v>280</v>
      </c>
      <c r="H7" s="391" t="s">
        <v>235</v>
      </c>
      <c r="I7" s="391" t="s">
        <v>302</v>
      </c>
      <c r="J7" s="391" t="s">
        <v>303</v>
      </c>
      <c r="K7" s="391" t="s">
        <v>192</v>
      </c>
      <c r="L7" s="194" t="s">
        <v>209</v>
      </c>
      <c r="M7" s="392" t="s">
        <v>55</v>
      </c>
      <c r="N7" s="393" t="s">
        <v>242</v>
      </c>
      <c r="O7" s="393" t="s">
        <v>240</v>
      </c>
      <c r="Q7" s="319"/>
      <c r="R7" s="319"/>
      <c r="S7" s="755" t="str">
        <f>B5</f>
        <v>Løp 21</v>
      </c>
      <c r="T7" s="754" t="str">
        <f>C5</f>
        <v>Kattem</v>
      </c>
      <c r="U7" s="730"/>
      <c r="V7" s="730"/>
      <c r="W7" s="941"/>
      <c r="X7" s="941"/>
    </row>
    <row r="8" spans="2:29" ht="23" customHeight="1" thickTop="1" thickBot="1" x14ac:dyDescent="0.35">
      <c r="B8" s="22"/>
      <c r="C8" s="394"/>
      <c r="D8" s="395"/>
      <c r="E8" s="597"/>
      <c r="F8" s="668"/>
      <c r="G8" s="668"/>
      <c r="H8" s="664"/>
      <c r="I8" s="789">
        <v>2.2999999999999998</v>
      </c>
      <c r="J8" s="789">
        <v>3.1</v>
      </c>
      <c r="K8" s="391"/>
      <c r="N8" s="720"/>
      <c r="O8" s="390"/>
      <c r="S8" s="942" t="s">
        <v>312</v>
      </c>
      <c r="T8" s="943"/>
      <c r="U8" s="944"/>
      <c r="V8" s="779"/>
      <c r="W8" s="945" t="s">
        <v>313</v>
      </c>
      <c r="X8" s="940"/>
      <c r="AB8" s="836" t="s">
        <v>361</v>
      </c>
      <c r="AC8" s="827"/>
    </row>
    <row r="9" spans="2:29" ht="21" thickBot="1" x14ac:dyDescent="0.3">
      <c r="B9" s="22"/>
      <c r="C9" s="109"/>
      <c r="D9" s="105"/>
      <c r="E9" s="598"/>
      <c r="F9" s="669"/>
      <c r="G9" s="669"/>
      <c r="H9" s="665"/>
      <c r="I9" s="12"/>
      <c r="J9" s="12"/>
      <c r="K9" s="12"/>
      <c r="N9" s="722"/>
      <c r="O9" s="200"/>
      <c r="Q9" s="110"/>
      <c r="S9" s="731"/>
      <c r="T9" s="727" t="s">
        <v>311</v>
      </c>
      <c r="U9" s="750" t="s">
        <v>55</v>
      </c>
      <c r="V9" s="780"/>
      <c r="W9" s="774"/>
      <c r="X9" s="732" t="s">
        <v>55</v>
      </c>
      <c r="AB9" s="834" t="s">
        <v>234</v>
      </c>
      <c r="AC9" s="835" t="s">
        <v>362</v>
      </c>
    </row>
    <row r="10" spans="2:29" ht="21" thickBot="1" x14ac:dyDescent="0.3">
      <c r="B10" s="16">
        <f t="shared" ref="B10:B73" si="0">B9+1</f>
        <v>1</v>
      </c>
      <c r="C10" s="106" t="s">
        <v>159</v>
      </c>
      <c r="D10" s="107" t="s">
        <v>160</v>
      </c>
      <c r="E10" s="599" t="str">
        <f t="shared" ref="E10:E41" si="1">_xlfn.CONCAT(C10:D10)</f>
        <v>EigilSørli</v>
      </c>
      <c r="F10" s="192">
        <f>YEAR(I$5)-_xlfn.XLOOKUP(E10,Deltakerliste!E$5:E$98,Deltakerliste!I$5:I$98)</f>
        <v>86</v>
      </c>
      <c r="G10" s="192">
        <f>_xlfn.XLOOKUP(E10,Deltakerliste!E$5:E$98,Deltakerliste!H$5:H$98)</f>
        <v>2</v>
      </c>
      <c r="H10" s="592">
        <f>VLOOKUP(F10,Deltakerliste!P$6:T$84,G10,FALSE)</f>
        <v>2.3089999999999997</v>
      </c>
      <c r="I10" s="132">
        <v>2.0300925925925927E-2</v>
      </c>
      <c r="J10" s="18"/>
      <c r="K10" s="18"/>
      <c r="L10" s="600">
        <f t="shared" ref="L10:L47" si="2">IF(OR(I10="Arr",J10="Arr",K10="Arr"),"Arr",IF(OR(I10="Brutt",J10="Brutt",K10="Brutt"),"Brutt",IF(OR(I10="Disk",J10="Disk",K10="Disk"),"Disk",IF(OR(I10="Løype",J10="Løype",K10="Løype"),"Løype",IF(I10&gt;0,I10/I$8,J10/J$8)))))</f>
        <v>8.8264895330112739E-3</v>
      </c>
      <c r="M10" s="594">
        <f>IF(L10="Løype",Poengsammendrag!$F$2,IF(L10="Arr",Poengsammendrag!$F$3,IF(L10="Brutt",50,IF(L10="Disk",50,ROUND(MAXA(100*(MIN(L$10:L$94)/L10),50),0)))))</f>
        <v>69</v>
      </c>
      <c r="N10" s="724">
        <f t="shared" ref="N10:N47" si="3">IF(L10="Arr","Arr",IF(L10="Brutt","Brutt",IF(L10="Disk","Disk",IF(L10="Løype","Løype",L10/H10))))</f>
        <v>3.8226459649247616E-3</v>
      </c>
      <c r="O10" s="596">
        <f>IF(N10="Løype",Poengsammendrag!$F$2,IF(N10="Arr",Poengsammendrag!$F$3,IF(N10="Brutt",50,IF(N10="Disk",50,ROUND(MAXA(100*(MIN(N$10:N$94)/N10),50),0)))))</f>
        <v>100</v>
      </c>
      <c r="Q10" s="672"/>
      <c r="R10" s="672"/>
      <c r="S10" s="802" t="s">
        <v>385</v>
      </c>
      <c r="T10" s="734">
        <v>6.0745221027479089E-3</v>
      </c>
      <c r="U10" s="751">
        <v>100</v>
      </c>
      <c r="V10" s="781"/>
      <c r="W10" s="775" t="s">
        <v>357</v>
      </c>
      <c r="X10" s="739">
        <v>100</v>
      </c>
      <c r="AB10" s="832">
        <v>55</v>
      </c>
      <c r="AC10" s="833">
        <f t="shared" ref="AC10:AC50" si="4">COUNTIFS(F$10:F$97,AB10,M$10:M$97,"&gt;0")</f>
        <v>0</v>
      </c>
    </row>
    <row r="11" spans="2:29" ht="21" customHeight="1" thickBot="1" x14ac:dyDescent="0.3">
      <c r="B11" s="16">
        <f t="shared" si="0"/>
        <v>2</v>
      </c>
      <c r="C11" s="106" t="s">
        <v>116</v>
      </c>
      <c r="D11" s="107" t="s">
        <v>165</v>
      </c>
      <c r="E11" s="599" t="str">
        <f t="shared" si="1"/>
        <v>AndersWaage</v>
      </c>
      <c r="F11" s="192">
        <f>YEAR(I$5)-_xlfn.XLOOKUP(E11,Deltakerliste!E$5:E$98,Deltakerliste!I$5:I$98)</f>
        <v>78</v>
      </c>
      <c r="G11" s="192">
        <f>_xlfn.XLOOKUP(E11,Deltakerliste!E$5:E$98,Deltakerliste!H$5:H$98)</f>
        <v>2</v>
      </c>
      <c r="H11" s="592">
        <f>VLOOKUP(F11,Deltakerliste!P$6:T$84,G11,FALSE)</f>
        <v>1.7550000000000001</v>
      </c>
      <c r="I11" s="18"/>
      <c r="J11" s="132">
        <v>2.0983796296296296E-2</v>
      </c>
      <c r="K11" s="18"/>
      <c r="L11" s="600">
        <f t="shared" si="2"/>
        <v>6.7689665471923535E-3</v>
      </c>
      <c r="M11" s="594">
        <f>IF(L11="Løype",Poengsammendrag!$F$2,IF(L11="Arr",Poengsammendrag!$F$3,IF(L11="Brutt",50,IF(L11="Disk",50,ROUND(MAXA(100*(MIN(L$10:L$94)/L11),50),0)))))</f>
        <v>90</v>
      </c>
      <c r="N11" s="724">
        <f t="shared" si="3"/>
        <v>3.8569609955511983E-3</v>
      </c>
      <c r="O11" s="596">
        <f>IF(N11="Løype",Poengsammendrag!$F$2,IF(N11="Arr",Poengsammendrag!$F$3,IF(N11="Brutt",50,IF(N11="Disk",50,ROUND(MAXA(100*(MIN(N$10:N$94)/N11),50),0)))))</f>
        <v>99</v>
      </c>
      <c r="Q11" s="672"/>
      <c r="R11" s="672"/>
      <c r="S11" s="803" t="s">
        <v>368</v>
      </c>
      <c r="T11" s="736">
        <v>6.2387992831541223E-3</v>
      </c>
      <c r="U11" s="752">
        <v>97</v>
      </c>
      <c r="V11" s="781"/>
      <c r="W11" s="776" t="s">
        <v>314</v>
      </c>
      <c r="X11" s="740">
        <v>99</v>
      </c>
      <c r="AB11" s="828">
        <f>AB10+1</f>
        <v>56</v>
      </c>
      <c r="AC11" s="829">
        <f t="shared" si="4"/>
        <v>0</v>
      </c>
    </row>
    <row r="12" spans="2:29" ht="21" customHeight="1" thickBot="1" x14ac:dyDescent="0.3">
      <c r="B12" s="16">
        <f t="shared" si="0"/>
        <v>3</v>
      </c>
      <c r="C12" s="106" t="s">
        <v>138</v>
      </c>
      <c r="D12" s="107" t="s">
        <v>137</v>
      </c>
      <c r="E12" s="599" t="str">
        <f t="shared" si="1"/>
        <v>GunnhildOftedal</v>
      </c>
      <c r="F12" s="192">
        <f>YEAR(I$5)-_xlfn.XLOOKUP(E12,Deltakerliste!E$5:E$98,Deltakerliste!I$5:I$98)</f>
        <v>73</v>
      </c>
      <c r="G12" s="192">
        <f>_xlfn.XLOOKUP(E12,Deltakerliste!E$5:E$98,Deltakerliste!H$5:H$98)</f>
        <v>4</v>
      </c>
      <c r="H12" s="592">
        <f>VLOOKUP(F12,Deltakerliste!P$6:T$84,G12,FALSE)</f>
        <v>2.0798000000000014</v>
      </c>
      <c r="I12" s="13"/>
      <c r="J12" s="13">
        <v>2.5034722222222222E-2</v>
      </c>
      <c r="K12" s="13"/>
      <c r="L12" s="600">
        <f t="shared" si="2"/>
        <v>8.0757168458781368E-3</v>
      </c>
      <c r="M12" s="594">
        <f>IF(L12="Løype",Poengsammendrag!$F$2,IF(L12="Arr",Poengsammendrag!$F$3,IF(L12="Brutt",50,IF(L12="Disk",50,ROUND(MAXA(100*(MIN(L$10:L$94)/L12),50),0)))))</f>
        <v>75</v>
      </c>
      <c r="N12" s="724">
        <f t="shared" si="3"/>
        <v>3.8829295345120356E-3</v>
      </c>
      <c r="O12" s="596">
        <f>IF(N12="Løype",Poengsammendrag!$F$2,IF(N12="Arr",Poengsammendrag!$F$3,IF(N12="Brutt",50,IF(N12="Disk",50,ROUND(MAXA(100*(MIN(N$10:N$94)/N12),50),0)))))</f>
        <v>98</v>
      </c>
      <c r="Q12" s="672"/>
      <c r="R12" s="672"/>
      <c r="S12" s="803" t="s">
        <v>386</v>
      </c>
      <c r="T12" s="736">
        <v>6.4702807646356032E-3</v>
      </c>
      <c r="U12" s="752">
        <v>94</v>
      </c>
      <c r="V12" s="781"/>
      <c r="W12" s="776" t="s">
        <v>138</v>
      </c>
      <c r="X12" s="740">
        <v>98</v>
      </c>
      <c r="AB12" s="828">
        <f t="shared" ref="AB12:AB50" si="5">AB11+1</f>
        <v>57</v>
      </c>
      <c r="AC12" s="829">
        <f t="shared" si="4"/>
        <v>0</v>
      </c>
    </row>
    <row r="13" spans="2:29" ht="21" customHeight="1" thickBot="1" x14ac:dyDescent="0.3">
      <c r="B13" s="16">
        <f t="shared" si="0"/>
        <v>4</v>
      </c>
      <c r="C13" s="106" t="s">
        <v>64</v>
      </c>
      <c r="D13" s="107" t="s">
        <v>65</v>
      </c>
      <c r="E13" s="599" t="str">
        <f t="shared" si="1"/>
        <v>BjørnBerger</v>
      </c>
      <c r="F13" s="192">
        <f>YEAR(I$5)-_xlfn.XLOOKUP(E13,Deltakerliste!E$5:E$98,Deltakerliste!I$5:I$98)</f>
        <v>75</v>
      </c>
      <c r="G13" s="192">
        <f>_xlfn.XLOOKUP(E13,Deltakerliste!E$5:E$98,Deltakerliste!H$5:H$98)</f>
        <v>2</v>
      </c>
      <c r="H13" s="592">
        <f>VLOOKUP(F13,Deltakerliste!P$6:T$84,G13,FALSE)</f>
        <v>1.605</v>
      </c>
      <c r="I13" s="13"/>
      <c r="J13" s="13">
        <v>2.0555555555555556E-2</v>
      </c>
      <c r="K13" s="19"/>
      <c r="L13" s="600">
        <f t="shared" si="2"/>
        <v>6.6308243727598564E-3</v>
      </c>
      <c r="M13" s="594">
        <f>IF(L13="Løype",Poengsammendrag!$F$2,IF(L13="Arr",Poengsammendrag!$F$3,IF(L13="Brutt",50,IF(L13="Disk",50,ROUND(MAXA(100*(MIN(L$10:L$94)/L13),50),0)))))</f>
        <v>92</v>
      </c>
      <c r="N13" s="724">
        <f t="shared" si="3"/>
        <v>4.131354749383088E-3</v>
      </c>
      <c r="O13" s="596">
        <f>IF(N13="Løype",Poengsammendrag!$F$2,IF(N13="Arr",Poengsammendrag!$F$3,IF(N13="Brutt",50,IF(N13="Disk",50,ROUND(MAXA(100*(MIN(N$10:N$94)/N13),50),0)))))</f>
        <v>93</v>
      </c>
      <c r="Q13" s="672"/>
      <c r="R13" s="672"/>
      <c r="S13" s="803" t="s">
        <v>380</v>
      </c>
      <c r="T13" s="736">
        <v>6.6308243727598564E-3</v>
      </c>
      <c r="U13" s="752">
        <v>92</v>
      </c>
      <c r="V13" s="781"/>
      <c r="W13" s="776" t="s">
        <v>380</v>
      </c>
      <c r="X13" s="740">
        <v>93</v>
      </c>
      <c r="AB13" s="828">
        <f t="shared" si="5"/>
        <v>58</v>
      </c>
      <c r="AC13" s="829">
        <f t="shared" si="4"/>
        <v>0</v>
      </c>
    </row>
    <row r="14" spans="2:29" ht="21" customHeight="1" thickBot="1" x14ac:dyDescent="0.3">
      <c r="B14" s="16">
        <f t="shared" si="0"/>
        <v>5</v>
      </c>
      <c r="C14" s="106" t="s">
        <v>78</v>
      </c>
      <c r="D14" s="107" t="s">
        <v>79</v>
      </c>
      <c r="E14" s="599" t="str">
        <f t="shared" si="1"/>
        <v>LeifEngen</v>
      </c>
      <c r="F14" s="192">
        <f>YEAR(I$5)-_xlfn.XLOOKUP(E14,Deltakerliste!E$5:E$98,Deltakerliste!I$5:I$98)</f>
        <v>85</v>
      </c>
      <c r="G14" s="192">
        <f>_xlfn.XLOOKUP(E14,Deltakerliste!E$5:E$98,Deltakerliste!H$5:H$98)</f>
        <v>2</v>
      </c>
      <c r="H14" s="592">
        <f>VLOOKUP(F14,Deltakerliste!P$6:T$84,G14,FALSE)</f>
        <v>2.2249999999999996</v>
      </c>
      <c r="I14" s="86">
        <v>2.1412037037037038E-2</v>
      </c>
      <c r="J14" s="86"/>
      <c r="K14" s="13"/>
      <c r="L14" s="600">
        <f t="shared" si="2"/>
        <v>9.3095813204508871E-3</v>
      </c>
      <c r="M14" s="594">
        <f>IF(L14="Løype",Poengsammendrag!$F$2,IF(L14="Arr",Poengsammendrag!$F$3,IF(L14="Brutt",50,IF(L14="Disk",50,ROUND(MAXA(100*(MIN(L$10:L$94)/L14),50),0)))))</f>
        <v>65</v>
      </c>
      <c r="N14" s="724">
        <f t="shared" si="3"/>
        <v>4.1840814923374782E-3</v>
      </c>
      <c r="O14" s="596">
        <f>IF(N14="Løype",Poengsammendrag!$F$2,IF(N14="Arr",Poengsammendrag!$F$3,IF(N14="Brutt",50,IF(N14="Disk",50,ROUND(MAXA(100*(MIN(N$10:N$94)/N14),50),0)))))</f>
        <v>91</v>
      </c>
      <c r="Q14" s="672"/>
      <c r="R14" s="672"/>
      <c r="S14" s="803" t="s">
        <v>314</v>
      </c>
      <c r="T14" s="736">
        <v>6.7689665471923535E-3</v>
      </c>
      <c r="U14" s="752">
        <v>90</v>
      </c>
      <c r="V14" s="781"/>
      <c r="W14" s="776" t="s">
        <v>338</v>
      </c>
      <c r="X14" s="740">
        <v>91</v>
      </c>
      <c r="AB14" s="828">
        <f t="shared" si="5"/>
        <v>59</v>
      </c>
      <c r="AC14" s="829">
        <f t="shared" si="4"/>
        <v>0</v>
      </c>
    </row>
    <row r="15" spans="2:29" ht="21" customHeight="1" thickBot="1" x14ac:dyDescent="0.3">
      <c r="B15" s="16">
        <f t="shared" si="0"/>
        <v>6</v>
      </c>
      <c r="C15" s="106" t="s">
        <v>88</v>
      </c>
      <c r="D15" s="107" t="s">
        <v>89</v>
      </c>
      <c r="E15" s="599" t="str">
        <f t="shared" si="1"/>
        <v>EdgarFuruholt</v>
      </c>
      <c r="F15" s="192">
        <f>YEAR(I$5)-_xlfn.XLOOKUP(E15,Deltakerliste!E$5:E$98,Deltakerliste!I$5:I$98)</f>
        <v>79</v>
      </c>
      <c r="G15" s="192">
        <f>_xlfn.XLOOKUP(E15,Deltakerliste!E$5:E$98,Deltakerliste!H$5:H$98)</f>
        <v>2</v>
      </c>
      <c r="H15" s="592">
        <f>VLOOKUP(F15,Deltakerliste!P$6:T$84,G15,FALSE)</f>
        <v>1.8050000000000002</v>
      </c>
      <c r="I15" s="18"/>
      <c r="J15" s="132">
        <v>2.361111111111111E-2</v>
      </c>
      <c r="K15" s="18"/>
      <c r="L15" s="600">
        <f t="shared" si="2"/>
        <v>7.6164874551971325E-3</v>
      </c>
      <c r="M15" s="594">
        <f>IF(L15="Løype",Poengsammendrag!$F$2,IF(L15="Arr",Poengsammendrag!$F$3,IF(L15="Brutt",50,IF(L15="Disk",50,ROUND(MAXA(100*(MIN(L$10:L$94)/L15),50),0)))))</f>
        <v>80</v>
      </c>
      <c r="N15" s="724">
        <f t="shared" si="3"/>
        <v>4.2196606399984111E-3</v>
      </c>
      <c r="O15" s="596">
        <f>IF(N15="Løype",Poengsammendrag!$F$2,IF(N15="Arr",Poengsammendrag!$F$3,IF(N15="Brutt",50,IF(N15="Disk",50,ROUND(MAXA(100*(MIN(N$10:N$94)/N15),50),0)))))</f>
        <v>91</v>
      </c>
      <c r="Q15" s="672"/>
      <c r="R15" s="672"/>
      <c r="S15" s="803" t="s">
        <v>136</v>
      </c>
      <c r="T15" s="736">
        <v>6.9519115890083628E-3</v>
      </c>
      <c r="U15" s="752">
        <v>87</v>
      </c>
      <c r="V15" s="781"/>
      <c r="W15" s="776" t="s">
        <v>88</v>
      </c>
      <c r="X15" s="740">
        <v>91</v>
      </c>
      <c r="AB15" s="828">
        <f t="shared" si="5"/>
        <v>60</v>
      </c>
      <c r="AC15" s="829">
        <f t="shared" si="4"/>
        <v>1</v>
      </c>
    </row>
    <row r="16" spans="2:29" ht="21" customHeight="1" thickBot="1" x14ac:dyDescent="0.3">
      <c r="B16" s="16">
        <f t="shared" si="0"/>
        <v>7</v>
      </c>
      <c r="C16" s="106" t="s">
        <v>126</v>
      </c>
      <c r="D16" s="107" t="s">
        <v>127</v>
      </c>
      <c r="E16" s="599" t="str">
        <f t="shared" si="1"/>
        <v>ArneMikkelsen</v>
      </c>
      <c r="F16" s="192">
        <f>YEAR(I$5)-_xlfn.XLOOKUP(E16,Deltakerliste!E$5:E$98,Deltakerliste!I$5:I$98)</f>
        <v>73</v>
      </c>
      <c r="G16" s="192">
        <f>_xlfn.XLOOKUP(E16,Deltakerliste!E$5:E$98,Deltakerliste!H$5:H$98)</f>
        <v>2</v>
      </c>
      <c r="H16" s="592">
        <f>VLOOKUP(F16,Deltakerliste!P$6:T$84,G16,FALSE)</f>
        <v>1.5329999999999999</v>
      </c>
      <c r="I16" s="13"/>
      <c r="J16" s="13">
        <v>2.0057870370370372E-2</v>
      </c>
      <c r="K16" s="13"/>
      <c r="L16" s="600">
        <f t="shared" si="2"/>
        <v>6.4702807646356032E-3</v>
      </c>
      <c r="M16" s="594">
        <f>IF(L16="Løype",Poengsammendrag!$F$2,IF(L16="Arr",Poengsammendrag!$F$3,IF(L16="Brutt",50,IF(L16="Disk",50,ROUND(MAXA(100*(MIN(L$10:L$94)/L16),50),0)))))</f>
        <v>94</v>
      </c>
      <c r="N16" s="724">
        <f t="shared" si="3"/>
        <v>4.2206658608190499E-3</v>
      </c>
      <c r="O16" s="596">
        <f>IF(N16="Løype",Poengsammendrag!$F$2,IF(N16="Arr",Poengsammendrag!$F$3,IF(N16="Brutt",50,IF(N16="Disk",50,ROUND(MAXA(100*(MIN(N$10:N$94)/N16),50),0)))))</f>
        <v>91</v>
      </c>
      <c r="Q16" s="672"/>
      <c r="R16" s="672"/>
      <c r="S16" s="803" t="s">
        <v>307</v>
      </c>
      <c r="T16" s="736">
        <v>7.2431302270011952E-3</v>
      </c>
      <c r="U16" s="752">
        <v>84</v>
      </c>
      <c r="V16" s="781"/>
      <c r="W16" s="776" t="s">
        <v>386</v>
      </c>
      <c r="X16" s="740">
        <v>91</v>
      </c>
      <c r="AB16" s="828">
        <f t="shared" si="5"/>
        <v>61</v>
      </c>
      <c r="AC16" s="829">
        <f t="shared" si="4"/>
        <v>1</v>
      </c>
    </row>
    <row r="17" spans="2:29" ht="21" customHeight="1" thickBot="1" x14ac:dyDescent="0.3">
      <c r="B17" s="16">
        <f t="shared" si="0"/>
        <v>8</v>
      </c>
      <c r="C17" s="106" t="s">
        <v>118</v>
      </c>
      <c r="D17" s="107" t="s">
        <v>119</v>
      </c>
      <c r="E17" s="599" t="str">
        <f t="shared" si="1"/>
        <v>KnutLillealtern</v>
      </c>
      <c r="F17" s="192">
        <f>YEAR(I$5)-_xlfn.XLOOKUP(E17,Deltakerliste!E$5:E$98,Deltakerliste!I$5:I$98)</f>
        <v>77</v>
      </c>
      <c r="G17" s="192">
        <f>_xlfn.XLOOKUP(E17,Deltakerliste!E$5:E$98,Deltakerliste!H$5:H$98)</f>
        <v>2</v>
      </c>
      <c r="H17" s="592">
        <f>VLOOKUP(F17,Deltakerliste!P$6:T$84,G17,FALSE)</f>
        <v>1.7050000000000001</v>
      </c>
      <c r="I17" s="13"/>
      <c r="J17" s="13">
        <v>2.2615740740740742E-2</v>
      </c>
      <c r="K17" s="17"/>
      <c r="L17" s="600">
        <f t="shared" si="2"/>
        <v>7.2954002389486261E-3</v>
      </c>
      <c r="M17" s="594">
        <f>IF(L17="Løype",Poengsammendrag!$F$2,IF(L17="Arr",Poengsammendrag!$F$3,IF(L17="Brutt",50,IF(L17="Disk",50,ROUND(MAXA(100*(MIN(L$10:L$94)/L17),50),0)))))</f>
        <v>83</v>
      </c>
      <c r="N17" s="724">
        <f t="shared" si="3"/>
        <v>4.278827119617962E-3</v>
      </c>
      <c r="O17" s="596">
        <f>IF(N17="Løype",Poengsammendrag!$F$2,IF(N17="Arr",Poengsammendrag!$F$3,IF(N17="Brutt",50,IF(N17="Disk",50,ROUND(MAXA(100*(MIN(N$10:N$94)/N17),50),0)))))</f>
        <v>89</v>
      </c>
      <c r="Q17" s="672"/>
      <c r="R17" s="672"/>
      <c r="S17" s="803" t="s">
        <v>118</v>
      </c>
      <c r="T17" s="736">
        <v>7.2954002389486261E-3</v>
      </c>
      <c r="U17" s="752">
        <v>83</v>
      </c>
      <c r="V17" s="781"/>
      <c r="W17" s="776" t="s">
        <v>118</v>
      </c>
      <c r="X17" s="740">
        <v>89</v>
      </c>
      <c r="AB17" s="828">
        <f t="shared" si="5"/>
        <v>62</v>
      </c>
      <c r="AC17" s="829">
        <f t="shared" si="4"/>
        <v>0</v>
      </c>
    </row>
    <row r="18" spans="2:29" ht="21" customHeight="1" thickBot="1" x14ac:dyDescent="0.3">
      <c r="B18" s="16">
        <f t="shared" si="0"/>
        <v>9</v>
      </c>
      <c r="C18" s="106" t="s">
        <v>149</v>
      </c>
      <c r="D18" s="107" t="s">
        <v>150</v>
      </c>
      <c r="E18" s="599" t="str">
        <f t="shared" si="1"/>
        <v>BenteSkorge</v>
      </c>
      <c r="F18" s="192">
        <f>YEAR(I$5)-_xlfn.XLOOKUP(E18,Deltakerliste!E$5:E$98,Deltakerliste!I$5:I$98)</f>
        <v>67</v>
      </c>
      <c r="G18" s="192">
        <f>_xlfn.XLOOKUP(E18,Deltakerliste!E$5:E$98,Deltakerliste!H$5:H$98)</f>
        <v>4</v>
      </c>
      <c r="H18" s="592">
        <f>VLOOKUP(F18,Deltakerliste!P$6:T$84,G18,FALSE)</f>
        <v>1.8422000000000009</v>
      </c>
      <c r="I18" s="132"/>
      <c r="J18" s="132">
        <v>2.4722222222222222E-2</v>
      </c>
      <c r="K18" s="18"/>
      <c r="L18" s="600">
        <f t="shared" si="2"/>
        <v>7.9749103942652333E-3</v>
      </c>
      <c r="M18" s="594">
        <f>IF(L18="Løype",Poengsammendrag!$F$2,IF(L18="Arr",Poengsammendrag!$F$3,IF(L18="Brutt",50,IF(L18="Disk",50,ROUND(MAXA(100*(MIN(L$10:L$94)/L18),50),0)))))</f>
        <v>76</v>
      </c>
      <c r="N18" s="724">
        <f t="shared" si="3"/>
        <v>4.3290144361444087E-3</v>
      </c>
      <c r="O18" s="596">
        <f>IF(N18="Løype",Poengsammendrag!$F$2,IF(N18="Arr",Poengsammendrag!$F$3,IF(N18="Brutt",50,IF(N18="Disk",50,ROUND(MAXA(100*(MIN(N$10:N$94)/N18),50),0)))))</f>
        <v>88</v>
      </c>
      <c r="Q18" s="672"/>
      <c r="R18" s="672"/>
      <c r="S18" s="803" t="s">
        <v>168</v>
      </c>
      <c r="T18" s="736">
        <v>7.4223416965352451E-3</v>
      </c>
      <c r="U18" s="752">
        <v>82</v>
      </c>
      <c r="V18" s="781"/>
      <c r="W18" s="776" t="s">
        <v>149</v>
      </c>
      <c r="X18" s="740">
        <v>88</v>
      </c>
      <c r="AB18" s="828">
        <f t="shared" si="5"/>
        <v>63</v>
      </c>
      <c r="AC18" s="829">
        <f t="shared" si="4"/>
        <v>0</v>
      </c>
    </row>
    <row r="19" spans="2:29" ht="21" thickBot="1" x14ac:dyDescent="0.3">
      <c r="B19" s="16">
        <f t="shared" si="0"/>
        <v>10</v>
      </c>
      <c r="C19" s="106" t="s">
        <v>96</v>
      </c>
      <c r="D19" s="107" t="s">
        <v>97</v>
      </c>
      <c r="E19" s="599" t="str">
        <f t="shared" si="1"/>
        <v>StigHaugskott</v>
      </c>
      <c r="F19" s="192">
        <f>YEAR(I$5)-_xlfn.XLOOKUP(E19,Deltakerliste!E$5:E$98,Deltakerliste!I$5:I$98)</f>
        <v>87</v>
      </c>
      <c r="G19" s="192">
        <f>_xlfn.XLOOKUP(E19,Deltakerliste!E$5:E$98,Deltakerliste!H$5:H$98)</f>
        <v>2</v>
      </c>
      <c r="H19" s="592">
        <f>VLOOKUP(F19,Deltakerliste!P$6:T$84,G19,FALSE)</f>
        <v>2.3929999999999998</v>
      </c>
      <c r="I19" s="86">
        <v>2.3831018518518519E-2</v>
      </c>
      <c r="J19" s="86"/>
      <c r="K19" s="86"/>
      <c r="L19" s="600">
        <f t="shared" si="2"/>
        <v>1.0361312399355879E-2</v>
      </c>
      <c r="M19" s="594">
        <f>IF(L19="Løype",Poengsammendrag!$F$2,IF(L19="Arr",Poengsammendrag!$F$3,IF(L19="Brutt",50,IF(L19="Disk",50,ROUND(MAXA(100*(MIN(L$10:L$94)/L19),50),0)))))</f>
        <v>59</v>
      </c>
      <c r="N19" s="724">
        <f t="shared" si="3"/>
        <v>4.3298422061662685E-3</v>
      </c>
      <c r="O19" s="596">
        <f>IF(N19="Løype",Poengsammendrag!$F$2,IF(N19="Arr",Poengsammendrag!$F$3,IF(N19="Brutt",50,IF(N19="Disk",50,ROUND(MAXA(100*(MIN(N$10:N$94)/N19),50),0)))))</f>
        <v>88</v>
      </c>
      <c r="Q19" s="672"/>
      <c r="R19" s="672"/>
      <c r="S19" s="803" t="s">
        <v>346</v>
      </c>
      <c r="T19" s="736">
        <v>7.5418160095579445E-3</v>
      </c>
      <c r="U19" s="752">
        <v>81</v>
      </c>
      <c r="V19" s="781"/>
      <c r="W19" s="776" t="s">
        <v>96</v>
      </c>
      <c r="X19" s="740">
        <v>88</v>
      </c>
      <c r="AB19" s="828">
        <f t="shared" si="5"/>
        <v>64</v>
      </c>
      <c r="AC19" s="829">
        <f t="shared" si="4"/>
        <v>0</v>
      </c>
    </row>
    <row r="20" spans="2:29" ht="21" thickBot="1" x14ac:dyDescent="0.3">
      <c r="B20" s="16">
        <f t="shared" si="0"/>
        <v>11</v>
      </c>
      <c r="C20" s="106" t="s">
        <v>136</v>
      </c>
      <c r="D20" s="107" t="s">
        <v>137</v>
      </c>
      <c r="E20" s="599" t="str">
        <f t="shared" si="1"/>
        <v>HaraldOftedal</v>
      </c>
      <c r="F20" s="192">
        <f>YEAR(I$5)-_xlfn.XLOOKUP(E20,Deltakerliste!E$5:E$98,Deltakerliste!I$5:I$98)</f>
        <v>74</v>
      </c>
      <c r="G20" s="192">
        <f>_xlfn.XLOOKUP(E20,Deltakerliste!E$5:E$98,Deltakerliste!H$5:H$98)</f>
        <v>2</v>
      </c>
      <c r="H20" s="592">
        <f>VLOOKUP(F20,Deltakerliste!P$6:T$84,G20,FALSE)</f>
        <v>1.569</v>
      </c>
      <c r="I20" s="132"/>
      <c r="J20" s="132">
        <v>2.1550925925925925E-2</v>
      </c>
      <c r="K20" s="134"/>
      <c r="L20" s="600">
        <f t="shared" si="2"/>
        <v>6.9519115890083628E-3</v>
      </c>
      <c r="M20" s="594">
        <f>IF(L20="Løype",Poengsammendrag!$F$2,IF(L20="Arr",Poengsammendrag!$F$3,IF(L20="Brutt",50,IF(L20="Disk",50,ROUND(MAXA(100*(MIN(L$10:L$94)/L20),50),0)))))</f>
        <v>87</v>
      </c>
      <c r="N20" s="724">
        <f t="shared" si="3"/>
        <v>4.430791325053131E-3</v>
      </c>
      <c r="O20" s="596">
        <f>IF(N20="Løype",Poengsammendrag!$F$2,IF(N20="Arr",Poengsammendrag!$F$3,IF(N20="Brutt",50,IF(N20="Disk",50,ROUND(MAXA(100*(MIN(N$10:N$94)/N20),50),0)))))</f>
        <v>86</v>
      </c>
      <c r="Q20" s="672"/>
      <c r="R20" s="672"/>
      <c r="S20" s="803" t="s">
        <v>163</v>
      </c>
      <c r="T20" s="736">
        <v>7.6052867383512544E-3</v>
      </c>
      <c r="U20" s="752">
        <v>80</v>
      </c>
      <c r="V20" s="781"/>
      <c r="W20" s="776" t="s">
        <v>136</v>
      </c>
      <c r="X20" s="740">
        <v>86</v>
      </c>
      <c r="AB20" s="828">
        <f t="shared" si="5"/>
        <v>65</v>
      </c>
      <c r="AC20" s="829">
        <f t="shared" si="4"/>
        <v>0</v>
      </c>
    </row>
    <row r="21" spans="2:29" ht="21" customHeight="1" thickBot="1" x14ac:dyDescent="0.3">
      <c r="B21" s="16">
        <f t="shared" si="0"/>
        <v>12</v>
      </c>
      <c r="C21" s="106" t="s">
        <v>124</v>
      </c>
      <c r="D21" s="107" t="s">
        <v>125</v>
      </c>
      <c r="E21" s="599" t="str">
        <f t="shared" si="1"/>
        <v>Heidi Midttun</v>
      </c>
      <c r="F21" s="192">
        <f>YEAR(I$5)-_xlfn.XLOOKUP(E21,Deltakerliste!E$5:E$98,Deltakerliste!I$5:I$98)</f>
        <v>71</v>
      </c>
      <c r="G21" s="192">
        <f>_xlfn.XLOOKUP(E21,Deltakerliste!E$5:E$98,Deltakerliste!H$5:H$98)</f>
        <v>4</v>
      </c>
      <c r="H21" s="592">
        <f>VLOOKUP(F21,Deltakerliste!P$6:T$84,G21,FALSE)</f>
        <v>1.9926000000000013</v>
      </c>
      <c r="I21" s="13">
        <v>2.0648148148148148E-2</v>
      </c>
      <c r="J21" s="13"/>
      <c r="K21" s="13"/>
      <c r="L21" s="600">
        <f t="shared" si="2"/>
        <v>8.977455716586152E-3</v>
      </c>
      <c r="M21" s="594">
        <f>IF(L21="Løype",Poengsammendrag!$F$2,IF(L21="Arr",Poengsammendrag!$F$3,IF(L21="Brutt",50,IF(L21="Disk",50,ROUND(MAXA(100*(MIN(L$10:L$94)/L21),50),0)))))</f>
        <v>68</v>
      </c>
      <c r="N21" s="724">
        <f t="shared" si="3"/>
        <v>4.5053978302650542E-3</v>
      </c>
      <c r="O21" s="596">
        <f>IF(N21="Løype",Poengsammendrag!$F$2,IF(N21="Arr",Poengsammendrag!$F$3,IF(N21="Brutt",50,IF(N21="Disk",50,ROUND(MAXA(100*(MIN(N$10:N$94)/N21),50),0)))))</f>
        <v>85</v>
      </c>
      <c r="Q21" s="672"/>
      <c r="R21" s="672"/>
      <c r="S21" s="803" t="s">
        <v>88</v>
      </c>
      <c r="T21" s="736">
        <v>7.6164874551971325E-3</v>
      </c>
      <c r="U21" s="752">
        <v>80</v>
      </c>
      <c r="V21" s="781"/>
      <c r="W21" s="776" t="s">
        <v>124</v>
      </c>
      <c r="X21" s="740">
        <v>85</v>
      </c>
      <c r="AB21" s="828">
        <f t="shared" si="5"/>
        <v>66</v>
      </c>
      <c r="AC21" s="829">
        <f t="shared" si="4"/>
        <v>0</v>
      </c>
    </row>
    <row r="22" spans="2:29" ht="21" customHeight="1" thickBot="1" x14ac:dyDescent="0.3">
      <c r="B22" s="16">
        <f t="shared" si="0"/>
        <v>13</v>
      </c>
      <c r="C22" s="106" t="s">
        <v>307</v>
      </c>
      <c r="D22" s="107" t="s">
        <v>308</v>
      </c>
      <c r="E22" s="599" t="str">
        <f t="shared" si="1"/>
        <v>RolfWærnes</v>
      </c>
      <c r="F22" s="192">
        <f>YEAR(I$5)-_xlfn.XLOOKUP(E22,Deltakerliste!E$5:E$98,Deltakerliste!I$5:I$98)</f>
        <v>75</v>
      </c>
      <c r="G22" s="192">
        <f>_xlfn.XLOOKUP(E22,Deltakerliste!E$5:E$98,Deltakerliste!H$5:H$98)</f>
        <v>2</v>
      </c>
      <c r="H22" s="592">
        <f>VLOOKUP(F22,Deltakerliste!P$6:T$84,G22,FALSE)</f>
        <v>1.605</v>
      </c>
      <c r="I22" s="18"/>
      <c r="J22" s="132">
        <v>2.2453703703703705E-2</v>
      </c>
      <c r="K22" s="18"/>
      <c r="L22" s="600">
        <f t="shared" si="2"/>
        <v>7.2431302270011952E-3</v>
      </c>
      <c r="M22" s="594">
        <f>IF(L22="Løype",Poengsammendrag!$F$2,IF(L22="Arr",Poengsammendrag!$F$3,IF(L22="Brutt",50,IF(L22="Disk",50,ROUND(MAXA(100*(MIN(L$10:L$94)/L22),50),0)))))</f>
        <v>84</v>
      </c>
      <c r="N22" s="724">
        <f t="shared" si="3"/>
        <v>4.5128537239882832E-3</v>
      </c>
      <c r="O22" s="596">
        <f>IF(N22="Løype",Poengsammendrag!$F$2,IF(N22="Arr",Poengsammendrag!$F$3,IF(N22="Brutt",50,IF(N22="Disk",50,ROUND(MAXA(100*(MIN(N$10:N$94)/N22),50),0)))))</f>
        <v>85</v>
      </c>
      <c r="Q22" s="672"/>
      <c r="R22" s="672"/>
      <c r="S22" s="803" t="s">
        <v>68</v>
      </c>
      <c r="T22" s="736">
        <v>7.845209339774558E-3</v>
      </c>
      <c r="U22" s="752">
        <v>77</v>
      </c>
      <c r="V22" s="781"/>
      <c r="W22" s="776" t="s">
        <v>307</v>
      </c>
      <c r="X22" s="740">
        <v>85</v>
      </c>
      <c r="AB22" s="828">
        <f t="shared" si="5"/>
        <v>67</v>
      </c>
      <c r="AC22" s="829">
        <f t="shared" si="4"/>
        <v>2</v>
      </c>
    </row>
    <row r="23" spans="2:29" ht="21" customHeight="1" thickBot="1" x14ac:dyDescent="0.3">
      <c r="B23" s="16">
        <f t="shared" si="0"/>
        <v>14</v>
      </c>
      <c r="C23" s="106" t="s">
        <v>168</v>
      </c>
      <c r="D23" s="107" t="s">
        <v>169</v>
      </c>
      <c r="E23" s="599" t="str">
        <f t="shared" si="1"/>
        <v>SteinØvstedal</v>
      </c>
      <c r="F23" s="192">
        <f>YEAR(I$5)-_xlfn.XLOOKUP(E23,Deltakerliste!E$5:E$98,Deltakerliste!I$5:I$98)</f>
        <v>75</v>
      </c>
      <c r="G23" s="192">
        <f>_xlfn.XLOOKUP(E23,Deltakerliste!E$5:E$98,Deltakerliste!H$5:H$98)</f>
        <v>2</v>
      </c>
      <c r="H23" s="592">
        <f>VLOOKUP(F23,Deltakerliste!P$6:T$84,G23,FALSE)</f>
        <v>1.605</v>
      </c>
      <c r="I23" s="132"/>
      <c r="J23" s="132">
        <v>2.3009259259259261E-2</v>
      </c>
      <c r="K23" s="18"/>
      <c r="L23" s="600">
        <f t="shared" si="2"/>
        <v>7.4223416965352451E-3</v>
      </c>
      <c r="M23" s="594">
        <f>IF(L23="Løype",Poengsammendrag!$F$2,IF(L23="Arr",Poengsammendrag!$F$3,IF(L23="Brutt",50,IF(L23="Disk",50,ROUND(MAXA(100*(MIN(L$10:L$94)/L23),50),0)))))</f>
        <v>82</v>
      </c>
      <c r="N23" s="724">
        <f t="shared" si="3"/>
        <v>4.6245119604580963E-3</v>
      </c>
      <c r="O23" s="596">
        <f>IF(N23="Løype",Poengsammendrag!$F$2,IF(N23="Arr",Poengsammendrag!$F$3,IF(N23="Brutt",50,IF(N23="Disk",50,ROUND(MAXA(100*(MIN(N$10:N$94)/N23),50),0)))))</f>
        <v>83</v>
      </c>
      <c r="Q23" s="672"/>
      <c r="R23" s="672"/>
      <c r="S23" s="803" t="s">
        <v>149</v>
      </c>
      <c r="T23" s="736">
        <v>7.9749103942652333E-3</v>
      </c>
      <c r="U23" s="752">
        <v>76</v>
      </c>
      <c r="V23" s="781"/>
      <c r="W23" s="776" t="s">
        <v>168</v>
      </c>
      <c r="X23" s="740">
        <v>83</v>
      </c>
      <c r="AB23" s="828">
        <f t="shared" si="5"/>
        <v>68</v>
      </c>
      <c r="AC23" s="829">
        <f t="shared" si="4"/>
        <v>0</v>
      </c>
    </row>
    <row r="24" spans="2:29" ht="21" thickBot="1" x14ac:dyDescent="0.3">
      <c r="B24" s="16">
        <f t="shared" si="0"/>
        <v>15</v>
      </c>
      <c r="C24" s="106" t="s">
        <v>80</v>
      </c>
      <c r="D24" s="107" t="s">
        <v>81</v>
      </c>
      <c r="E24" s="599" t="str">
        <f t="shared" si="1"/>
        <v>HalvorFlatberg</v>
      </c>
      <c r="F24" s="192">
        <f>YEAR(I$5)-_xlfn.XLOOKUP(E24,Deltakerliste!E$5:E$98,Deltakerliste!I$5:I$98)</f>
        <v>80</v>
      </c>
      <c r="G24" s="192">
        <f>_xlfn.XLOOKUP(E24,Deltakerliste!E$5:E$98,Deltakerliste!H$5:H$98)</f>
        <v>2</v>
      </c>
      <c r="H24" s="592">
        <f>VLOOKUP(F24,Deltakerliste!P$6:T$84,G24,FALSE)</f>
        <v>1.8550000000000002</v>
      </c>
      <c r="I24" s="86">
        <v>2.0208333333333332E-2</v>
      </c>
      <c r="J24" s="86"/>
      <c r="K24" s="13"/>
      <c r="L24" s="600">
        <f t="shared" si="2"/>
        <v>8.7862318840579712E-3</v>
      </c>
      <c r="M24" s="594">
        <f>IF(L24="Løype",Poengsammendrag!$F$2,IF(L24="Arr",Poengsammendrag!$F$3,IF(L24="Brutt",50,IF(L24="Disk",50,ROUND(MAXA(100*(MIN(L$10:L$94)/L24),50),0)))))</f>
        <v>69</v>
      </c>
      <c r="N24" s="724">
        <f t="shared" si="3"/>
        <v>4.7365131450447275E-3</v>
      </c>
      <c r="O24" s="596">
        <f>IF(N24="Løype",Poengsammendrag!$F$2,IF(N24="Arr",Poengsammendrag!$F$3,IF(N24="Brutt",50,IF(N24="Disk",50,ROUND(MAXA(100*(MIN(N$10:N$94)/N24),50),0)))))</f>
        <v>81</v>
      </c>
      <c r="Q24" s="672"/>
      <c r="R24" s="672"/>
      <c r="S24" s="803" t="s">
        <v>138</v>
      </c>
      <c r="T24" s="736">
        <v>8.0757168458781368E-3</v>
      </c>
      <c r="U24" s="752">
        <v>75</v>
      </c>
      <c r="V24" s="781"/>
      <c r="W24" s="776" t="s">
        <v>80</v>
      </c>
      <c r="X24" s="740">
        <v>81</v>
      </c>
      <c r="AB24" s="828">
        <f t="shared" si="5"/>
        <v>69</v>
      </c>
      <c r="AC24" s="829">
        <f t="shared" si="4"/>
        <v>0</v>
      </c>
    </row>
    <row r="25" spans="2:29" ht="21" thickBot="1" x14ac:dyDescent="0.3">
      <c r="B25" s="16">
        <f t="shared" si="0"/>
        <v>16</v>
      </c>
      <c r="C25" s="106" t="s">
        <v>78</v>
      </c>
      <c r="D25" s="107" t="s">
        <v>146</v>
      </c>
      <c r="E25" s="599" t="str">
        <f t="shared" si="1"/>
        <v>LeifRøhjell</v>
      </c>
      <c r="F25" s="192">
        <f>YEAR(I$5)-_xlfn.XLOOKUP(E25,Deltakerliste!E$5:E$98,Deltakerliste!I$5:I$98)</f>
        <v>82</v>
      </c>
      <c r="G25" s="192">
        <f>_xlfn.XLOOKUP(E25,Deltakerliste!E$5:E$98,Deltakerliste!H$5:H$98)</f>
        <v>2</v>
      </c>
      <c r="H25" s="592">
        <f>VLOOKUP(F25,Deltakerliste!P$6:T$84,G25,FALSE)</f>
        <v>2.0030000000000001</v>
      </c>
      <c r="I25" s="132">
        <v>2.2476851851851852E-2</v>
      </c>
      <c r="J25" s="18"/>
      <c r="K25" s="18"/>
      <c r="L25" s="600">
        <f t="shared" si="2"/>
        <v>9.772544283413849E-3</v>
      </c>
      <c r="M25" s="594">
        <f>IF(L25="Løype",Poengsammendrag!$F$2,IF(L25="Arr",Poengsammendrag!$F$3,IF(L25="Brutt",50,IF(L25="Disk",50,ROUND(MAXA(100*(MIN(L$10:L$94)/L25),50),0)))))</f>
        <v>62</v>
      </c>
      <c r="N25" s="724">
        <f t="shared" si="3"/>
        <v>4.8789537111402137E-3</v>
      </c>
      <c r="O25" s="596">
        <f>IF(N25="Løype",Poengsammendrag!$F$2,IF(N25="Arr",Poengsammendrag!$F$3,IF(N25="Brutt",50,IF(N25="Disk",50,ROUND(MAXA(100*(MIN(N$10:N$94)/N25),50),0)))))</f>
        <v>78</v>
      </c>
      <c r="Q25" s="672"/>
      <c r="R25" s="672"/>
      <c r="S25" s="803" t="s">
        <v>101</v>
      </c>
      <c r="T25" s="736">
        <v>8.2138590203106321E-3</v>
      </c>
      <c r="U25" s="752">
        <v>74</v>
      </c>
      <c r="V25" s="781"/>
      <c r="W25" s="776" t="s">
        <v>337</v>
      </c>
      <c r="X25" s="740">
        <v>78</v>
      </c>
      <c r="AB25" s="828">
        <f t="shared" si="5"/>
        <v>70</v>
      </c>
      <c r="AC25" s="829">
        <f t="shared" si="4"/>
        <v>1</v>
      </c>
    </row>
    <row r="26" spans="2:29" ht="21" customHeight="1" thickBot="1" x14ac:dyDescent="0.3">
      <c r="B26" s="16">
        <f t="shared" si="0"/>
        <v>17</v>
      </c>
      <c r="C26" s="106" t="s">
        <v>170</v>
      </c>
      <c r="D26" s="107" t="s">
        <v>171</v>
      </c>
      <c r="E26" s="599" t="str">
        <f t="shared" si="1"/>
        <v>ØisteinÅsmul</v>
      </c>
      <c r="F26" s="192">
        <f>YEAR(I$5)-_xlfn.XLOOKUP(E26,Deltakerliste!E$5:E$98,Deltakerliste!I$5:I$98)</f>
        <v>81</v>
      </c>
      <c r="G26" s="192">
        <f>_xlfn.XLOOKUP(E26,Deltakerliste!E$5:E$98,Deltakerliste!H$5:H$98)</f>
        <v>2</v>
      </c>
      <c r="H26" s="592">
        <f>VLOOKUP(F26,Deltakerliste!P$6:T$84,G26,FALSE)</f>
        <v>1.9290000000000003</v>
      </c>
      <c r="I26" s="132">
        <v>2.1851851851851851E-2</v>
      </c>
      <c r="J26" s="132"/>
      <c r="K26" s="18"/>
      <c r="L26" s="600">
        <f t="shared" si="2"/>
        <v>9.5008051529790662E-3</v>
      </c>
      <c r="M26" s="594">
        <f>IF(L26="Løype",Poengsammendrag!$F$2,IF(L26="Arr",Poengsammendrag!$F$3,IF(L26="Brutt",50,IF(L26="Disk",50,ROUND(MAXA(100*(MIN(L$10:L$94)/L26),50),0)))))</f>
        <v>64</v>
      </c>
      <c r="N26" s="724">
        <f t="shared" si="3"/>
        <v>4.9252489128973898E-3</v>
      </c>
      <c r="O26" s="596">
        <f>IF(N26="Løype",Poengsammendrag!$F$2,IF(N26="Arr",Poengsammendrag!$F$3,IF(N26="Brutt",50,IF(N26="Disk",50,ROUND(MAXA(100*(MIN(N$10:N$94)/N26),50),0)))))</f>
        <v>78</v>
      </c>
      <c r="Q26" s="672"/>
      <c r="R26" s="672"/>
      <c r="S26" s="803" t="s">
        <v>110</v>
      </c>
      <c r="T26" s="736">
        <v>8.5424133811230589E-3</v>
      </c>
      <c r="U26" s="752">
        <v>71</v>
      </c>
      <c r="V26" s="781"/>
      <c r="W26" s="776" t="s">
        <v>347</v>
      </c>
      <c r="X26" s="740">
        <v>78</v>
      </c>
      <c r="AB26" s="828">
        <f t="shared" si="5"/>
        <v>71</v>
      </c>
      <c r="AC26" s="829">
        <f t="shared" si="4"/>
        <v>1</v>
      </c>
    </row>
    <row r="27" spans="2:29" ht="21" thickBot="1" x14ac:dyDescent="0.3">
      <c r="B27" s="16">
        <f t="shared" si="0"/>
        <v>18</v>
      </c>
      <c r="C27" s="106" t="s">
        <v>163</v>
      </c>
      <c r="D27" s="107" t="s">
        <v>164</v>
      </c>
      <c r="E27" s="599" t="str">
        <f t="shared" si="1"/>
        <v>ArnulfVilmo</v>
      </c>
      <c r="F27" s="192">
        <f>YEAR(I$5)-_xlfn.XLOOKUP(E27,Deltakerliste!E$5:E$98,Deltakerliste!I$5:I$98)</f>
        <v>73</v>
      </c>
      <c r="G27" s="192">
        <f>_xlfn.XLOOKUP(E27,Deltakerliste!E$5:E$98,Deltakerliste!H$5:H$98)</f>
        <v>2</v>
      </c>
      <c r="H27" s="592">
        <f>VLOOKUP(F27,Deltakerliste!P$6:T$84,G27,FALSE)</f>
        <v>1.5329999999999999</v>
      </c>
      <c r="I27" s="132"/>
      <c r="J27" s="132">
        <v>2.357638888888889E-2</v>
      </c>
      <c r="K27" s="18"/>
      <c r="L27" s="600">
        <f t="shared" si="2"/>
        <v>7.6052867383512544E-3</v>
      </c>
      <c r="M27" s="594">
        <f>IF(L27="Løype",Poengsammendrag!$F$2,IF(L27="Arr",Poengsammendrag!$F$3,IF(L27="Brutt",50,IF(L27="Disk",50,ROUND(MAXA(100*(MIN(L$10:L$94)/L27),50),0)))))</f>
        <v>80</v>
      </c>
      <c r="N27" s="724">
        <f t="shared" si="3"/>
        <v>4.9610481006857497E-3</v>
      </c>
      <c r="O27" s="596">
        <f>IF(N27="Løype",Poengsammendrag!$F$2,IF(N27="Arr",Poengsammendrag!$F$3,IF(N27="Brutt",50,IF(N27="Disk",50,ROUND(MAXA(100*(MIN(N$10:N$94)/N27),50),0)))))</f>
        <v>77</v>
      </c>
      <c r="Q27" s="672"/>
      <c r="R27" s="672"/>
      <c r="S27" s="803" t="s">
        <v>80</v>
      </c>
      <c r="T27" s="736">
        <v>8.7862318840579712E-3</v>
      </c>
      <c r="U27" s="752">
        <v>69</v>
      </c>
      <c r="V27" s="781"/>
      <c r="W27" s="776" t="s">
        <v>163</v>
      </c>
      <c r="X27" s="740">
        <v>77</v>
      </c>
      <c r="AB27" s="828">
        <f t="shared" si="5"/>
        <v>72</v>
      </c>
      <c r="AC27" s="829">
        <f t="shared" si="4"/>
        <v>2</v>
      </c>
    </row>
    <row r="28" spans="2:29" ht="21" customHeight="1" thickBot="1" x14ac:dyDescent="0.3">
      <c r="B28" s="16">
        <f t="shared" si="0"/>
        <v>19</v>
      </c>
      <c r="C28" s="106" t="s">
        <v>126</v>
      </c>
      <c r="D28" s="107" t="s">
        <v>383</v>
      </c>
      <c r="E28" s="599" t="str">
        <f t="shared" si="1"/>
        <v>ArneHelland</v>
      </c>
      <c r="F28" s="192">
        <f>YEAR(I$5)-_xlfn.XLOOKUP(E28,Deltakerliste!E$5:E$98,Deltakerliste!I$5:I$98)</f>
        <v>61</v>
      </c>
      <c r="G28" s="192">
        <f>_xlfn.XLOOKUP(E28,Deltakerliste!E$5:E$98,Deltakerliste!H$5:H$98)</f>
        <v>2</v>
      </c>
      <c r="H28" s="592">
        <f>VLOOKUP(F28,Deltakerliste!P$6:T$84,G28,FALSE)</f>
        <v>1.2190000000000001</v>
      </c>
      <c r="I28" s="86"/>
      <c r="J28" s="86">
        <v>1.8831018518518518E-2</v>
      </c>
      <c r="K28" s="17"/>
      <c r="L28" s="600">
        <f t="shared" si="2"/>
        <v>6.0745221027479089E-3</v>
      </c>
      <c r="M28" s="594">
        <f>IF(L28="Løype",Poengsammendrag!$F$2,IF(L28="Arr",Poengsammendrag!$F$3,IF(L28="Brutt",50,IF(L28="Disk",50,ROUND(MAXA(100*(MIN(L$10:L$94)/L28),50),0)))))</f>
        <v>100</v>
      </c>
      <c r="N28" s="724">
        <f t="shared" si="3"/>
        <v>4.9832010687021399E-3</v>
      </c>
      <c r="O28" s="596">
        <f>IF(N28="Løype",Poengsammendrag!$F$2,IF(N28="Arr",Poengsammendrag!$F$3,IF(N28="Brutt",50,IF(N28="Disk",50,ROUND(MAXA(100*(MIN(N$10:N$94)/N28),50),0)))))</f>
        <v>77</v>
      </c>
      <c r="Q28" s="672"/>
      <c r="R28" s="672"/>
      <c r="S28" s="803" t="s">
        <v>357</v>
      </c>
      <c r="T28" s="736">
        <v>8.8264895330112739E-3</v>
      </c>
      <c r="U28" s="752">
        <v>69</v>
      </c>
      <c r="V28" s="781"/>
      <c r="W28" s="776" t="s">
        <v>385</v>
      </c>
      <c r="X28" s="740">
        <v>77</v>
      </c>
      <c r="AB28" s="828">
        <f t="shared" si="5"/>
        <v>73</v>
      </c>
      <c r="AC28" s="829">
        <f t="shared" si="4"/>
        <v>4</v>
      </c>
    </row>
    <row r="29" spans="2:29" ht="21" thickBot="1" x14ac:dyDescent="0.3">
      <c r="B29" s="16">
        <f t="shared" si="0"/>
        <v>20</v>
      </c>
      <c r="C29" s="106" t="s">
        <v>68</v>
      </c>
      <c r="D29" s="107" t="s">
        <v>69</v>
      </c>
      <c r="E29" s="599" t="str">
        <f t="shared" si="1"/>
        <v>JanBøhle</v>
      </c>
      <c r="F29" s="192">
        <f>YEAR(I$5)-_xlfn.XLOOKUP(E29,Deltakerliste!E$5:E$98,Deltakerliste!I$5:I$98)</f>
        <v>74</v>
      </c>
      <c r="G29" s="192">
        <f>_xlfn.XLOOKUP(E29,Deltakerliste!E$5:E$98,Deltakerliste!H$5:H$98)</f>
        <v>2</v>
      </c>
      <c r="H29" s="592">
        <f>VLOOKUP(F29,Deltakerliste!P$6:T$84,G29,FALSE)</f>
        <v>1.569</v>
      </c>
      <c r="I29" s="86">
        <v>1.804398148148148E-2</v>
      </c>
      <c r="J29" s="86"/>
      <c r="K29" s="13"/>
      <c r="L29" s="600">
        <f t="shared" si="2"/>
        <v>7.845209339774558E-3</v>
      </c>
      <c r="M29" s="594">
        <f>IF(L29="Løype",Poengsammendrag!$F$2,IF(L29="Arr",Poengsammendrag!$F$3,IF(L29="Brutt",50,IF(L29="Disk",50,ROUND(MAXA(100*(MIN(L$10:L$94)/L29),50),0)))))</f>
        <v>77</v>
      </c>
      <c r="N29" s="724">
        <f t="shared" si="3"/>
        <v>5.0001334224184565E-3</v>
      </c>
      <c r="O29" s="596">
        <f>IF(N29="Løype",Poengsammendrag!$F$2,IF(N29="Arr",Poengsammendrag!$F$3,IF(N29="Brutt",50,IF(N29="Disk",50,ROUND(MAXA(100*(MIN(N$10:N$94)/N29),50),0)))))</f>
        <v>76</v>
      </c>
      <c r="Q29" s="672"/>
      <c r="R29" s="672"/>
      <c r="S29" s="803" t="s">
        <v>124</v>
      </c>
      <c r="T29" s="736">
        <v>8.977455716586152E-3</v>
      </c>
      <c r="U29" s="752">
        <v>68</v>
      </c>
      <c r="V29" s="781"/>
      <c r="W29" s="776" t="s">
        <v>68</v>
      </c>
      <c r="X29" s="740">
        <v>76</v>
      </c>
      <c r="AB29" s="828">
        <f t="shared" si="5"/>
        <v>74</v>
      </c>
      <c r="AC29" s="829">
        <f t="shared" si="4"/>
        <v>2</v>
      </c>
    </row>
    <row r="30" spans="2:29" ht="21" thickBot="1" x14ac:dyDescent="0.3">
      <c r="B30" s="16">
        <f t="shared" si="0"/>
        <v>21</v>
      </c>
      <c r="C30" s="106" t="s">
        <v>122</v>
      </c>
      <c r="D30" s="107" t="s">
        <v>123</v>
      </c>
      <c r="E30" s="599" t="str">
        <f t="shared" si="1"/>
        <v>MartinMelhuus</v>
      </c>
      <c r="F30" s="192">
        <f>YEAR(I$5)-_xlfn.XLOOKUP(E30,Deltakerliste!E$5:E$98,Deltakerliste!I$5:I$98)</f>
        <v>82</v>
      </c>
      <c r="G30" s="192">
        <f>_xlfn.XLOOKUP(E30,Deltakerliste!E$5:E$98,Deltakerliste!H$5:H$98)</f>
        <v>2</v>
      </c>
      <c r="H30" s="592">
        <f>VLOOKUP(F30,Deltakerliste!P$6:T$84,G30,FALSE)</f>
        <v>2.0030000000000001</v>
      </c>
      <c r="I30" s="13">
        <v>2.3831018518518519E-2</v>
      </c>
      <c r="J30" s="13"/>
      <c r="K30" s="13"/>
      <c r="L30" s="600">
        <f t="shared" si="2"/>
        <v>1.0361312399355879E-2</v>
      </c>
      <c r="M30" s="594">
        <f>IF(L30="Løype",Poengsammendrag!$F$2,IF(L30="Arr",Poengsammendrag!$F$3,IF(L30="Brutt",50,IF(L30="Disk",50,ROUND(MAXA(100*(MIN(L$10:L$94)/L30),50),0)))))</f>
        <v>59</v>
      </c>
      <c r="N30" s="724">
        <f t="shared" si="3"/>
        <v>5.1728968543963451E-3</v>
      </c>
      <c r="O30" s="596">
        <f>IF(N30="Løype",Poengsammendrag!$F$2,IF(N30="Arr",Poengsammendrag!$F$3,IF(N30="Brutt",50,IF(N30="Disk",50,ROUND(MAXA(100*(MIN(N$10:N$94)/N30),50),0)))))</f>
        <v>74</v>
      </c>
      <c r="Q30" s="672"/>
      <c r="R30" s="672"/>
      <c r="S30" s="803" t="s">
        <v>338</v>
      </c>
      <c r="T30" s="736">
        <v>9.3095813204508871E-3</v>
      </c>
      <c r="U30" s="752">
        <v>65</v>
      </c>
      <c r="V30" s="781"/>
      <c r="W30" s="776" t="s">
        <v>122</v>
      </c>
      <c r="X30" s="740">
        <v>74</v>
      </c>
      <c r="AB30" s="828">
        <f t="shared" si="5"/>
        <v>75</v>
      </c>
      <c r="AC30" s="829">
        <f t="shared" si="4"/>
        <v>4</v>
      </c>
    </row>
    <row r="31" spans="2:29" ht="21" customHeight="1" thickBot="1" x14ac:dyDescent="0.3">
      <c r="B31" s="16">
        <f t="shared" si="0"/>
        <v>22</v>
      </c>
      <c r="C31" s="106" t="s">
        <v>265</v>
      </c>
      <c r="D31" s="107" t="s">
        <v>266</v>
      </c>
      <c r="E31" s="599" t="str">
        <f t="shared" si="1"/>
        <v>ØysteinWiggen</v>
      </c>
      <c r="F31" s="192">
        <f>YEAR(I$5)-_xlfn.XLOOKUP(E31,Deltakerliste!E$5:E$98,Deltakerliste!I$5:I$98)</f>
        <v>60</v>
      </c>
      <c r="G31" s="192">
        <f>_xlfn.XLOOKUP(E31,Deltakerliste!E$5:E$98,Deltakerliste!H$5:H$98)</f>
        <v>2</v>
      </c>
      <c r="H31" s="592">
        <f>VLOOKUP(F31,Deltakerliste!P$6:T$84,G31,FALSE)</f>
        <v>1.2000000000000002</v>
      </c>
      <c r="I31" s="134"/>
      <c r="J31" s="132">
        <v>1.9340277777777779E-2</v>
      </c>
      <c r="K31" s="18"/>
      <c r="L31" s="600">
        <f t="shared" si="2"/>
        <v>6.2387992831541223E-3</v>
      </c>
      <c r="M31" s="594">
        <f>IF(L31="Løype",Poengsammendrag!$F$2,IF(L31="Arr",Poengsammendrag!$F$3,IF(L31="Brutt",50,IF(L31="Disk",50,ROUND(MAXA(100*(MIN(L$10:L$94)/L31),50),0)))))</f>
        <v>97</v>
      </c>
      <c r="N31" s="724">
        <f t="shared" si="3"/>
        <v>5.1989994026284342E-3</v>
      </c>
      <c r="O31" s="596">
        <f>IF(N31="Løype",Poengsammendrag!$F$2,IF(N31="Arr",Poengsammendrag!$F$3,IF(N31="Brutt",50,IF(N31="Disk",50,ROUND(MAXA(100*(MIN(N$10:N$94)/N31),50),0)))))</f>
        <v>74</v>
      </c>
      <c r="Q31" s="672"/>
      <c r="R31" s="672"/>
      <c r="S31" s="803" t="s">
        <v>347</v>
      </c>
      <c r="T31" s="736">
        <v>9.5008051529790662E-3</v>
      </c>
      <c r="U31" s="752">
        <v>64</v>
      </c>
      <c r="V31" s="781"/>
      <c r="W31" s="776" t="s">
        <v>368</v>
      </c>
      <c r="X31" s="740">
        <v>74</v>
      </c>
      <c r="AB31" s="828">
        <f t="shared" si="5"/>
        <v>76</v>
      </c>
      <c r="AC31" s="829">
        <f t="shared" si="4"/>
        <v>1</v>
      </c>
    </row>
    <row r="32" spans="2:29" ht="21" customHeight="1" thickBot="1" x14ac:dyDescent="0.3">
      <c r="B32" s="16">
        <f t="shared" si="0"/>
        <v>23</v>
      </c>
      <c r="C32" s="106" t="s">
        <v>142</v>
      </c>
      <c r="D32" s="107" t="s">
        <v>143</v>
      </c>
      <c r="E32" s="599" t="str">
        <f t="shared" si="1"/>
        <v>EgilRepvik</v>
      </c>
      <c r="F32" s="192">
        <f>YEAR(I$5)-_xlfn.XLOOKUP(E32,Deltakerliste!E$5:E$98,Deltakerliste!I$5:I$98)</f>
        <v>80</v>
      </c>
      <c r="G32" s="192">
        <f>_xlfn.XLOOKUP(E32,Deltakerliste!E$5:E$98,Deltakerliste!H$5:H$98)</f>
        <v>2</v>
      </c>
      <c r="H32" s="592">
        <f>VLOOKUP(F32,Deltakerliste!P$6:T$84,G32,FALSE)</f>
        <v>1.8550000000000002</v>
      </c>
      <c r="I32" s="132">
        <v>2.2766203703703705E-2</v>
      </c>
      <c r="J32" s="18"/>
      <c r="K32" s="18"/>
      <c r="L32" s="600">
        <f t="shared" si="2"/>
        <v>9.8983494363929156E-3</v>
      </c>
      <c r="M32" s="594">
        <f>IF(L32="Løype",Poengsammendrag!$F$2,IF(L32="Arr",Poengsammendrag!$F$3,IF(L32="Brutt",50,IF(L32="Disk",50,ROUND(MAXA(100*(MIN(L$10:L$94)/L32),50),0)))))</f>
        <v>61</v>
      </c>
      <c r="N32" s="724">
        <f t="shared" si="3"/>
        <v>5.3360374320177437E-3</v>
      </c>
      <c r="O32" s="596">
        <f>IF(N32="Løype",Poengsammendrag!$F$2,IF(N32="Arr",Poengsammendrag!$F$3,IF(N32="Brutt",50,IF(N32="Disk",50,ROUND(MAXA(100*(MIN(N$10:N$94)/N32),50),0)))))</f>
        <v>72</v>
      </c>
      <c r="S32" s="803" t="s">
        <v>90</v>
      </c>
      <c r="T32" s="736">
        <v>9.7121578099838967E-3</v>
      </c>
      <c r="U32" s="752">
        <v>63</v>
      </c>
      <c r="V32" s="781"/>
      <c r="W32" s="776" t="s">
        <v>356</v>
      </c>
      <c r="X32" s="740">
        <v>72</v>
      </c>
      <c r="AB32" s="828">
        <f t="shared" si="5"/>
        <v>77</v>
      </c>
      <c r="AC32" s="829">
        <f t="shared" si="4"/>
        <v>2</v>
      </c>
    </row>
    <row r="33" spans="2:29" ht="21" customHeight="1" thickBot="1" x14ac:dyDescent="0.3">
      <c r="B33" s="16">
        <f t="shared" si="0"/>
        <v>24</v>
      </c>
      <c r="C33" s="106" t="s">
        <v>248</v>
      </c>
      <c r="D33" s="107" t="s">
        <v>249</v>
      </c>
      <c r="E33" s="599" t="str">
        <f t="shared" si="1"/>
        <v>ErikLund</v>
      </c>
      <c r="F33" s="192">
        <f>YEAR(I$5)-_xlfn.XLOOKUP(E33,Deltakerliste!E$5:E$98,Deltakerliste!I$5:I$98)</f>
        <v>79</v>
      </c>
      <c r="G33" s="192">
        <f>_xlfn.XLOOKUP(E33,Deltakerliste!E$5:E$98,Deltakerliste!H$5:H$98)</f>
        <v>2</v>
      </c>
      <c r="H33" s="592">
        <f>VLOOKUP(F33,Deltakerliste!P$6:T$84,G33,FALSE)</f>
        <v>1.8050000000000002</v>
      </c>
      <c r="I33" s="13">
        <v>2.2708333333333334E-2</v>
      </c>
      <c r="J33" s="13"/>
      <c r="K33" s="17"/>
      <c r="L33" s="600">
        <f t="shared" si="2"/>
        <v>9.8731884057971023E-3</v>
      </c>
      <c r="M33" s="594">
        <f>IF(L33="Løype",Poengsammendrag!$F$2,IF(L33="Arr",Poengsammendrag!$F$3,IF(L33="Brutt",50,IF(L33="Disk",50,ROUND(MAXA(100*(MIN(L$10:L$94)/L33),50),0)))))</f>
        <v>62</v>
      </c>
      <c r="N33" s="724">
        <f t="shared" si="3"/>
        <v>5.4699104741258182E-3</v>
      </c>
      <c r="O33" s="596">
        <f>IF(N33="Løype",Poengsammendrag!$F$2,IF(N33="Arr",Poengsammendrag!$F$3,IF(N33="Brutt",50,IF(N33="Disk",50,ROUND(MAXA(100*(MIN(N$10:N$94)/N33),50),0)))))</f>
        <v>70</v>
      </c>
      <c r="S33" s="803" t="s">
        <v>337</v>
      </c>
      <c r="T33" s="736">
        <v>9.772544283413849E-3</v>
      </c>
      <c r="U33" s="752">
        <v>62</v>
      </c>
      <c r="V33" s="781"/>
      <c r="W33" s="776" t="s">
        <v>248</v>
      </c>
      <c r="X33" s="740">
        <v>70</v>
      </c>
      <c r="AB33" s="828">
        <f t="shared" si="5"/>
        <v>78</v>
      </c>
      <c r="AC33" s="829">
        <f t="shared" si="4"/>
        <v>3</v>
      </c>
    </row>
    <row r="34" spans="2:29" ht="21" customHeight="1" thickBot="1" x14ac:dyDescent="0.3">
      <c r="B34" s="16">
        <f t="shared" si="0"/>
        <v>25</v>
      </c>
      <c r="C34" s="106" t="s">
        <v>101</v>
      </c>
      <c r="D34" s="107" t="s">
        <v>102</v>
      </c>
      <c r="E34" s="599" t="str">
        <f t="shared" si="1"/>
        <v>EvenHofstad</v>
      </c>
      <c r="F34" s="192">
        <f>YEAR(I$5)-_xlfn.XLOOKUP(E34,Deltakerliste!E$5:E$98,Deltakerliste!I$5:I$98)</f>
        <v>72</v>
      </c>
      <c r="G34" s="192">
        <f>_xlfn.XLOOKUP(E34,Deltakerliste!E$5:E$98,Deltakerliste!H$5:H$98)</f>
        <v>2</v>
      </c>
      <c r="H34" s="592">
        <f>VLOOKUP(F34,Deltakerliste!P$6:T$84,G34,FALSE)</f>
        <v>1.4969999999999999</v>
      </c>
      <c r="I34" s="86"/>
      <c r="J34" s="86">
        <v>2.5462962962962962E-2</v>
      </c>
      <c r="K34" s="13"/>
      <c r="L34" s="600">
        <f t="shared" si="2"/>
        <v>8.2138590203106321E-3</v>
      </c>
      <c r="M34" s="594">
        <f>IF(L34="Løype",Poengsammendrag!$F$2,IF(L34="Arr",Poengsammendrag!$F$3,IF(L34="Brutt",50,IF(L34="Disk",50,ROUND(MAXA(100*(MIN(L$10:L$94)/L34),50),0)))))</f>
        <v>74</v>
      </c>
      <c r="N34" s="724">
        <f t="shared" si="3"/>
        <v>5.4868797730865948E-3</v>
      </c>
      <c r="O34" s="596">
        <f>IF(N34="Løype",Poengsammendrag!$F$2,IF(N34="Arr",Poengsammendrag!$F$3,IF(N34="Brutt",50,IF(N34="Disk",50,ROUND(MAXA(100*(MIN(N$10:N$94)/N34),50),0)))))</f>
        <v>70</v>
      </c>
      <c r="S34" s="803" t="s">
        <v>248</v>
      </c>
      <c r="T34" s="736">
        <v>9.8731884057971023E-3</v>
      </c>
      <c r="U34" s="752">
        <v>62</v>
      </c>
      <c r="V34" s="781"/>
      <c r="W34" s="776" t="s">
        <v>101</v>
      </c>
      <c r="X34" s="740">
        <v>70</v>
      </c>
      <c r="AB34" s="828">
        <f t="shared" si="5"/>
        <v>79</v>
      </c>
      <c r="AC34" s="829">
        <f t="shared" si="4"/>
        <v>3</v>
      </c>
    </row>
    <row r="35" spans="2:29" ht="21" customHeight="1" thickBot="1" x14ac:dyDescent="0.3">
      <c r="B35" s="16">
        <f t="shared" si="0"/>
        <v>26</v>
      </c>
      <c r="C35" s="106" t="s">
        <v>63</v>
      </c>
      <c r="D35" s="107" t="s">
        <v>336</v>
      </c>
      <c r="E35" s="599" t="str">
        <f t="shared" si="1"/>
        <v>ToreFornes</v>
      </c>
      <c r="F35" s="192">
        <f>YEAR(I$5)-_xlfn.XLOOKUP(E35,Deltakerliste!E$5:E$98,Deltakerliste!I$5:I$98)</f>
        <v>67</v>
      </c>
      <c r="G35" s="192">
        <f>_xlfn.XLOOKUP(E35,Deltakerliste!E$5:E$98,Deltakerliste!H$5:H$98)</f>
        <v>2</v>
      </c>
      <c r="H35" s="592">
        <f>VLOOKUP(F35,Deltakerliste!P$6:T$84,G35,FALSE)</f>
        <v>1.3469999999999998</v>
      </c>
      <c r="I35" s="86"/>
      <c r="J35" s="86">
        <v>2.3379629629629629E-2</v>
      </c>
      <c r="K35" s="13"/>
      <c r="L35" s="600">
        <f t="shared" si="2"/>
        <v>7.5418160095579445E-3</v>
      </c>
      <c r="M35" s="594">
        <f>IF(L35="Løype",Poengsammendrag!$F$2,IF(L35="Arr",Poengsammendrag!$F$3,IF(L35="Brutt",50,IF(L35="Disk",50,ROUND(MAXA(100*(MIN(L$10:L$94)/L35),50),0)))))</f>
        <v>81</v>
      </c>
      <c r="N35" s="724">
        <f t="shared" si="3"/>
        <v>5.5989725386473245E-3</v>
      </c>
      <c r="O35" s="596">
        <f>IF(N35="Løype",Poengsammendrag!$F$2,IF(N35="Arr",Poengsammendrag!$F$3,IF(N35="Brutt",50,IF(N35="Disk",50,ROUND(MAXA(100*(MIN(N$10:N$94)/N35),50),0)))))</f>
        <v>68</v>
      </c>
      <c r="S35" s="803" t="s">
        <v>356</v>
      </c>
      <c r="T35" s="736">
        <v>9.8983494363929156E-3</v>
      </c>
      <c r="U35" s="752">
        <v>61</v>
      </c>
      <c r="V35" s="781"/>
      <c r="W35" s="776" t="s">
        <v>346</v>
      </c>
      <c r="X35" s="740">
        <v>68</v>
      </c>
      <c r="AB35" s="828">
        <f t="shared" si="5"/>
        <v>80</v>
      </c>
      <c r="AC35" s="829">
        <f t="shared" si="4"/>
        <v>2</v>
      </c>
    </row>
    <row r="36" spans="2:29" ht="21" thickBot="1" x14ac:dyDescent="0.3">
      <c r="B36" s="16">
        <f t="shared" si="0"/>
        <v>27</v>
      </c>
      <c r="C36" s="106" t="s">
        <v>298</v>
      </c>
      <c r="D36" s="107" t="s">
        <v>405</v>
      </c>
      <c r="E36" s="599" t="str">
        <f t="shared" si="1"/>
        <v>ØyvindRogndalen</v>
      </c>
      <c r="F36" s="192">
        <f>YEAR(I$5)-_xlfn.XLOOKUP(E36,Deltakerliste!E$5:E$98,Deltakerliste!I$5:I$98)</f>
        <v>81</v>
      </c>
      <c r="G36" s="192">
        <f>_xlfn.XLOOKUP(E36,Deltakerliste!E$5:E$98,Deltakerliste!H$5:H$98)</f>
        <v>2</v>
      </c>
      <c r="H36" s="592">
        <f>VLOOKUP(F36,Deltakerliste!P$6:T$84,G36,FALSE)</f>
        <v>1.9290000000000003</v>
      </c>
      <c r="I36" s="103">
        <v>2.4907407407407406E-2</v>
      </c>
      <c r="J36" s="18"/>
      <c r="K36" s="18"/>
      <c r="L36" s="600">
        <f t="shared" si="2"/>
        <v>1.0829307568438003E-2</v>
      </c>
      <c r="M36" s="594">
        <f>IF(L36="Løype",Poengsammendrag!$F$2,IF(L36="Arr",Poengsammendrag!$F$3,IF(L36="Brutt",50,IF(L36="Disk",50,ROUND(MAXA(100*(MIN(L$10:L$94)/L36),50),0)))))</f>
        <v>56</v>
      </c>
      <c r="N36" s="724">
        <f t="shared" si="3"/>
        <v>5.6139489727516853E-3</v>
      </c>
      <c r="O36" s="596">
        <f>IF(N36="Løype",Poengsammendrag!$F$2,IF(N36="Arr",Poengsammendrag!$F$3,IF(N36="Brutt",50,IF(N36="Disk",50,ROUND(MAXA(100*(MIN(N$10:N$94)/N36),50),0)))))</f>
        <v>68</v>
      </c>
      <c r="S36" s="803" t="s">
        <v>96</v>
      </c>
      <c r="T36" s="736">
        <v>1.0361312399355879E-2</v>
      </c>
      <c r="U36" s="752">
        <v>59</v>
      </c>
      <c r="V36" s="781"/>
      <c r="W36" s="776" t="s">
        <v>406</v>
      </c>
      <c r="X36" s="740">
        <v>68</v>
      </c>
      <c r="AB36" s="828">
        <f t="shared" si="5"/>
        <v>81</v>
      </c>
      <c r="AC36" s="829">
        <f t="shared" si="4"/>
        <v>3</v>
      </c>
    </row>
    <row r="37" spans="2:29" ht="21" customHeight="1" thickBot="1" x14ac:dyDescent="0.3">
      <c r="B37" s="16">
        <f t="shared" si="0"/>
        <v>28</v>
      </c>
      <c r="C37" s="106" t="s">
        <v>110</v>
      </c>
      <c r="D37" s="107" t="s">
        <v>111</v>
      </c>
      <c r="E37" s="599" t="str">
        <f t="shared" si="1"/>
        <v>Jan ErikKofoed</v>
      </c>
      <c r="F37" s="192">
        <f>YEAR(I$5)-_xlfn.XLOOKUP(E37,Deltakerliste!E$5:E$98,Deltakerliste!I$5:I$98)</f>
        <v>72</v>
      </c>
      <c r="G37" s="192">
        <f>_xlfn.XLOOKUP(E37,Deltakerliste!E$5:E$98,Deltakerliste!H$5:H$98)</f>
        <v>2</v>
      </c>
      <c r="H37" s="592">
        <f>VLOOKUP(F37,Deltakerliste!P$6:T$84,G37,FALSE)</f>
        <v>1.4969999999999999</v>
      </c>
      <c r="I37" s="86"/>
      <c r="J37" s="86">
        <v>2.6481481481481481E-2</v>
      </c>
      <c r="K37" s="13"/>
      <c r="L37" s="600">
        <f t="shared" si="2"/>
        <v>8.5424133811230589E-3</v>
      </c>
      <c r="M37" s="594">
        <f>IF(L37="Løype",Poengsammendrag!$F$2,IF(L37="Arr",Poengsammendrag!$F$3,IF(L37="Brutt",50,IF(L37="Disk",50,ROUND(MAXA(100*(MIN(L$10:L$94)/L37),50),0)))))</f>
        <v>71</v>
      </c>
      <c r="N37" s="724">
        <f t="shared" si="3"/>
        <v>5.7063549640100596E-3</v>
      </c>
      <c r="O37" s="596">
        <f>IF(N37="Løype",Poengsammendrag!$F$2,IF(N37="Arr",Poengsammendrag!$F$3,IF(N37="Brutt",50,IF(N37="Disk",50,ROUND(MAXA(100*(MIN(N$10:N$94)/N37),50),0)))))</f>
        <v>67</v>
      </c>
      <c r="S37" s="803" t="s">
        <v>122</v>
      </c>
      <c r="T37" s="736">
        <v>1.0361312399355879E-2</v>
      </c>
      <c r="U37" s="752">
        <v>59</v>
      </c>
      <c r="V37" s="781"/>
      <c r="W37" s="776" t="s">
        <v>110</v>
      </c>
      <c r="X37" s="740">
        <v>67</v>
      </c>
      <c r="AB37" s="828">
        <f t="shared" si="5"/>
        <v>82</v>
      </c>
      <c r="AC37" s="829">
        <f t="shared" si="4"/>
        <v>2</v>
      </c>
    </row>
    <row r="38" spans="2:29" ht="21" customHeight="1" thickBot="1" x14ac:dyDescent="0.3">
      <c r="B38" s="16">
        <f t="shared" si="0"/>
        <v>29</v>
      </c>
      <c r="C38" s="106" t="s">
        <v>90</v>
      </c>
      <c r="D38" s="107" t="s">
        <v>91</v>
      </c>
      <c r="E38" s="599" t="str">
        <f t="shared" si="1"/>
        <v>TorGjermstad</v>
      </c>
      <c r="F38" s="192">
        <f>YEAR(I$5)-_xlfn.XLOOKUP(E38,Deltakerliste!E$5:E$98,Deltakerliste!I$5:I$98)</f>
        <v>76</v>
      </c>
      <c r="G38" s="192">
        <f>_xlfn.XLOOKUP(E38,Deltakerliste!E$5:E$98,Deltakerliste!H$5:H$98)</f>
        <v>2</v>
      </c>
      <c r="H38" s="592">
        <f>VLOOKUP(F38,Deltakerliste!P$6:T$84,G38,FALSE)</f>
        <v>1.655</v>
      </c>
      <c r="I38" s="86">
        <v>2.2337962962962962E-2</v>
      </c>
      <c r="J38" s="86"/>
      <c r="K38" s="13"/>
      <c r="L38" s="600">
        <f t="shared" si="2"/>
        <v>9.7121578099838967E-3</v>
      </c>
      <c r="M38" s="594">
        <f>IF(L38="Løype",Poengsammendrag!$F$2,IF(L38="Arr",Poengsammendrag!$F$3,IF(L38="Brutt",50,IF(L38="Disk",50,ROUND(MAXA(100*(MIN(L$10:L$94)/L38),50),0)))))</f>
        <v>63</v>
      </c>
      <c r="N38" s="724">
        <f t="shared" si="3"/>
        <v>5.8683732990839257E-3</v>
      </c>
      <c r="O38" s="596">
        <f>IF(N38="Løype",Poengsammendrag!$F$2,IF(N38="Arr",Poengsammendrag!$F$3,IF(N38="Brutt",50,IF(N38="Disk",50,ROUND(MAXA(100*(MIN(N$10:N$94)/N38),50),0)))))</f>
        <v>65</v>
      </c>
      <c r="S38" s="803" t="s">
        <v>94</v>
      </c>
      <c r="T38" s="736">
        <v>1.0461956521739131E-2</v>
      </c>
      <c r="U38" s="752">
        <v>58</v>
      </c>
      <c r="V38" s="781"/>
      <c r="W38" s="776" t="s">
        <v>90</v>
      </c>
      <c r="X38" s="740">
        <v>65</v>
      </c>
      <c r="AB38" s="828">
        <f t="shared" si="5"/>
        <v>83</v>
      </c>
      <c r="AC38" s="829">
        <f t="shared" si="4"/>
        <v>0</v>
      </c>
    </row>
    <row r="39" spans="2:29" ht="21" customHeight="1" thickBot="1" x14ac:dyDescent="0.3">
      <c r="B39" s="16">
        <f t="shared" si="0"/>
        <v>30</v>
      </c>
      <c r="C39" s="106" t="s">
        <v>94</v>
      </c>
      <c r="D39" s="107" t="s">
        <v>95</v>
      </c>
      <c r="E39" s="599" t="str">
        <f t="shared" si="1"/>
        <v>TerjeHanssen</v>
      </c>
      <c r="F39" s="192">
        <f>YEAR(I$5)-_xlfn.XLOOKUP(E39,Deltakerliste!E$5:E$98,Deltakerliste!I$5:I$98)</f>
        <v>78</v>
      </c>
      <c r="G39" s="192">
        <f>_xlfn.XLOOKUP(E39,Deltakerliste!E$5:E$98,Deltakerliste!H$5:H$98)</f>
        <v>2</v>
      </c>
      <c r="H39" s="592">
        <f>VLOOKUP(F39,Deltakerliste!P$6:T$84,G39,FALSE)</f>
        <v>1.7550000000000001</v>
      </c>
      <c r="I39" s="86">
        <v>2.4062500000000001E-2</v>
      </c>
      <c r="J39" s="86"/>
      <c r="K39" s="17"/>
      <c r="L39" s="600">
        <f t="shared" si="2"/>
        <v>1.0461956521739131E-2</v>
      </c>
      <c r="M39" s="594">
        <f>IF(L39="Løype",Poengsammendrag!$F$2,IF(L39="Arr",Poengsammendrag!$F$3,IF(L39="Brutt",50,IF(L39="Disk",50,ROUND(MAXA(100*(MIN(L$10:L$94)/L39),50),0)))))</f>
        <v>58</v>
      </c>
      <c r="N39" s="724">
        <f t="shared" si="3"/>
        <v>5.9612287873157437E-3</v>
      </c>
      <c r="O39" s="596">
        <f>IF(N39="Løype",Poengsammendrag!$F$2,IF(N39="Arr",Poengsammendrag!$F$3,IF(N39="Brutt",50,IF(N39="Disk",50,ROUND(MAXA(100*(MIN(N$10:N$94)/N39),50),0)))))</f>
        <v>64</v>
      </c>
      <c r="S39" s="803" t="s">
        <v>373</v>
      </c>
      <c r="T39" s="736">
        <v>1.0542471819645733E-2</v>
      </c>
      <c r="U39" s="752">
        <v>58</v>
      </c>
      <c r="V39" s="781"/>
      <c r="W39" s="776" t="s">
        <v>94</v>
      </c>
      <c r="X39" s="740">
        <v>64</v>
      </c>
      <c r="AB39" s="828">
        <f t="shared" si="5"/>
        <v>84</v>
      </c>
      <c r="AC39" s="829">
        <f t="shared" si="4"/>
        <v>0</v>
      </c>
    </row>
    <row r="40" spans="2:29" ht="21" thickBot="1" x14ac:dyDescent="0.3">
      <c r="B40" s="16">
        <f t="shared" si="0"/>
        <v>31</v>
      </c>
      <c r="C40" s="106" t="s">
        <v>161</v>
      </c>
      <c r="D40" s="107" t="s">
        <v>162</v>
      </c>
      <c r="E40" s="599" t="str">
        <f t="shared" si="1"/>
        <v>Nils OlavVennevik</v>
      </c>
      <c r="F40" s="192">
        <f>YEAR(I$5)-_xlfn.XLOOKUP(E40,Deltakerliste!E$5:E$98,Deltakerliste!I$5:I$98)</f>
        <v>78</v>
      </c>
      <c r="G40" s="192">
        <f>_xlfn.XLOOKUP(E40,Deltakerliste!E$5:E$98,Deltakerliste!H$5:H$98)</f>
        <v>2</v>
      </c>
      <c r="H40" s="592">
        <f>VLOOKUP(F40,Deltakerliste!P$6:T$84,G40,FALSE)</f>
        <v>1.7550000000000001</v>
      </c>
      <c r="I40" s="132">
        <v>2.4884259259259259E-2</v>
      </c>
      <c r="J40" s="18"/>
      <c r="K40" s="18"/>
      <c r="L40" s="600">
        <f t="shared" si="2"/>
        <v>1.0819243156199679E-2</v>
      </c>
      <c r="M40" s="594">
        <f>IF(L40="Løype",Poengsammendrag!$F$2,IF(L40="Arr",Poengsammendrag!$F$3,IF(L40="Brutt",50,IF(L40="Disk",50,ROUND(MAXA(100*(MIN(L$10:L$94)/L40),50),0)))))</f>
        <v>56</v>
      </c>
      <c r="N40" s="724">
        <f t="shared" si="3"/>
        <v>6.1648109152134924E-3</v>
      </c>
      <c r="O40" s="596">
        <f>IF(N40="Løype",Poengsammendrag!$F$2,IF(N40="Arr",Poengsammendrag!$F$3,IF(N40="Brutt",50,IF(N40="Disk",50,ROUND(MAXA(100*(MIN(N$10:N$94)/N40),50),0)))))</f>
        <v>62</v>
      </c>
      <c r="S40" s="803" t="s">
        <v>161</v>
      </c>
      <c r="T40" s="736">
        <v>1.0819243156199679E-2</v>
      </c>
      <c r="U40" s="752">
        <v>56</v>
      </c>
      <c r="V40" s="781"/>
      <c r="W40" s="776" t="s">
        <v>161</v>
      </c>
      <c r="X40" s="740">
        <v>62</v>
      </c>
      <c r="AB40" s="828">
        <f t="shared" si="5"/>
        <v>85</v>
      </c>
      <c r="AC40" s="829">
        <f t="shared" si="4"/>
        <v>1</v>
      </c>
    </row>
    <row r="41" spans="2:29" ht="21" thickBot="1" x14ac:dyDescent="0.3">
      <c r="B41" s="16">
        <f t="shared" si="0"/>
        <v>32</v>
      </c>
      <c r="C41" s="106" t="s">
        <v>60</v>
      </c>
      <c r="D41" s="107" t="s">
        <v>372</v>
      </c>
      <c r="E41" s="599" t="str">
        <f t="shared" si="1"/>
        <v>JosteinGrepstad</v>
      </c>
      <c r="F41" s="192">
        <f>YEAR(I$5)-_xlfn.XLOOKUP(E41,Deltakerliste!E$5:E$98,Deltakerliste!I$5:I$98)</f>
        <v>75</v>
      </c>
      <c r="G41" s="192">
        <f>_xlfn.XLOOKUP(E41,Deltakerliste!E$5:E$98,Deltakerliste!H$5:H$98)</f>
        <v>2</v>
      </c>
      <c r="H41" s="592">
        <f>VLOOKUP(F41,Deltakerliste!P$6:T$84,G41,FALSE)</f>
        <v>1.605</v>
      </c>
      <c r="I41" s="14">
        <v>2.4247685185185185E-2</v>
      </c>
      <c r="J41" s="14"/>
      <c r="K41" s="18"/>
      <c r="L41" s="600">
        <f t="shared" si="2"/>
        <v>1.0542471819645733E-2</v>
      </c>
      <c r="M41" s="594">
        <f>IF(L41="Løype",Poengsammendrag!$F$2,IF(L41="Arr",Poengsammendrag!$F$3,IF(L41="Brutt",50,IF(L41="Disk",50,ROUND(MAXA(100*(MIN(L$10:L$94)/L41),50),0)))))</f>
        <v>58</v>
      </c>
      <c r="N41" s="724">
        <f t="shared" si="3"/>
        <v>6.5685182676920454E-3</v>
      </c>
      <c r="O41" s="596">
        <f>IF(N41="Løype",Poengsammendrag!$F$2,IF(N41="Arr",Poengsammendrag!$F$3,IF(N41="Brutt",50,IF(N41="Disk",50,ROUND(MAXA(100*(MIN(N$10:N$94)/N41),50),0)))))</f>
        <v>58</v>
      </c>
      <c r="S41" s="803" t="s">
        <v>406</v>
      </c>
      <c r="T41" s="736">
        <v>1.0829307568438003E-2</v>
      </c>
      <c r="U41" s="752">
        <v>56</v>
      </c>
      <c r="V41" s="781"/>
      <c r="W41" s="776" t="s">
        <v>60</v>
      </c>
      <c r="X41" s="740">
        <v>58</v>
      </c>
      <c r="AB41" s="828">
        <f t="shared" si="5"/>
        <v>86</v>
      </c>
      <c r="AC41" s="829">
        <f t="shared" si="4"/>
        <v>1</v>
      </c>
    </row>
    <row r="42" spans="2:29" ht="21" customHeight="1" thickBot="1" x14ac:dyDescent="0.3">
      <c r="B42" s="16">
        <f t="shared" si="0"/>
        <v>33</v>
      </c>
      <c r="C42" s="106" t="s">
        <v>63</v>
      </c>
      <c r="D42" s="107" t="s">
        <v>105</v>
      </c>
      <c r="E42" s="599" t="str">
        <f t="shared" ref="E42:E73" si="6">_xlfn.CONCAT(C42:D42)</f>
        <v>ToreKiste</v>
      </c>
      <c r="F42" s="192">
        <f>YEAR(I$5)-_xlfn.XLOOKUP(E42,Deltakerliste!E$5:E$98,Deltakerliste!I$5:I$98)</f>
        <v>81</v>
      </c>
      <c r="G42" s="192">
        <f>_xlfn.XLOOKUP(E42,Deltakerliste!E$5:E$98,Deltakerliste!H$5:H$98)</f>
        <v>2</v>
      </c>
      <c r="H42" s="592">
        <f>VLOOKUP(F42,Deltakerliste!P$6:T$84,G42,FALSE)</f>
        <v>1.9290000000000003</v>
      </c>
      <c r="I42" s="86">
        <v>3.1215277777777779E-2</v>
      </c>
      <c r="J42" s="86"/>
      <c r="K42" s="13"/>
      <c r="L42" s="600">
        <f t="shared" si="2"/>
        <v>1.3571859903381644E-2</v>
      </c>
      <c r="M42" s="594">
        <f>IF(L42="Løype",Poengsammendrag!$F$2,IF(L42="Arr",Poengsammendrag!$F$3,IF(L42="Brutt",50,IF(L42="Disk",50,ROUND(MAXA(100*(MIN(L$10:L$94)/L42),50),0)))))</f>
        <v>50</v>
      </c>
      <c r="N42" s="724">
        <f t="shared" si="3"/>
        <v>7.0356972023751388E-3</v>
      </c>
      <c r="O42" s="596">
        <f>IF(N42="Løype",Poengsammendrag!$F$2,IF(N42="Arr",Poengsammendrag!$F$3,IF(N42="Brutt",50,IF(N42="Disk",50,ROUND(MAXA(100*(MIN(N$10:N$94)/N42),50),0)))))</f>
        <v>54</v>
      </c>
      <c r="S42" s="803" t="s">
        <v>340</v>
      </c>
      <c r="T42" s="796">
        <v>1.1036439665471924E-2</v>
      </c>
      <c r="U42" s="765">
        <v>55</v>
      </c>
      <c r="V42" s="782"/>
      <c r="W42" s="777" t="s">
        <v>339</v>
      </c>
      <c r="X42" s="762">
        <v>54</v>
      </c>
      <c r="AB42" s="828">
        <f t="shared" si="5"/>
        <v>87</v>
      </c>
      <c r="AC42" s="829">
        <f t="shared" si="4"/>
        <v>2</v>
      </c>
    </row>
    <row r="43" spans="2:29" ht="21" thickBot="1" x14ac:dyDescent="0.3">
      <c r="B43" s="16">
        <f t="shared" si="0"/>
        <v>34</v>
      </c>
      <c r="C43" s="106" t="s">
        <v>63</v>
      </c>
      <c r="D43" s="107" t="s">
        <v>98</v>
      </c>
      <c r="E43" s="599" t="str">
        <f t="shared" si="6"/>
        <v>ToreHeggem</v>
      </c>
      <c r="F43" s="192">
        <f>YEAR(I$5)-_xlfn.XLOOKUP(E43,Deltakerliste!E$5:E$98,Deltakerliste!I$5:I$98)</f>
        <v>73</v>
      </c>
      <c r="G43" s="192">
        <f>_xlfn.XLOOKUP(E43,Deltakerliste!E$5:E$98,Deltakerliste!H$5:H$98)</f>
        <v>2</v>
      </c>
      <c r="H43" s="592">
        <f>VLOOKUP(F43,Deltakerliste!P$6:T$84,G43,FALSE)</f>
        <v>1.5329999999999999</v>
      </c>
      <c r="I43" s="86"/>
      <c r="J43" s="86">
        <v>3.4212962962962966E-2</v>
      </c>
      <c r="K43" s="13"/>
      <c r="L43" s="600">
        <f t="shared" si="2"/>
        <v>1.1036439665471924E-2</v>
      </c>
      <c r="M43" s="594">
        <f>IF(L43="Løype",Poengsammendrag!$F$2,IF(L43="Arr",Poengsammendrag!$F$3,IF(L43="Brutt",50,IF(L43="Disk",50,ROUND(MAXA(100*(MIN(L$10:L$94)/L43),50),0)))))</f>
        <v>55</v>
      </c>
      <c r="N43" s="724">
        <f t="shared" si="3"/>
        <v>7.1992430955459394E-3</v>
      </c>
      <c r="O43" s="596">
        <f>IF(N43="Løype",Poengsammendrag!$F$2,IF(N43="Arr",Poengsammendrag!$F$3,IF(N43="Brutt",50,IF(N43="Disk",50,ROUND(MAXA(100*(MIN(N$10:N$94)/N43),50),0)))))</f>
        <v>53</v>
      </c>
      <c r="S43" s="803" t="s">
        <v>339</v>
      </c>
      <c r="T43" s="797">
        <v>1.3571859903381644E-2</v>
      </c>
      <c r="U43" s="770">
        <v>50</v>
      </c>
      <c r="V43" s="778"/>
      <c r="W43" s="783" t="s">
        <v>340</v>
      </c>
      <c r="X43" s="740">
        <v>53</v>
      </c>
      <c r="AB43" s="828">
        <f t="shared" si="5"/>
        <v>88</v>
      </c>
      <c r="AC43" s="829">
        <f t="shared" si="4"/>
        <v>0</v>
      </c>
    </row>
    <row r="44" spans="2:29" ht="21" customHeight="1" thickBot="1" x14ac:dyDescent="0.3">
      <c r="B44" s="16">
        <f t="shared" si="0"/>
        <v>35</v>
      </c>
      <c r="C44" s="106" t="s">
        <v>116</v>
      </c>
      <c r="D44" s="107" t="s">
        <v>117</v>
      </c>
      <c r="E44" s="599" t="str">
        <f t="shared" si="6"/>
        <v>AndersLauglo</v>
      </c>
      <c r="F44" s="192">
        <f>YEAR(I$5)-_xlfn.XLOOKUP(E44,Deltakerliste!E$5:E$98,Deltakerliste!I$5:I$98)</f>
        <v>87</v>
      </c>
      <c r="G44" s="192">
        <f>_xlfn.XLOOKUP(E44,Deltakerliste!E$5:E$98,Deltakerliste!H$5:H$98)</f>
        <v>2</v>
      </c>
      <c r="H44" s="592">
        <f>VLOOKUP(F44,Deltakerliste!P$6:T$84,G44,FALSE)</f>
        <v>2.3929999999999998</v>
      </c>
      <c r="I44" s="13">
        <v>4.1331018518518517E-2</v>
      </c>
      <c r="J44" s="13"/>
      <c r="K44" s="86"/>
      <c r="L44" s="600">
        <f t="shared" si="2"/>
        <v>1.797000805152979E-2</v>
      </c>
      <c r="M44" s="594">
        <f>IF(L44="Løype",Poengsammendrag!$F$2,IF(L44="Arr",Poengsammendrag!$F$3,IF(L44="Brutt",50,IF(L44="Disk",50,ROUND(MAXA(100*(MIN(L$10:L$94)/L44),50),0)))))</f>
        <v>50</v>
      </c>
      <c r="N44" s="724">
        <f t="shared" si="3"/>
        <v>7.5094057883534444E-3</v>
      </c>
      <c r="O44" s="596">
        <f>IF(N44="Løype",Poengsammendrag!$F$2,IF(N44="Arr",Poengsammendrag!$F$3,IF(N44="Brutt",50,IF(N44="Disk",50,ROUND(MAXA(100*(MIN(N$10:N$94)/N44),50),0)))))</f>
        <v>51</v>
      </c>
      <c r="S44" s="803" t="s">
        <v>315</v>
      </c>
      <c r="T44" s="797">
        <v>1.797000805152979E-2</v>
      </c>
      <c r="U44" s="770">
        <v>50</v>
      </c>
      <c r="V44" s="772"/>
      <c r="W44" s="783" t="s">
        <v>315</v>
      </c>
      <c r="X44" s="740">
        <v>51</v>
      </c>
      <c r="AB44" s="828">
        <f t="shared" si="5"/>
        <v>89</v>
      </c>
      <c r="AC44" s="829">
        <f t="shared" si="4"/>
        <v>0</v>
      </c>
    </row>
    <row r="45" spans="2:29" ht="21" thickBot="1" x14ac:dyDescent="0.3">
      <c r="B45" s="16">
        <f t="shared" si="0"/>
        <v>36</v>
      </c>
      <c r="C45" s="106" t="s">
        <v>106</v>
      </c>
      <c r="D45" s="107" t="s">
        <v>107</v>
      </c>
      <c r="E45" s="599" t="str">
        <f t="shared" si="6"/>
        <v>Jon ArneKlemetsaune</v>
      </c>
      <c r="F45" s="192">
        <f>YEAR(I$5)-_xlfn.XLOOKUP(E45,Deltakerliste!E$5:E$98,Deltakerliste!I$5:I$98)</f>
        <v>77</v>
      </c>
      <c r="G45" s="192">
        <f>_xlfn.XLOOKUP(E45,Deltakerliste!E$5:E$98,Deltakerliste!H$5:H$98)</f>
        <v>2</v>
      </c>
      <c r="H45" s="592">
        <f>VLOOKUP(F45,Deltakerliste!P$6:T$84,G45,FALSE)</f>
        <v>1.7050000000000001</v>
      </c>
      <c r="I45" s="86"/>
      <c r="J45" s="86" t="s">
        <v>7</v>
      </c>
      <c r="K45" s="17"/>
      <c r="L45" s="600" t="str">
        <f t="shared" si="2"/>
        <v>Arr</v>
      </c>
      <c r="M45" s="594">
        <f>IF(L45="Løype",Poengsammendrag!$F$2,IF(L45="Arr",Poengsammendrag!$F$3,IF(L45="Brutt",50,IF(L45="Disk",50,ROUND(MAXA(100*(MIN(L$10:L$94)/L45),50),0)))))</f>
        <v>94</v>
      </c>
      <c r="N45" s="724" t="str">
        <f t="shared" si="3"/>
        <v>Arr</v>
      </c>
      <c r="O45" s="596">
        <f>IF(N45="Løype",Poengsammendrag!$F$2,IF(N45="Arr",Poengsammendrag!$F$3,IF(N45="Brutt",50,IF(N45="Disk",50,ROUND(MAXA(100*(MIN(N$10:N$94)/N45),50),0)))))</f>
        <v>94</v>
      </c>
      <c r="S45" s="803" t="s">
        <v>106</v>
      </c>
      <c r="T45" s="797" t="s">
        <v>7</v>
      </c>
      <c r="U45" s="770">
        <v>94</v>
      </c>
      <c r="V45" s="772"/>
      <c r="W45" s="783" t="s">
        <v>106</v>
      </c>
      <c r="X45" s="740">
        <v>94</v>
      </c>
      <c r="AB45" s="828">
        <f t="shared" si="5"/>
        <v>90</v>
      </c>
      <c r="AC45" s="829">
        <f t="shared" si="4"/>
        <v>0</v>
      </c>
    </row>
    <row r="46" spans="2:29" ht="21" thickBot="1" x14ac:dyDescent="0.3">
      <c r="B46" s="16">
        <f t="shared" si="0"/>
        <v>37</v>
      </c>
      <c r="C46" s="106" t="s">
        <v>64</v>
      </c>
      <c r="D46" s="107" t="s">
        <v>366</v>
      </c>
      <c r="E46" s="599" t="str">
        <f t="shared" si="6"/>
        <v>BjørnHafskjold</v>
      </c>
      <c r="F46" s="192">
        <f>YEAR(I$5)-_xlfn.XLOOKUP(E46,Deltakerliste!E$5:E$98,Deltakerliste!I$5:I$98)</f>
        <v>79</v>
      </c>
      <c r="G46" s="192">
        <f>_xlfn.XLOOKUP(E46,Deltakerliste!E$5:E$98,Deltakerliste!H$5:H$98)</f>
        <v>2</v>
      </c>
      <c r="H46" s="592">
        <f>VLOOKUP(F46,Deltakerliste!P$6:T$84,G46,FALSE)</f>
        <v>1.8050000000000002</v>
      </c>
      <c r="I46" s="14" t="s">
        <v>319</v>
      </c>
      <c r="J46" s="901"/>
      <c r="K46" s="18"/>
      <c r="L46" s="600" t="str">
        <f t="shared" si="2"/>
        <v>Disk</v>
      </c>
      <c r="M46" s="594">
        <f>IF(L46="Løype",Poengsammendrag!$F$2,IF(L46="Arr",Poengsammendrag!$F$3,IF(L46="Brutt",50,IF(L46="Disk",50,ROUND(MAXA(100*(MIN(L$10:L$94)/L46),50),0)))))</f>
        <v>50</v>
      </c>
      <c r="N46" s="724" t="str">
        <f t="shared" si="3"/>
        <v>Disk</v>
      </c>
      <c r="O46" s="596">
        <f>IF(N46="Løype",Poengsammendrag!$F$2,IF(N46="Arr",Poengsammendrag!$F$3,IF(N46="Brutt",50,IF(N46="Disk",50,ROUND(MAXA(100*(MIN(N$10:N$94)/N46),50),0)))))</f>
        <v>50</v>
      </c>
      <c r="S46" s="803" t="s">
        <v>367</v>
      </c>
      <c r="T46" s="797" t="s">
        <v>319</v>
      </c>
      <c r="U46" s="770">
        <v>50</v>
      </c>
      <c r="V46" s="772"/>
      <c r="W46" s="783" t="s">
        <v>367</v>
      </c>
      <c r="X46" s="740">
        <v>50</v>
      </c>
      <c r="AB46" s="828">
        <f t="shared" si="5"/>
        <v>91</v>
      </c>
      <c r="AC46" s="829">
        <f t="shared" si="4"/>
        <v>0</v>
      </c>
    </row>
    <row r="47" spans="2:29" ht="21" customHeight="1" thickBot="1" x14ac:dyDescent="0.3">
      <c r="B47" s="16">
        <f t="shared" si="0"/>
        <v>38</v>
      </c>
      <c r="C47" s="106" t="s">
        <v>134</v>
      </c>
      <c r="D47" s="107" t="s">
        <v>135</v>
      </c>
      <c r="E47" s="599" t="str">
        <f t="shared" si="6"/>
        <v>IngeNørstebø</v>
      </c>
      <c r="F47" s="192">
        <f>YEAR(I$5)-_xlfn.XLOOKUP(E47,Deltakerliste!E$5:E$98,Deltakerliste!I$5:I$98)</f>
        <v>70</v>
      </c>
      <c r="G47" s="192">
        <f>_xlfn.XLOOKUP(E47,Deltakerliste!E$5:E$98,Deltakerliste!H$5:H$98)</f>
        <v>2</v>
      </c>
      <c r="H47" s="592">
        <f>VLOOKUP(F47,Deltakerliste!P$6:T$84,G47,FALSE)</f>
        <v>1.4249999999999998</v>
      </c>
      <c r="I47" s="13"/>
      <c r="J47" s="13" t="s">
        <v>62</v>
      </c>
      <c r="K47" s="13"/>
      <c r="L47" s="600" t="str">
        <f t="shared" si="2"/>
        <v>Løype</v>
      </c>
      <c r="M47" s="594">
        <f>IF(L47="Løype",Poengsammendrag!$F$2,IF(L47="Arr",Poengsammendrag!$F$3,IF(L47="Brutt",50,IF(L47="Disk",50,ROUND(MAXA(100*(MIN(L$10:L$94)/L47),50),0)))))</f>
        <v>100</v>
      </c>
      <c r="N47" s="724" t="str">
        <f t="shared" si="3"/>
        <v>Løype</v>
      </c>
      <c r="O47" s="596">
        <f>IF(N47="Løype",Poengsammendrag!$F$2,IF(N47="Arr",Poengsammendrag!$F$3,IF(N47="Brutt",50,IF(N47="Disk",50,ROUND(MAXA(100*(MIN(N$10:N$94)/N47),50),0)))))</f>
        <v>100</v>
      </c>
      <c r="S47" s="803" t="s">
        <v>134</v>
      </c>
      <c r="T47" s="797" t="s">
        <v>62</v>
      </c>
      <c r="U47" s="770">
        <v>100</v>
      </c>
      <c r="V47" s="772"/>
      <c r="W47" s="783" t="s">
        <v>134</v>
      </c>
      <c r="X47" s="740">
        <v>100</v>
      </c>
      <c r="AB47" s="828">
        <f t="shared" si="5"/>
        <v>92</v>
      </c>
      <c r="AC47" s="829">
        <f t="shared" si="4"/>
        <v>0</v>
      </c>
    </row>
    <row r="48" spans="2:29" ht="21" customHeight="1" thickBot="1" x14ac:dyDescent="0.3">
      <c r="B48" s="16">
        <f t="shared" si="0"/>
        <v>39</v>
      </c>
      <c r="C48" s="106" t="s">
        <v>60</v>
      </c>
      <c r="D48" s="107" t="s">
        <v>61</v>
      </c>
      <c r="E48" s="599" t="str">
        <f t="shared" si="6"/>
        <v>JosteinAlvestad</v>
      </c>
      <c r="F48" s="192">
        <f>YEAR(I$5)-_xlfn.XLOOKUP(E48,Deltakerliste!E$5:E$98,Deltakerliste!I$5:I$98)</f>
        <v>71</v>
      </c>
      <c r="G48" s="192">
        <f>_xlfn.XLOOKUP(E48,Deltakerliste!E$5:E$98,Deltakerliste!H$5:H$98)</f>
        <v>2</v>
      </c>
      <c r="H48" s="592">
        <f>VLOOKUP(F48,Deltakerliste!P$6:T$84,G48,FALSE)</f>
        <v>1.4609999999999999</v>
      </c>
      <c r="I48" s="13"/>
      <c r="J48" s="13"/>
      <c r="K48" s="17"/>
      <c r="L48" s="600"/>
      <c r="M48" s="594"/>
      <c r="N48" s="724"/>
      <c r="O48" s="596"/>
      <c r="S48" s="803"/>
      <c r="T48" s="797"/>
      <c r="U48" s="770"/>
      <c r="V48" s="772"/>
      <c r="W48" s="783"/>
      <c r="X48" s="740"/>
      <c r="AB48" s="828">
        <f t="shared" si="5"/>
        <v>93</v>
      </c>
      <c r="AC48" s="829">
        <f t="shared" si="4"/>
        <v>0</v>
      </c>
    </row>
    <row r="49" spans="2:29" ht="21" customHeight="1" thickBot="1" x14ac:dyDescent="0.3">
      <c r="B49" s="16">
        <f t="shared" si="0"/>
        <v>40</v>
      </c>
      <c r="C49" s="106" t="s">
        <v>66</v>
      </c>
      <c r="D49" s="107" t="s">
        <v>67</v>
      </c>
      <c r="E49" s="599" t="str">
        <f t="shared" si="6"/>
        <v>FrankBjarkø</v>
      </c>
      <c r="F49" s="192">
        <f>YEAR(I$5)-_xlfn.XLOOKUP(E49,Deltakerliste!E$5:E$98,Deltakerliste!I$5:I$98)</f>
        <v>74</v>
      </c>
      <c r="G49" s="192">
        <f>_xlfn.XLOOKUP(E49,Deltakerliste!E$5:E$98,Deltakerliste!H$5:H$98)</f>
        <v>2</v>
      </c>
      <c r="H49" s="592">
        <f>VLOOKUP(F49,Deltakerliste!P$6:T$84,G49,FALSE)</f>
        <v>1.569</v>
      </c>
      <c r="I49" s="13"/>
      <c r="J49" s="13"/>
      <c r="K49" s="13"/>
      <c r="L49" s="600"/>
      <c r="M49" s="594"/>
      <c r="N49" s="724"/>
      <c r="O49" s="596"/>
      <c r="S49" s="803"/>
      <c r="T49" s="796"/>
      <c r="U49" s="793"/>
      <c r="V49" s="794"/>
      <c r="W49" s="795"/>
      <c r="X49" s="762"/>
      <c r="AB49" s="828">
        <f t="shared" si="5"/>
        <v>94</v>
      </c>
      <c r="AC49" s="829">
        <f t="shared" si="4"/>
        <v>0</v>
      </c>
    </row>
    <row r="50" spans="2:29" ht="21" thickBot="1" x14ac:dyDescent="0.3">
      <c r="B50" s="16">
        <f t="shared" si="0"/>
        <v>41</v>
      </c>
      <c r="C50" s="106" t="s">
        <v>364</v>
      </c>
      <c r="D50" s="107" t="s">
        <v>365</v>
      </c>
      <c r="E50" s="599" t="str">
        <f t="shared" si="6"/>
        <v>GerdBjørset</v>
      </c>
      <c r="F50" s="192">
        <f>YEAR(I$5)-_xlfn.XLOOKUP(E50,Deltakerliste!E$5:E$98,Deltakerliste!I$5:I$98)</f>
        <v>72</v>
      </c>
      <c r="G50" s="192">
        <f>_xlfn.XLOOKUP(E50,Deltakerliste!E$5:E$98,Deltakerliste!H$5:H$98)</f>
        <v>4</v>
      </c>
      <c r="H50" s="592">
        <f>VLOOKUP(F50,Deltakerliste!P$6:T$84,G50,FALSE)</f>
        <v>2.0362000000000013</v>
      </c>
      <c r="I50" s="13"/>
      <c r="J50" s="13"/>
      <c r="K50" s="13"/>
      <c r="L50" s="600"/>
      <c r="M50" s="594"/>
      <c r="N50" s="724"/>
      <c r="O50" s="596"/>
      <c r="S50" s="803"/>
      <c r="T50" s="851"/>
      <c r="U50" s="770"/>
      <c r="V50" s="772"/>
      <c r="W50" s="783"/>
      <c r="X50" s="740"/>
      <c r="AB50" s="830">
        <f t="shared" si="5"/>
        <v>95</v>
      </c>
      <c r="AC50" s="831">
        <f t="shared" si="4"/>
        <v>0</v>
      </c>
    </row>
    <row r="51" spans="2:29" ht="21" customHeight="1" thickBot="1" x14ac:dyDescent="0.3">
      <c r="B51" s="16">
        <f t="shared" si="0"/>
        <v>42</v>
      </c>
      <c r="C51" s="106" t="s">
        <v>64</v>
      </c>
      <c r="D51" s="107" t="s">
        <v>267</v>
      </c>
      <c r="E51" s="599" t="str">
        <f t="shared" si="6"/>
        <v>BjørnBrenne</v>
      </c>
      <c r="F51" s="192">
        <f>YEAR(I$5)-_xlfn.XLOOKUP(E51,Deltakerliste!E$5:E$98,Deltakerliste!I$5:I$98)</f>
        <v>81</v>
      </c>
      <c r="G51" s="192">
        <f>_xlfn.XLOOKUP(E51,Deltakerliste!E$5:E$98,Deltakerliste!H$5:H$98)</f>
        <v>2</v>
      </c>
      <c r="H51" s="592">
        <f>VLOOKUP(F51,Deltakerliste!P$6:T$84,G51,FALSE)</f>
        <v>1.9290000000000003</v>
      </c>
      <c r="I51" s="86"/>
      <c r="J51" s="86"/>
      <c r="K51" s="13"/>
      <c r="L51" s="600"/>
      <c r="M51" s="594"/>
      <c r="N51" s="724"/>
      <c r="O51" s="596"/>
      <c r="S51" s="803"/>
      <c r="T51" s="797"/>
      <c r="U51" s="770"/>
      <c r="V51" s="772"/>
      <c r="W51" s="783"/>
      <c r="X51" s="740"/>
    </row>
    <row r="52" spans="2:29" ht="21" thickBot="1" x14ac:dyDescent="0.3">
      <c r="B52" s="16">
        <f t="shared" si="0"/>
        <v>43</v>
      </c>
      <c r="C52" s="106" t="s">
        <v>342</v>
      </c>
      <c r="D52" s="107" t="s">
        <v>388</v>
      </c>
      <c r="E52" s="599" t="str">
        <f t="shared" si="6"/>
        <v>ArildClausen</v>
      </c>
      <c r="F52" s="192">
        <f>YEAR(I$5)-_xlfn.XLOOKUP(E52,Deltakerliste!E$5:E$98,Deltakerliste!I$5:I$98)</f>
        <v>58</v>
      </c>
      <c r="G52" s="192">
        <f>_xlfn.XLOOKUP(E52,Deltakerliste!E$5:E$98,Deltakerliste!H$5:H$98)</f>
        <v>2</v>
      </c>
      <c r="H52" s="592">
        <f>VLOOKUP(F52,Deltakerliste!P$6:T$84,G52,FALSE)</f>
        <v>1.1720000000000002</v>
      </c>
      <c r="I52" s="86"/>
      <c r="J52" s="86"/>
      <c r="K52" s="13"/>
      <c r="L52" s="600"/>
      <c r="M52" s="594"/>
      <c r="N52" s="724"/>
      <c r="O52" s="596"/>
      <c r="S52" s="803"/>
      <c r="T52" s="798"/>
      <c r="U52" s="770"/>
      <c r="V52" s="772"/>
      <c r="W52" s="783"/>
      <c r="X52" s="740"/>
      <c r="AC52" s="651">
        <f>SUM(AC10:AC50)</f>
        <v>38</v>
      </c>
    </row>
    <row r="53" spans="2:29" ht="21" thickBot="1" x14ac:dyDescent="0.3">
      <c r="B53" s="16">
        <f t="shared" si="0"/>
        <v>44</v>
      </c>
      <c r="C53" s="106" t="s">
        <v>70</v>
      </c>
      <c r="D53" s="107" t="s">
        <v>71</v>
      </c>
      <c r="E53" s="599" t="str">
        <f t="shared" si="6"/>
        <v>TrondDamås</v>
      </c>
      <c r="F53" s="192">
        <f>YEAR(I$5)-_xlfn.XLOOKUP(E53,Deltakerliste!E$5:E$98,Deltakerliste!I$5:I$98)</f>
        <v>76</v>
      </c>
      <c r="G53" s="192">
        <f>_xlfn.XLOOKUP(E53,Deltakerliste!E$5:E$98,Deltakerliste!H$5:H$98)</f>
        <v>2</v>
      </c>
      <c r="H53" s="592">
        <f>VLOOKUP(F53,Deltakerliste!P$6:T$84,G53,FALSE)</f>
        <v>1.655</v>
      </c>
      <c r="I53" s="13"/>
      <c r="J53" s="13"/>
      <c r="K53" s="13"/>
      <c r="L53" s="600"/>
      <c r="M53" s="594"/>
      <c r="N53" s="724"/>
      <c r="O53" s="596"/>
      <c r="S53" s="803"/>
      <c r="T53" s="798"/>
      <c r="U53" s="770"/>
      <c r="V53" s="772"/>
      <c r="W53" s="783"/>
      <c r="X53" s="740"/>
    </row>
    <row r="54" spans="2:29" ht="21" thickBot="1" x14ac:dyDescent="0.3">
      <c r="B54" s="16">
        <f t="shared" si="0"/>
        <v>45</v>
      </c>
      <c r="C54" s="106" t="s">
        <v>72</v>
      </c>
      <c r="D54" s="107" t="s">
        <v>73</v>
      </c>
      <c r="E54" s="599" t="str">
        <f t="shared" si="6"/>
        <v>KåreEggereide</v>
      </c>
      <c r="F54" s="192">
        <f>YEAR(I$5)-_xlfn.XLOOKUP(E54,Deltakerliste!E$5:E$98,Deltakerliste!I$5:I$98)</f>
        <v>75</v>
      </c>
      <c r="G54" s="192">
        <f>_xlfn.XLOOKUP(E54,Deltakerliste!E$5:E$98,Deltakerliste!H$5:H$98)</f>
        <v>2</v>
      </c>
      <c r="H54" s="592">
        <f>VLOOKUP(F54,Deltakerliste!P$6:T$84,G54,FALSE)</f>
        <v>1.605</v>
      </c>
      <c r="I54" s="86"/>
      <c r="J54" s="13"/>
      <c r="K54" s="13"/>
      <c r="L54" s="600"/>
      <c r="M54" s="594"/>
      <c r="N54" s="724"/>
      <c r="O54" s="596"/>
      <c r="S54" s="846"/>
      <c r="T54" s="847"/>
      <c r="U54" s="848"/>
      <c r="V54" s="778"/>
      <c r="W54" s="849"/>
      <c r="X54" s="850"/>
    </row>
    <row r="55" spans="2:29" ht="21" customHeight="1" thickBot="1" x14ac:dyDescent="0.3">
      <c r="B55" s="16">
        <f t="shared" si="0"/>
        <v>46</v>
      </c>
      <c r="C55" s="106" t="s">
        <v>74</v>
      </c>
      <c r="D55" s="107" t="s">
        <v>75</v>
      </c>
      <c r="E55" s="599" t="str">
        <f t="shared" si="6"/>
        <v>StinaElfving</v>
      </c>
      <c r="F55" s="192">
        <f>YEAR(I$5)-_xlfn.XLOOKUP(E55,Deltakerliste!E$5:E$98,Deltakerliste!I$5:I$98)</f>
        <v>76</v>
      </c>
      <c r="G55" s="192">
        <f>_xlfn.XLOOKUP(E55,Deltakerliste!E$5:E$98,Deltakerliste!H$5:H$98)</f>
        <v>4</v>
      </c>
      <c r="H55" s="592">
        <f>VLOOKUP(F55,Deltakerliste!P$6:T$84,G55,FALSE)</f>
        <v>2.2246000000000015</v>
      </c>
      <c r="I55" s="13"/>
      <c r="J55" s="13"/>
      <c r="K55" s="17"/>
      <c r="L55" s="600"/>
      <c r="M55" s="594"/>
      <c r="N55" s="724"/>
      <c r="O55" s="596"/>
      <c r="S55" s="803"/>
      <c r="T55" s="798"/>
      <c r="U55" s="770"/>
      <c r="V55" s="772"/>
      <c r="W55" s="783"/>
      <c r="X55" s="740"/>
    </row>
    <row r="56" spans="2:29" ht="21" thickBot="1" x14ac:dyDescent="0.3">
      <c r="B56" s="16">
        <f t="shared" si="0"/>
        <v>47</v>
      </c>
      <c r="C56" s="106" t="s">
        <v>76</v>
      </c>
      <c r="D56" s="107" t="s">
        <v>77</v>
      </c>
      <c r="E56" s="599" t="str">
        <f t="shared" si="6"/>
        <v>ReinoldEllingsen</v>
      </c>
      <c r="F56" s="192">
        <f>YEAR(I$5)-_xlfn.XLOOKUP(E56,Deltakerliste!E$5:E$98,Deltakerliste!I$5:I$98)</f>
        <v>75</v>
      </c>
      <c r="G56" s="192">
        <f>_xlfn.XLOOKUP(E56,Deltakerliste!E$5:E$98,Deltakerliste!H$5:H$98)</f>
        <v>2</v>
      </c>
      <c r="H56" s="592">
        <f>VLOOKUP(F56,Deltakerliste!P$6:T$84,G56,FALSE)</f>
        <v>1.605</v>
      </c>
      <c r="I56" s="13"/>
      <c r="J56" s="13"/>
      <c r="K56" s="13"/>
      <c r="L56" s="600"/>
      <c r="M56" s="594"/>
      <c r="N56" s="724"/>
      <c r="O56" s="596"/>
      <c r="S56" s="803"/>
      <c r="T56" s="798"/>
      <c r="U56" s="770"/>
      <c r="V56" s="772"/>
      <c r="W56" s="783"/>
      <c r="X56" s="740"/>
    </row>
    <row r="57" spans="2:29" ht="21" thickBot="1" x14ac:dyDescent="0.3">
      <c r="B57" s="16">
        <f t="shared" si="0"/>
        <v>48</v>
      </c>
      <c r="C57" s="106" t="s">
        <v>216</v>
      </c>
      <c r="D57" s="107" t="s">
        <v>77</v>
      </c>
      <c r="E57" s="599" t="str">
        <f t="shared" si="6"/>
        <v>Åse RitaEllingsen</v>
      </c>
      <c r="F57" s="192">
        <f>YEAR(I$5)-_xlfn.XLOOKUP(E57,Deltakerliste!E$5:E$98,Deltakerliste!I$5:I$98)</f>
        <v>62</v>
      </c>
      <c r="G57" s="192">
        <f>_xlfn.XLOOKUP(E57,Deltakerliste!E$5:E$98,Deltakerliste!H$5:H$98)</f>
        <v>4</v>
      </c>
      <c r="H57" s="592">
        <f>VLOOKUP(F57,Deltakerliste!P$6:T$84,G57,FALSE)</f>
        <v>1.6834000000000005</v>
      </c>
      <c r="I57" s="86"/>
      <c r="J57" s="14"/>
      <c r="K57" s="13"/>
      <c r="L57" s="600"/>
      <c r="M57" s="594"/>
      <c r="N57" s="724"/>
      <c r="O57" s="596"/>
      <c r="S57" s="804"/>
      <c r="T57" s="801"/>
      <c r="U57" s="771"/>
      <c r="V57" s="773"/>
      <c r="W57" s="784"/>
      <c r="X57" s="741"/>
    </row>
    <row r="58" spans="2:29" ht="20" customHeight="1" thickBot="1" x14ac:dyDescent="0.3">
      <c r="B58" s="16">
        <f t="shared" si="0"/>
        <v>49</v>
      </c>
      <c r="C58" s="106" t="s">
        <v>271</v>
      </c>
      <c r="D58" s="107" t="s">
        <v>272</v>
      </c>
      <c r="E58" s="599" t="str">
        <f t="shared" si="6"/>
        <v>Arne KjellFoldvik</v>
      </c>
      <c r="F58" s="192">
        <f>YEAR(I$5)-_xlfn.XLOOKUP(E58,Deltakerliste!E$5:E$98,Deltakerliste!I$5:I$98)</f>
        <v>92</v>
      </c>
      <c r="G58" s="192">
        <f>_xlfn.XLOOKUP(E58,Deltakerliste!E$5:E$98,Deltakerliste!H$5:H$98)</f>
        <v>2</v>
      </c>
      <c r="H58" s="592">
        <f>VLOOKUP(F58,Deltakerliste!P$6:T$84,G58,FALSE)</f>
        <v>2.8130000000000002</v>
      </c>
      <c r="I58" s="14"/>
      <c r="J58" s="14"/>
      <c r="K58" s="13"/>
      <c r="L58" s="600"/>
      <c r="M58" s="594"/>
      <c r="N58" s="724"/>
      <c r="O58" s="596"/>
    </row>
    <row r="59" spans="2:29" ht="21" thickBot="1" x14ac:dyDescent="0.3">
      <c r="B59" s="16">
        <f t="shared" si="0"/>
        <v>50</v>
      </c>
      <c r="C59" s="106" t="s">
        <v>82</v>
      </c>
      <c r="D59" s="107" t="s">
        <v>83</v>
      </c>
      <c r="E59" s="599" t="str">
        <f t="shared" si="6"/>
        <v>RoarForbord</v>
      </c>
      <c r="F59" s="192">
        <f>YEAR(I$5)-_xlfn.XLOOKUP(E59,Deltakerliste!E$5:E$98,Deltakerliste!I$5:I$98)</f>
        <v>83</v>
      </c>
      <c r="G59" s="192">
        <f>_xlfn.XLOOKUP(E59,Deltakerliste!E$5:E$98,Deltakerliste!H$5:H$98)</f>
        <v>2</v>
      </c>
      <c r="H59" s="592">
        <f>VLOOKUP(F59,Deltakerliste!P$6:T$84,G59,FALSE)</f>
        <v>2.077</v>
      </c>
      <c r="I59" s="86"/>
      <c r="J59" s="86"/>
      <c r="K59" s="13"/>
      <c r="L59" s="600"/>
      <c r="M59" s="594"/>
      <c r="N59" s="724"/>
      <c r="O59" s="596"/>
    </row>
    <row r="60" spans="2:29" ht="21" customHeight="1" thickBot="1" x14ac:dyDescent="0.3">
      <c r="B60" s="16">
        <f t="shared" si="0"/>
        <v>51</v>
      </c>
      <c r="C60" s="106" t="s">
        <v>377</v>
      </c>
      <c r="D60" s="107" t="s">
        <v>83</v>
      </c>
      <c r="E60" s="599" t="str">
        <f t="shared" si="6"/>
        <v>HildeForbord</v>
      </c>
      <c r="F60" s="192">
        <f>YEAR(I$5)-_xlfn.XLOOKUP(E60,Deltakerliste!E$5:E$98,Deltakerliste!I$5:I$98)</f>
        <v>60</v>
      </c>
      <c r="G60" s="192">
        <f>_xlfn.XLOOKUP(E60,Deltakerliste!E$5:E$98,Deltakerliste!H$5:H$98)</f>
        <v>4</v>
      </c>
      <c r="H60" s="592">
        <f>VLOOKUP(F60,Deltakerliste!P$6:T$84,G60,FALSE)</f>
        <v>1.6250000000000002</v>
      </c>
      <c r="I60" s="14"/>
      <c r="J60" s="14"/>
      <c r="K60" s="13"/>
      <c r="L60" s="600"/>
      <c r="M60" s="594"/>
      <c r="N60" s="724"/>
      <c r="O60" s="596"/>
    </row>
    <row r="61" spans="2:29" ht="21" customHeight="1" thickBot="1" x14ac:dyDescent="0.3">
      <c r="B61" s="16">
        <f t="shared" si="0"/>
        <v>52</v>
      </c>
      <c r="C61" s="106" t="s">
        <v>84</v>
      </c>
      <c r="D61" s="107" t="s">
        <v>85</v>
      </c>
      <c r="E61" s="599" t="str">
        <f t="shared" si="6"/>
        <v>PaulForseth</v>
      </c>
      <c r="F61" s="192">
        <f>YEAR(I$5)-_xlfn.XLOOKUP(E61,Deltakerliste!E$5:E$98,Deltakerliste!I$5:I$98)</f>
        <v>94</v>
      </c>
      <c r="G61" s="192">
        <f>_xlfn.XLOOKUP(E61,Deltakerliste!E$5:E$98,Deltakerliste!H$5:H$98)</f>
        <v>2</v>
      </c>
      <c r="H61" s="592">
        <f>VLOOKUP(F61,Deltakerliste!P$6:T$84,G61,FALSE)</f>
        <v>2.9810000000000003</v>
      </c>
      <c r="I61" s="86"/>
      <c r="J61" s="86"/>
      <c r="K61" s="17"/>
      <c r="L61" s="600"/>
      <c r="M61" s="594"/>
      <c r="N61" s="724"/>
      <c r="O61" s="596"/>
    </row>
    <row r="62" spans="2:29" ht="21" customHeight="1" thickBot="1" x14ac:dyDescent="0.3">
      <c r="B62" s="16">
        <f t="shared" si="0"/>
        <v>53</v>
      </c>
      <c r="C62" s="106" t="s">
        <v>86</v>
      </c>
      <c r="D62" s="107" t="s">
        <v>87</v>
      </c>
      <c r="E62" s="599" t="str">
        <f t="shared" si="6"/>
        <v>KristianFougner</v>
      </c>
      <c r="F62" s="192">
        <f>YEAR(I$5)-_xlfn.XLOOKUP(E62,Deltakerliste!E$5:E$98,Deltakerliste!I$5:I$98)</f>
        <v>76</v>
      </c>
      <c r="G62" s="192">
        <f>_xlfn.XLOOKUP(E62,Deltakerliste!E$5:E$98,Deltakerliste!H$5:H$98)</f>
        <v>2</v>
      </c>
      <c r="H62" s="592">
        <f>VLOOKUP(F62,Deltakerliste!P$6:T$84,G62,FALSE)</f>
        <v>1.655</v>
      </c>
      <c r="I62" s="86"/>
      <c r="J62" s="86"/>
      <c r="K62" s="13"/>
      <c r="L62" s="600"/>
      <c r="M62" s="594"/>
      <c r="N62" s="724"/>
      <c r="O62" s="596"/>
    </row>
    <row r="63" spans="2:29" ht="21" thickBot="1" x14ac:dyDescent="0.3">
      <c r="B63" s="16">
        <f t="shared" si="0"/>
        <v>54</v>
      </c>
      <c r="C63" s="106" t="s">
        <v>207</v>
      </c>
      <c r="D63" s="107" t="s">
        <v>89</v>
      </c>
      <c r="E63" s="599" t="str">
        <f t="shared" si="6"/>
        <v>AnneFuruholt</v>
      </c>
      <c r="F63" s="192">
        <f>YEAR(I$5)-_xlfn.XLOOKUP(E63,Deltakerliste!E$5:E$98,Deltakerliste!I$5:I$98)</f>
        <v>79</v>
      </c>
      <c r="G63" s="192">
        <f>_xlfn.XLOOKUP(E63,Deltakerliste!E$5:E$98,Deltakerliste!H$5:H$98)</f>
        <v>4</v>
      </c>
      <c r="H63" s="592">
        <f>VLOOKUP(F63,Deltakerliste!P$6:T$84,G63,FALSE)</f>
        <v>2.3974000000000011</v>
      </c>
      <c r="I63" s="13"/>
      <c r="J63" s="13"/>
      <c r="K63" s="13"/>
      <c r="L63" s="600"/>
      <c r="M63" s="594"/>
      <c r="N63" s="724"/>
      <c r="O63" s="596"/>
    </row>
    <row r="64" spans="2:29" ht="21" thickBot="1" x14ac:dyDescent="0.3">
      <c r="B64" s="16">
        <f t="shared" si="0"/>
        <v>55</v>
      </c>
      <c r="C64" s="106" t="s">
        <v>116</v>
      </c>
      <c r="D64" s="107" t="s">
        <v>353</v>
      </c>
      <c r="E64" s="599" t="str">
        <f t="shared" si="6"/>
        <v>AndersGjermo</v>
      </c>
      <c r="F64" s="192">
        <f>YEAR(I$5)-_xlfn.XLOOKUP(E64,Deltakerliste!E$5:E$98,Deltakerliste!I$5:I$98)</f>
        <v>68</v>
      </c>
      <c r="G64" s="192">
        <f>_xlfn.XLOOKUP(E64,Deltakerliste!E$5:E$98,Deltakerliste!H$5:H$98)</f>
        <v>2</v>
      </c>
      <c r="H64" s="592">
        <f>VLOOKUP(F64,Deltakerliste!P$6:T$84,G64,FALSE)</f>
        <v>1.3729999999999998</v>
      </c>
      <c r="I64" s="132"/>
      <c r="J64" s="132"/>
      <c r="K64" s="18"/>
      <c r="L64" s="600"/>
      <c r="M64" s="594"/>
      <c r="N64" s="724"/>
      <c r="O64" s="596"/>
    </row>
    <row r="65" spans="2:17" ht="21" thickBot="1" x14ac:dyDescent="0.3">
      <c r="B65" s="16">
        <f t="shared" si="0"/>
        <v>56</v>
      </c>
      <c r="C65" s="106" t="s">
        <v>92</v>
      </c>
      <c r="D65" s="107" t="s">
        <v>93</v>
      </c>
      <c r="E65" s="599" t="str">
        <f t="shared" si="6"/>
        <v>Jens ØysteinGjersvold</v>
      </c>
      <c r="F65" s="192">
        <f>YEAR(I$5)-_xlfn.XLOOKUP(E65,Deltakerliste!E$5:E$98,Deltakerliste!I$5:I$98)</f>
        <v>74</v>
      </c>
      <c r="G65" s="192">
        <f>_xlfn.XLOOKUP(E65,Deltakerliste!E$5:E$98,Deltakerliste!H$5:H$98)</f>
        <v>2</v>
      </c>
      <c r="H65" s="592">
        <f>VLOOKUP(F65,Deltakerliste!P$6:T$84,G65,FALSE)</f>
        <v>1.569</v>
      </c>
      <c r="I65" s="14"/>
      <c r="J65" s="14"/>
      <c r="K65" s="18"/>
      <c r="L65" s="600"/>
      <c r="M65" s="594"/>
      <c r="N65" s="724"/>
      <c r="O65" s="596"/>
    </row>
    <row r="66" spans="2:17" ht="21" thickBot="1" x14ac:dyDescent="0.3">
      <c r="B66" s="16">
        <f t="shared" si="0"/>
        <v>57</v>
      </c>
      <c r="C66" s="106" t="s">
        <v>342</v>
      </c>
      <c r="D66" s="107" t="s">
        <v>343</v>
      </c>
      <c r="E66" s="599" t="str">
        <f t="shared" si="6"/>
        <v>ArildHeggeset</v>
      </c>
      <c r="F66" s="192">
        <f>YEAR(I$5)-_xlfn.XLOOKUP(E66,Deltakerliste!E$5:E$98,Deltakerliste!I$5:I$98)</f>
        <v>59</v>
      </c>
      <c r="G66" s="192">
        <f>_xlfn.XLOOKUP(E66,Deltakerliste!E$5:E$98,Deltakerliste!H$5:H$98)</f>
        <v>2</v>
      </c>
      <c r="H66" s="592">
        <f>VLOOKUP(F66,Deltakerliste!P$6:T$84,G66,FALSE)</f>
        <v>1.1860000000000002</v>
      </c>
      <c r="I66" s="86"/>
      <c r="J66" s="86"/>
      <c r="K66" s="13"/>
      <c r="L66" s="600"/>
      <c r="M66" s="594"/>
      <c r="N66" s="724"/>
      <c r="O66" s="596"/>
    </row>
    <row r="67" spans="2:17" ht="21" thickBot="1" x14ac:dyDescent="0.3">
      <c r="B67" s="16">
        <f t="shared" si="0"/>
        <v>58</v>
      </c>
      <c r="C67" s="106" t="s">
        <v>309</v>
      </c>
      <c r="D67" s="107" t="s">
        <v>310</v>
      </c>
      <c r="E67" s="599" t="str">
        <f t="shared" si="6"/>
        <v>VigdisHeimly</v>
      </c>
      <c r="F67" s="192">
        <f>YEAR(I$5)-_xlfn.XLOOKUP(E67,Deltakerliste!E$5:E$98,Deltakerliste!I$5:I$98)</f>
        <v>67</v>
      </c>
      <c r="G67" s="192">
        <f>_xlfn.XLOOKUP(E67,Deltakerliste!E$5:E$98,Deltakerliste!H$5:H$98)</f>
        <v>4</v>
      </c>
      <c r="H67" s="592">
        <f>VLOOKUP(F67,Deltakerliste!P$6:T$84,G67,FALSE)</f>
        <v>1.8422000000000009</v>
      </c>
      <c r="I67" s="86"/>
      <c r="J67" s="86"/>
      <c r="K67" s="17"/>
      <c r="L67" s="600"/>
      <c r="M67" s="594"/>
      <c r="N67" s="724"/>
      <c r="O67" s="596"/>
    </row>
    <row r="68" spans="2:17" ht="21" thickBot="1" x14ac:dyDescent="0.3">
      <c r="B68" s="16">
        <f t="shared" si="0"/>
        <v>59</v>
      </c>
      <c r="C68" s="106" t="s">
        <v>118</v>
      </c>
      <c r="D68" s="107" t="s">
        <v>383</v>
      </c>
      <c r="E68" s="599" t="str">
        <f t="shared" si="6"/>
        <v>KnutHelland</v>
      </c>
      <c r="F68" s="192">
        <f>YEAR(I$5)-_xlfn.XLOOKUP(E68,Deltakerliste!E$5:E$98,Deltakerliste!I$5:I$98)</f>
        <v>64</v>
      </c>
      <c r="G68" s="192">
        <f>_xlfn.XLOOKUP(E68,Deltakerliste!E$5:E$98,Deltakerliste!H$5:H$98)</f>
        <v>2</v>
      </c>
      <c r="H68" s="592">
        <f>VLOOKUP(F68,Deltakerliste!P$6:T$84,G68,FALSE)</f>
        <v>1.2759999999999998</v>
      </c>
      <c r="I68" s="86"/>
      <c r="J68" s="86"/>
      <c r="K68" s="17"/>
      <c r="L68" s="600"/>
      <c r="M68" s="594"/>
      <c r="N68" s="724"/>
      <c r="O68" s="596"/>
    </row>
    <row r="69" spans="2:17" ht="21" thickBot="1" x14ac:dyDescent="0.3">
      <c r="B69" s="16">
        <f t="shared" si="0"/>
        <v>60</v>
      </c>
      <c r="C69" s="106" t="s">
        <v>99</v>
      </c>
      <c r="D69" s="107" t="s">
        <v>100</v>
      </c>
      <c r="E69" s="599" t="str">
        <f t="shared" si="6"/>
        <v>RobertHirsch</v>
      </c>
      <c r="F69" s="192">
        <f>YEAR(I$5)-_xlfn.XLOOKUP(E69,Deltakerliste!E$5:E$98,Deltakerliste!I$5:I$98)</f>
        <v>69</v>
      </c>
      <c r="G69" s="192">
        <f>_xlfn.XLOOKUP(E69,Deltakerliste!E$5:E$98,Deltakerliste!H$5:H$98)</f>
        <v>2</v>
      </c>
      <c r="H69" s="592">
        <f>VLOOKUP(F69,Deltakerliste!P$6:T$84,G69,FALSE)</f>
        <v>1.3989999999999998</v>
      </c>
      <c r="I69" s="86"/>
      <c r="J69" s="86"/>
      <c r="K69" s="13"/>
      <c r="L69" s="600"/>
      <c r="M69" s="594"/>
      <c r="N69" s="724"/>
      <c r="O69" s="596"/>
    </row>
    <row r="70" spans="2:17" ht="21" thickBot="1" x14ac:dyDescent="0.3">
      <c r="B70" s="16">
        <f t="shared" si="0"/>
        <v>61</v>
      </c>
      <c r="C70" s="106" t="s">
        <v>263</v>
      </c>
      <c r="D70" s="107" t="s">
        <v>264</v>
      </c>
      <c r="E70" s="599" t="str">
        <f t="shared" si="6"/>
        <v>RuneHolt</v>
      </c>
      <c r="F70" s="192">
        <f>YEAR(I$5)-_xlfn.XLOOKUP(E70,Deltakerliste!E$5:E$98,Deltakerliste!I$5:I$98)</f>
        <v>73</v>
      </c>
      <c r="G70" s="192">
        <f>_xlfn.XLOOKUP(E70,Deltakerliste!E$5:E$98,Deltakerliste!H$5:H$98)</f>
        <v>2</v>
      </c>
      <c r="H70" s="592">
        <f>VLOOKUP(F70,Deltakerliste!P$6:T$84,G70,FALSE)</f>
        <v>1.5329999999999999</v>
      </c>
      <c r="I70" s="86"/>
      <c r="J70" s="134"/>
      <c r="K70" s="17"/>
      <c r="L70" s="600"/>
      <c r="M70" s="594"/>
      <c r="N70" s="724"/>
      <c r="O70" s="596"/>
    </row>
    <row r="71" spans="2:17" ht="21" thickBot="1" x14ac:dyDescent="0.3">
      <c r="B71" s="16">
        <f t="shared" si="0"/>
        <v>62</v>
      </c>
      <c r="C71" s="106" t="s">
        <v>103</v>
      </c>
      <c r="D71" s="107" t="s">
        <v>104</v>
      </c>
      <c r="E71" s="599" t="str">
        <f t="shared" si="6"/>
        <v>SveinHove</v>
      </c>
      <c r="F71" s="192">
        <f>YEAR(I$5)-_xlfn.XLOOKUP(E71,Deltakerliste!E$5:E$98,Deltakerliste!I$5:I$98)</f>
        <v>79</v>
      </c>
      <c r="G71" s="192">
        <f>_xlfn.XLOOKUP(E71,Deltakerliste!E$5:E$98,Deltakerliste!H$5:H$98)</f>
        <v>2</v>
      </c>
      <c r="H71" s="592">
        <f>VLOOKUP(F71,Deltakerliste!P$6:T$84,G71,FALSE)</f>
        <v>1.8050000000000002</v>
      </c>
      <c r="I71" s="86"/>
      <c r="J71" s="86"/>
      <c r="K71" s="17"/>
      <c r="L71" s="600"/>
      <c r="M71" s="594"/>
      <c r="N71" s="724"/>
      <c r="O71" s="596"/>
    </row>
    <row r="72" spans="2:17" ht="21" thickBot="1" x14ac:dyDescent="0.3">
      <c r="B72" s="16">
        <f t="shared" si="0"/>
        <v>63</v>
      </c>
      <c r="C72" s="106" t="s">
        <v>269</v>
      </c>
      <c r="D72" s="107" t="s">
        <v>270</v>
      </c>
      <c r="E72" s="599" t="str">
        <f t="shared" si="6"/>
        <v>Per OlavJohansen</v>
      </c>
      <c r="F72" s="192">
        <f>YEAR(I$5)-_xlfn.XLOOKUP(E72,Deltakerliste!E$5:E$98,Deltakerliste!I$5:I$98)</f>
        <v>68</v>
      </c>
      <c r="G72" s="192">
        <f>_xlfn.XLOOKUP(E72,Deltakerliste!E$5:E$98,Deltakerliste!H$5:H$98)</f>
        <v>2</v>
      </c>
      <c r="H72" s="592">
        <f>VLOOKUP(F72,Deltakerliste!P$6:T$84,G72,FALSE)</f>
        <v>1.3729999999999998</v>
      </c>
      <c r="I72" s="132"/>
      <c r="J72" s="132"/>
      <c r="K72" s="134"/>
      <c r="L72" s="600"/>
      <c r="M72" s="594"/>
      <c r="N72" s="724"/>
      <c r="O72" s="596"/>
    </row>
    <row r="73" spans="2:17" ht="21" thickBot="1" x14ac:dyDescent="0.3">
      <c r="B73" s="16">
        <f t="shared" si="0"/>
        <v>64</v>
      </c>
      <c r="C73" s="106" t="s">
        <v>108</v>
      </c>
      <c r="D73" s="107" t="s">
        <v>109</v>
      </c>
      <c r="E73" s="599" t="str">
        <f t="shared" si="6"/>
        <v>Finn FayeKnudsen</v>
      </c>
      <c r="F73" s="192">
        <f>YEAR(I$5)-_xlfn.XLOOKUP(E73,Deltakerliste!E$5:E$98,Deltakerliste!I$5:I$98)</f>
        <v>84</v>
      </c>
      <c r="G73" s="192">
        <f>_xlfn.XLOOKUP(E73,Deltakerliste!E$5:E$98,Deltakerliste!H$5:H$98)</f>
        <v>2</v>
      </c>
      <c r="H73" s="592">
        <f>VLOOKUP(F73,Deltakerliste!P$6:T$84,G73,FALSE)</f>
        <v>2.1509999999999998</v>
      </c>
      <c r="I73" s="86"/>
      <c r="J73" s="86"/>
      <c r="K73" s="13"/>
      <c r="L73" s="600"/>
      <c r="M73" s="594"/>
      <c r="N73" s="724"/>
      <c r="O73" s="596"/>
    </row>
    <row r="74" spans="2:17" ht="21" thickBot="1" x14ac:dyDescent="0.3">
      <c r="B74" s="16">
        <f t="shared" ref="B74:B96" si="7">B73+1</f>
        <v>65</v>
      </c>
      <c r="C74" s="106" t="s">
        <v>251</v>
      </c>
      <c r="D74" s="107" t="s">
        <v>252</v>
      </c>
      <c r="E74" s="599" t="str">
        <f t="shared" ref="E74:E96" si="8">_xlfn.CONCAT(C74:D74)</f>
        <v>OttarKristiansen</v>
      </c>
      <c r="F74" s="192">
        <f>YEAR(I$5)-_xlfn.XLOOKUP(E74,Deltakerliste!E$5:E$98,Deltakerliste!I$5:I$98)</f>
        <v>77</v>
      </c>
      <c r="G74" s="192">
        <f>_xlfn.XLOOKUP(E74,Deltakerliste!E$5:E$98,Deltakerliste!H$5:H$98)</f>
        <v>2</v>
      </c>
      <c r="H74" s="592">
        <f>VLOOKUP(F74,Deltakerliste!P$6:T$84,G74,FALSE)</f>
        <v>1.7050000000000001</v>
      </c>
      <c r="I74" s="86"/>
      <c r="J74" s="86"/>
      <c r="K74" s="17"/>
      <c r="L74" s="600"/>
      <c r="M74" s="594"/>
      <c r="N74" s="724"/>
      <c r="O74" s="596"/>
    </row>
    <row r="75" spans="2:17" ht="21" thickBot="1" x14ac:dyDescent="0.3">
      <c r="B75" s="16">
        <f t="shared" si="7"/>
        <v>66</v>
      </c>
      <c r="C75" s="106" t="s">
        <v>299</v>
      </c>
      <c r="D75" s="107" t="s">
        <v>300</v>
      </c>
      <c r="E75" s="599" t="str">
        <f t="shared" si="8"/>
        <v>OlavKvittem</v>
      </c>
      <c r="F75" s="192">
        <f>YEAR(I$5)-_xlfn.XLOOKUP(E75,Deltakerliste!E$5:E$98,Deltakerliste!I$5:I$98)</f>
        <v>71</v>
      </c>
      <c r="G75" s="192">
        <f>_xlfn.XLOOKUP(E75,Deltakerliste!E$5:E$98,Deltakerliste!H$5:H$98)</f>
        <v>2</v>
      </c>
      <c r="H75" s="592">
        <f>VLOOKUP(F75,Deltakerliste!P$6:T$84,G75,FALSE)</f>
        <v>1.4609999999999999</v>
      </c>
      <c r="I75" s="86"/>
      <c r="J75" s="86"/>
      <c r="K75" s="13"/>
      <c r="L75" s="600"/>
      <c r="M75" s="594"/>
      <c r="N75" s="724"/>
      <c r="O75" s="596"/>
      <c r="Q75" s="112"/>
    </row>
    <row r="76" spans="2:17" ht="21" thickBot="1" x14ac:dyDescent="0.3">
      <c r="B76" s="16">
        <f t="shared" si="7"/>
        <v>67</v>
      </c>
      <c r="C76" s="106" t="s">
        <v>112</v>
      </c>
      <c r="D76" s="107" t="s">
        <v>113</v>
      </c>
      <c r="E76" s="599" t="str">
        <f t="shared" si="8"/>
        <v>ToridKvaal</v>
      </c>
      <c r="F76" s="192">
        <f>YEAR(I$5)-_xlfn.XLOOKUP(E76,Deltakerliste!E$5:E$98,Deltakerliste!I$5:I$98)</f>
        <v>84</v>
      </c>
      <c r="G76" s="192">
        <f>_xlfn.XLOOKUP(E76,Deltakerliste!E$5:E$98,Deltakerliste!H$5:H$98)</f>
        <v>4</v>
      </c>
      <c r="H76" s="592">
        <f>VLOOKUP(F76,Deltakerliste!P$6:T$84,G76,FALSE)</f>
        <v>2.7814000000000005</v>
      </c>
      <c r="I76" s="86"/>
      <c r="J76" s="86"/>
      <c r="K76" s="13"/>
      <c r="L76" s="600"/>
      <c r="M76" s="594"/>
      <c r="N76" s="724"/>
      <c r="O76" s="596"/>
    </row>
    <row r="77" spans="2:17" ht="21" thickBot="1" x14ac:dyDescent="0.3">
      <c r="B77" s="16">
        <f t="shared" si="7"/>
        <v>68</v>
      </c>
      <c r="C77" s="106" t="s">
        <v>114</v>
      </c>
      <c r="D77" s="107" t="s">
        <v>115</v>
      </c>
      <c r="E77" s="599" t="str">
        <f t="shared" si="8"/>
        <v>MagnusLandstad</v>
      </c>
      <c r="F77" s="192">
        <f>YEAR(I$5)-_xlfn.XLOOKUP(E77,Deltakerliste!E$5:E$98,Deltakerliste!I$5:I$98)</f>
        <v>83</v>
      </c>
      <c r="G77" s="192">
        <f>_xlfn.XLOOKUP(E77,Deltakerliste!E$5:E$98,Deltakerliste!H$5:H$98)</f>
        <v>2</v>
      </c>
      <c r="H77" s="592">
        <f>VLOOKUP(F77,Deltakerliste!P$6:T$84,G77,FALSE)</f>
        <v>2.077</v>
      </c>
      <c r="I77" s="86"/>
      <c r="J77" s="86"/>
      <c r="K77" s="13"/>
      <c r="L77" s="600"/>
      <c r="M77" s="594"/>
      <c r="N77" s="724"/>
      <c r="O77" s="596"/>
    </row>
    <row r="78" spans="2:17" ht="21" thickBot="1" x14ac:dyDescent="0.3">
      <c r="B78" s="16">
        <f t="shared" si="7"/>
        <v>69</v>
      </c>
      <c r="C78" s="106" t="s">
        <v>254</v>
      </c>
      <c r="D78" s="107" t="s">
        <v>255</v>
      </c>
      <c r="E78" s="599" t="str">
        <f t="shared" si="8"/>
        <v>ArnfinnLangeland</v>
      </c>
      <c r="F78" s="192">
        <f>YEAR(I$5)-_xlfn.XLOOKUP(E78,Deltakerliste!E$5:E$98,Deltakerliste!I$5:I$98)</f>
        <v>90</v>
      </c>
      <c r="G78" s="192">
        <f>_xlfn.XLOOKUP(E78,Deltakerliste!E$5:E$98,Deltakerliste!H$5:H$98)</f>
        <v>2</v>
      </c>
      <c r="H78" s="592">
        <f>VLOOKUP(F78,Deltakerliste!P$6:T$84,G78,FALSE)</f>
        <v>2.645</v>
      </c>
      <c r="I78" s="86"/>
      <c r="J78" s="86"/>
      <c r="K78" s="13"/>
      <c r="L78" s="600"/>
      <c r="M78" s="594"/>
      <c r="N78" s="724"/>
      <c r="O78" s="596"/>
    </row>
    <row r="79" spans="2:17" ht="21" thickBot="1" x14ac:dyDescent="0.3">
      <c r="B79" s="16">
        <f t="shared" si="7"/>
        <v>70</v>
      </c>
      <c r="C79" s="106" t="s">
        <v>120</v>
      </c>
      <c r="D79" s="107" t="s">
        <v>121</v>
      </c>
      <c r="E79" s="599" t="str">
        <f t="shared" si="8"/>
        <v>KlausLivik</v>
      </c>
      <c r="F79" s="192">
        <f>YEAR(I$5)-_xlfn.XLOOKUP(E79,Deltakerliste!E$5:E$98,Deltakerliste!I$5:I$98)</f>
        <v>72</v>
      </c>
      <c r="G79" s="192">
        <f>_xlfn.XLOOKUP(E79,Deltakerliste!E$5:E$98,Deltakerliste!H$5:H$98)</f>
        <v>2</v>
      </c>
      <c r="H79" s="592">
        <f>VLOOKUP(F79,Deltakerliste!P$6:T$84,G79,FALSE)</f>
        <v>1.4969999999999999</v>
      </c>
      <c r="I79" s="13"/>
      <c r="J79" s="13"/>
      <c r="K79" s="17"/>
      <c r="L79" s="600"/>
      <c r="M79" s="594"/>
      <c r="N79" s="724"/>
      <c r="O79" s="596"/>
    </row>
    <row r="80" spans="2:17" ht="21" thickBot="1" x14ac:dyDescent="0.3">
      <c r="B80" s="16">
        <f t="shared" si="7"/>
        <v>71</v>
      </c>
      <c r="C80" s="106" t="s">
        <v>222</v>
      </c>
      <c r="D80" s="107" t="s">
        <v>221</v>
      </c>
      <c r="E80" s="599" t="str">
        <f t="shared" si="8"/>
        <v>Kjell Maroni</v>
      </c>
      <c r="F80" s="192">
        <f>YEAR(I$5)-_xlfn.XLOOKUP(E80,Deltakerliste!E$5:E$98,Deltakerliste!I$5:I$98)</f>
        <v>70</v>
      </c>
      <c r="G80" s="192">
        <f>_xlfn.XLOOKUP(E80,Deltakerliste!E$5:E$98,Deltakerliste!H$5:H$98)</f>
        <v>2</v>
      </c>
      <c r="H80" s="592">
        <f>VLOOKUP(F80,Deltakerliste!P$6:T$84,G80,FALSE)</f>
        <v>1.4249999999999998</v>
      </c>
      <c r="I80" s="13"/>
      <c r="J80" s="13"/>
      <c r="K80" s="13"/>
      <c r="L80" s="600"/>
      <c r="M80" s="594"/>
      <c r="N80" s="724"/>
      <c r="O80" s="596"/>
    </row>
    <row r="81" spans="2:15" ht="21" thickBot="1" x14ac:dyDescent="0.3">
      <c r="B81" s="16">
        <f t="shared" si="7"/>
        <v>72</v>
      </c>
      <c r="C81" s="106" t="s">
        <v>128</v>
      </c>
      <c r="D81" s="107" t="s">
        <v>129</v>
      </c>
      <c r="E81" s="599" t="str">
        <f t="shared" si="8"/>
        <v>OddMusum</v>
      </c>
      <c r="F81" s="192">
        <f>YEAR(I$5)-_xlfn.XLOOKUP(E81,Deltakerliste!E$5:E$98,Deltakerliste!I$5:I$98)</f>
        <v>84</v>
      </c>
      <c r="G81" s="192">
        <f>_xlfn.XLOOKUP(E81,Deltakerliste!E$5:E$98,Deltakerliste!H$5:H$98)</f>
        <v>2</v>
      </c>
      <c r="H81" s="592">
        <f>VLOOKUP(F81,Deltakerliste!P$6:T$84,G81,FALSE)</f>
        <v>2.1509999999999998</v>
      </c>
      <c r="I81" s="13"/>
      <c r="J81" s="13"/>
      <c r="K81" s="13"/>
      <c r="L81" s="600"/>
      <c r="M81" s="594"/>
      <c r="N81" s="724"/>
      <c r="O81" s="596"/>
    </row>
    <row r="82" spans="2:15" ht="21" thickBot="1" x14ac:dyDescent="0.3">
      <c r="B82" s="16">
        <f t="shared" si="7"/>
        <v>73</v>
      </c>
      <c r="C82" s="106" t="s">
        <v>130</v>
      </c>
      <c r="D82" s="107" t="s">
        <v>131</v>
      </c>
      <c r="E82" s="599" t="str">
        <f t="shared" si="8"/>
        <v>AtleMørk</v>
      </c>
      <c r="F82" s="192">
        <f>YEAR(I$5)-_xlfn.XLOOKUP(E82,Deltakerliste!E$5:E$98,Deltakerliste!I$5:I$98)</f>
        <v>77</v>
      </c>
      <c r="G82" s="192">
        <f>_xlfn.XLOOKUP(E82,Deltakerliste!E$5:E$98,Deltakerliste!H$5:H$98)</f>
        <v>2</v>
      </c>
      <c r="H82" s="592">
        <f>VLOOKUP(F82,Deltakerliste!P$6:T$84,G82,FALSE)</f>
        <v>1.7050000000000001</v>
      </c>
      <c r="I82" s="132"/>
      <c r="J82" s="132"/>
      <c r="K82" s="132"/>
      <c r="L82" s="600"/>
      <c r="M82" s="594"/>
      <c r="N82" s="724"/>
      <c r="O82" s="596"/>
    </row>
    <row r="83" spans="2:15" ht="21" thickBot="1" x14ac:dyDescent="0.3">
      <c r="B83" s="16">
        <f t="shared" si="7"/>
        <v>74</v>
      </c>
      <c r="C83" s="106" t="s">
        <v>132</v>
      </c>
      <c r="D83" s="107" t="s">
        <v>133</v>
      </c>
      <c r="E83" s="599" t="str">
        <f t="shared" si="8"/>
        <v>JarleNestvold</v>
      </c>
      <c r="F83" s="192">
        <f>YEAR(I$5)-_xlfn.XLOOKUP(E83,Deltakerliste!E$5:E$98,Deltakerliste!I$5:I$98)</f>
        <v>89</v>
      </c>
      <c r="G83" s="192">
        <f>_xlfn.XLOOKUP(E83,Deltakerliste!E$5:E$98,Deltakerliste!H$5:H$98)</f>
        <v>2</v>
      </c>
      <c r="H83" s="592">
        <f>VLOOKUP(F83,Deltakerliste!P$6:T$84,G83,FALSE)</f>
        <v>2.5609999999999999</v>
      </c>
      <c r="I83" s="132"/>
      <c r="J83" s="18"/>
      <c r="K83" s="18"/>
      <c r="L83" s="600"/>
      <c r="M83" s="594"/>
      <c r="N83" s="724"/>
      <c r="O83" s="596"/>
    </row>
    <row r="84" spans="2:15" ht="21" thickBot="1" x14ac:dyDescent="0.3">
      <c r="B84" s="16">
        <f t="shared" si="7"/>
        <v>75</v>
      </c>
      <c r="C84" s="106" t="s">
        <v>402</v>
      </c>
      <c r="D84" s="107" t="s">
        <v>403</v>
      </c>
      <c r="E84" s="599" t="str">
        <f t="shared" si="8"/>
        <v>BørgeNordli</v>
      </c>
      <c r="F84" s="192">
        <f>YEAR(I$5)-_xlfn.XLOOKUP(E84,Deltakerliste!E$5:E$98,Deltakerliste!I$5:I$98)</f>
        <v>44</v>
      </c>
      <c r="G84" s="192">
        <f>_xlfn.XLOOKUP(E84,Deltakerliste!E$5:E$98,Deltakerliste!H$5:H$98)</f>
        <v>2</v>
      </c>
      <c r="H84" s="592">
        <f>VLOOKUP(F84,Deltakerliste!P$6:T$84,G84,FALSE)</f>
        <v>1.0399999999999996</v>
      </c>
      <c r="I84" s="132"/>
      <c r="J84" s="132"/>
      <c r="K84" s="18"/>
      <c r="L84" s="600"/>
      <c r="M84" s="594"/>
      <c r="N84" s="724"/>
      <c r="O84" s="596"/>
    </row>
    <row r="85" spans="2:15" ht="21" thickBot="1" x14ac:dyDescent="0.3">
      <c r="B85" s="16">
        <f t="shared" si="7"/>
        <v>76</v>
      </c>
      <c r="C85" s="111" t="s">
        <v>265</v>
      </c>
      <c r="D85" s="193" t="s">
        <v>344</v>
      </c>
      <c r="E85" s="599" t="str">
        <f t="shared" si="8"/>
        <v>ØysteinNytrø</v>
      </c>
      <c r="F85" s="192">
        <f>YEAR(I$5)-_xlfn.XLOOKUP(E85,Deltakerliste!E$5:E$98,Deltakerliste!I$5:I$98)</f>
        <v>66</v>
      </c>
      <c r="G85" s="192">
        <f>_xlfn.XLOOKUP(E85,Deltakerliste!E$5:E$98,Deltakerliste!H$5:H$98)</f>
        <v>2</v>
      </c>
      <c r="H85" s="592">
        <f>VLOOKUP(F85,Deltakerliste!P$6:T$84,G85,FALSE)</f>
        <v>1.3209999999999997</v>
      </c>
      <c r="I85" s="18"/>
      <c r="J85" s="132"/>
      <c r="K85" s="18"/>
      <c r="L85" s="600"/>
      <c r="M85" s="594"/>
      <c r="N85" s="724"/>
      <c r="O85" s="596"/>
    </row>
    <row r="86" spans="2:15" ht="21" thickBot="1" x14ac:dyDescent="0.3">
      <c r="B86" s="16">
        <f t="shared" si="7"/>
        <v>77</v>
      </c>
      <c r="C86" s="111" t="s">
        <v>72</v>
      </c>
      <c r="D86" s="193" t="s">
        <v>139</v>
      </c>
      <c r="E86" s="599" t="str">
        <f t="shared" si="8"/>
        <v>KåreOnsøyen</v>
      </c>
      <c r="F86" s="192">
        <f>YEAR(I$5)-_xlfn.XLOOKUP(E86,Deltakerliste!E$5:E$98,Deltakerliste!I$5:I$98)</f>
        <v>78</v>
      </c>
      <c r="G86" s="192">
        <f>_xlfn.XLOOKUP(E86,Deltakerliste!E$5:E$98,Deltakerliste!H$5:H$98)</f>
        <v>2</v>
      </c>
      <c r="H86" s="592">
        <f>VLOOKUP(F86,Deltakerliste!P$6:T$84,G86,FALSE)</f>
        <v>1.7550000000000001</v>
      </c>
      <c r="I86" s="13"/>
      <c r="J86" s="13"/>
      <c r="K86" s="13"/>
      <c r="L86" s="600"/>
      <c r="M86" s="594"/>
      <c r="N86" s="724"/>
      <c r="O86" s="596"/>
    </row>
    <row r="87" spans="2:15" ht="21" thickBot="1" x14ac:dyDescent="0.3">
      <c r="B87" s="16">
        <f t="shared" si="7"/>
        <v>78</v>
      </c>
      <c r="C87" s="111" t="s">
        <v>140</v>
      </c>
      <c r="D87" s="108" t="s">
        <v>141</v>
      </c>
      <c r="E87" s="599" t="str">
        <f t="shared" si="8"/>
        <v>Grete BergeOwren</v>
      </c>
      <c r="F87" s="192">
        <f>YEAR(I$5)-_xlfn.XLOOKUP(E87,Deltakerliste!E$5:E$98,Deltakerliste!I$5:I$98)</f>
        <v>68</v>
      </c>
      <c r="G87" s="192">
        <f>_xlfn.XLOOKUP(E87,Deltakerliste!E$5:E$98,Deltakerliste!H$5:H$98)</f>
        <v>4</v>
      </c>
      <c r="H87" s="592">
        <f>VLOOKUP(F87,Deltakerliste!P$6:T$84,G87,FALSE)</f>
        <v>1.877800000000001</v>
      </c>
      <c r="I87" s="18"/>
      <c r="J87" s="18"/>
      <c r="K87" s="18"/>
      <c r="L87" s="600"/>
      <c r="M87" s="594"/>
      <c r="N87" s="724"/>
      <c r="O87" s="596"/>
    </row>
    <row r="88" spans="2:15" ht="21" thickBot="1" x14ac:dyDescent="0.3">
      <c r="B88" s="16">
        <f t="shared" si="7"/>
        <v>79</v>
      </c>
      <c r="C88" s="111" t="s">
        <v>144</v>
      </c>
      <c r="D88" s="193" t="s">
        <v>145</v>
      </c>
      <c r="E88" s="599" t="str">
        <f t="shared" si="8"/>
        <v>Bjørn Rindstad</v>
      </c>
      <c r="F88" s="192">
        <f>YEAR(I$5)-_xlfn.XLOOKUP(E88,Deltakerliste!E$5:E$98,Deltakerliste!I$5:I$98)</f>
        <v>75</v>
      </c>
      <c r="G88" s="192">
        <f>_xlfn.XLOOKUP(E88,Deltakerliste!E$5:E$98,Deltakerliste!H$5:H$98)</f>
        <v>2</v>
      </c>
      <c r="H88" s="592">
        <f>VLOOKUP(F88,Deltakerliste!P$6:T$84,G88,FALSE)</f>
        <v>1.605</v>
      </c>
      <c r="I88" s="18"/>
      <c r="J88" s="18"/>
      <c r="K88" s="18"/>
      <c r="L88" s="600"/>
      <c r="M88" s="594"/>
      <c r="N88" s="724"/>
      <c r="O88" s="596"/>
    </row>
    <row r="89" spans="2:15" ht="21" thickBot="1" x14ac:dyDescent="0.3">
      <c r="B89" s="16">
        <f t="shared" si="7"/>
        <v>80</v>
      </c>
      <c r="C89" s="111" t="s">
        <v>228</v>
      </c>
      <c r="D89" s="193" t="s">
        <v>229</v>
      </c>
      <c r="E89" s="599" t="str">
        <f t="shared" si="8"/>
        <v>May-LisRønning</v>
      </c>
      <c r="F89" s="192">
        <f>YEAR(I$5)-_xlfn.XLOOKUP(E89,Deltakerliste!E$5:E$98,Deltakerliste!I$5:I$98)</f>
        <v>56</v>
      </c>
      <c r="G89" s="192">
        <f>_xlfn.XLOOKUP(E89,Deltakerliste!E$5:E$98,Deltakerliste!H$5:H$98)</f>
        <v>4</v>
      </c>
      <c r="H89" s="592">
        <f>VLOOKUP(F89,Deltakerliste!P$6:T$84,G89,FALSE)</f>
        <v>1.5329999999999997</v>
      </c>
      <c r="I89" s="18"/>
      <c r="J89" s="18"/>
      <c r="K89" s="18"/>
      <c r="L89" s="600"/>
      <c r="M89" s="594"/>
      <c r="N89" s="724"/>
      <c r="O89" s="596"/>
    </row>
    <row r="90" spans="2:15" ht="21" thickBot="1" x14ac:dyDescent="0.3">
      <c r="B90" s="16">
        <f t="shared" si="7"/>
        <v>81</v>
      </c>
      <c r="C90" s="111" t="s">
        <v>147</v>
      </c>
      <c r="D90" s="108" t="s">
        <v>148</v>
      </c>
      <c r="E90" s="599" t="str">
        <f t="shared" si="8"/>
        <v>ViggoSchei</v>
      </c>
      <c r="F90" s="192">
        <f>YEAR(I$5)-_xlfn.XLOOKUP(E90,Deltakerliste!E$5:E$98,Deltakerliste!I$5:I$98)</f>
        <v>75</v>
      </c>
      <c r="G90" s="192">
        <f>_xlfn.XLOOKUP(E90,Deltakerliste!E$5:E$98,Deltakerliste!H$5:H$98)</f>
        <v>2</v>
      </c>
      <c r="H90" s="592">
        <f>VLOOKUP(F90,Deltakerliste!P$6:T$84,G90,FALSE)</f>
        <v>1.605</v>
      </c>
      <c r="I90" s="18"/>
      <c r="J90" s="132"/>
      <c r="K90" s="18"/>
      <c r="L90" s="600"/>
      <c r="M90" s="594"/>
      <c r="N90" s="724"/>
      <c r="O90" s="596"/>
    </row>
    <row r="91" spans="2:15" ht="21" thickBot="1" x14ac:dyDescent="0.3">
      <c r="B91" s="16">
        <f t="shared" si="7"/>
        <v>82</v>
      </c>
      <c r="C91" s="111" t="s">
        <v>298</v>
      </c>
      <c r="D91" s="108" t="s">
        <v>297</v>
      </c>
      <c r="E91" s="599" t="str">
        <f t="shared" si="8"/>
        <v>ØyvindSchjelderup</v>
      </c>
      <c r="F91" s="192">
        <f>YEAR(I$5)-_xlfn.XLOOKUP(E91,Deltakerliste!E$5:E$98,Deltakerliste!I$5:I$98)</f>
        <v>61</v>
      </c>
      <c r="G91" s="192">
        <f>_xlfn.XLOOKUP(E91,Deltakerliste!E$5:E$98,Deltakerliste!H$5:H$98)</f>
        <v>2</v>
      </c>
      <c r="H91" s="592">
        <f>VLOOKUP(F91,Deltakerliste!P$6:T$84,G91,FALSE)</f>
        <v>1.2190000000000001</v>
      </c>
      <c r="I91" s="18"/>
      <c r="J91" s="18"/>
      <c r="K91" s="18"/>
      <c r="L91" s="600"/>
      <c r="M91" s="594"/>
      <c r="N91" s="724"/>
      <c r="O91" s="596"/>
    </row>
    <row r="92" spans="2:15" ht="21" thickBot="1" x14ac:dyDescent="0.3">
      <c r="B92" s="16">
        <f t="shared" si="7"/>
        <v>83</v>
      </c>
      <c r="C92" s="193" t="s">
        <v>153</v>
      </c>
      <c r="D92" s="108" t="s">
        <v>154</v>
      </c>
      <c r="E92" s="599" t="str">
        <f t="shared" si="8"/>
        <v>ReidunSmaavik</v>
      </c>
      <c r="F92" s="192">
        <f>YEAR(I$5)-_xlfn.XLOOKUP(E92,Deltakerliste!E$5:E$98,Deltakerliste!I$5:I$98)</f>
        <v>71</v>
      </c>
      <c r="G92" s="192">
        <f>_xlfn.XLOOKUP(E92,Deltakerliste!E$5:E$98,Deltakerliste!H$5:H$98)</f>
        <v>4</v>
      </c>
      <c r="H92" s="592">
        <f>VLOOKUP(F92,Deltakerliste!P$6:T$84,G92,FALSE)</f>
        <v>1.9926000000000013</v>
      </c>
      <c r="I92" s="132"/>
      <c r="J92" s="18"/>
      <c r="K92" s="18"/>
      <c r="L92" s="600"/>
      <c r="M92" s="594"/>
      <c r="N92" s="724"/>
      <c r="O92" s="596"/>
    </row>
    <row r="93" spans="2:15" ht="21" thickBot="1" x14ac:dyDescent="0.3">
      <c r="B93" s="16">
        <f t="shared" si="7"/>
        <v>84</v>
      </c>
      <c r="C93" s="193" t="s">
        <v>155</v>
      </c>
      <c r="D93" s="108" t="s">
        <v>156</v>
      </c>
      <c r="E93" s="599" t="str">
        <f t="shared" si="8"/>
        <v>KjellrunSporild</v>
      </c>
      <c r="F93" s="192">
        <f>YEAR(I$5)-_xlfn.XLOOKUP(E93,Deltakerliste!E$5:E$98,Deltakerliste!I$5:I$98)</f>
        <v>71</v>
      </c>
      <c r="G93" s="192">
        <f>_xlfn.XLOOKUP(E93,Deltakerliste!E$5:E$98,Deltakerliste!H$5:H$98)</f>
        <v>4</v>
      </c>
      <c r="H93" s="592">
        <f>VLOOKUP(F93,Deltakerliste!P$6:T$84,G93,FALSE)</f>
        <v>1.9926000000000013</v>
      </c>
      <c r="I93" s="18"/>
      <c r="J93" s="132"/>
      <c r="K93" s="18"/>
      <c r="L93" s="600"/>
      <c r="M93" s="594"/>
      <c r="N93" s="724"/>
      <c r="O93" s="596"/>
    </row>
    <row r="94" spans="2:15" ht="21" thickBot="1" x14ac:dyDescent="0.3">
      <c r="B94" s="16">
        <f t="shared" si="7"/>
        <v>85</v>
      </c>
      <c r="C94" s="193" t="s">
        <v>232</v>
      </c>
      <c r="D94" s="133" t="s">
        <v>231</v>
      </c>
      <c r="E94" s="599" t="str">
        <f t="shared" si="8"/>
        <v>BeritSunnset</v>
      </c>
      <c r="F94" s="192">
        <f>YEAR(I$5)-_xlfn.XLOOKUP(E94,Deltakerliste!E$5:E$98,Deltakerliste!I$5:I$98)</f>
        <v>63</v>
      </c>
      <c r="G94" s="192">
        <f>_xlfn.XLOOKUP(E94,Deltakerliste!E$5:E$98,Deltakerliste!H$5:H$98)</f>
        <v>4</v>
      </c>
      <c r="H94" s="592">
        <f>VLOOKUP(F94,Deltakerliste!P$6:T$84,G94,FALSE)</f>
        <v>1.7126000000000006</v>
      </c>
      <c r="I94" s="18"/>
      <c r="J94" s="18"/>
      <c r="K94" s="18"/>
      <c r="L94" s="600"/>
      <c r="M94" s="594"/>
      <c r="N94" s="724"/>
      <c r="O94" s="596"/>
    </row>
    <row r="95" spans="2:15" ht="21" thickBot="1" x14ac:dyDescent="0.3">
      <c r="B95" s="16">
        <f t="shared" si="7"/>
        <v>86</v>
      </c>
      <c r="C95" s="193" t="s">
        <v>230</v>
      </c>
      <c r="D95" s="108" t="s">
        <v>231</v>
      </c>
      <c r="E95" s="599" t="str">
        <f t="shared" si="8"/>
        <v>TrineSunnset</v>
      </c>
      <c r="F95" s="192">
        <f>YEAR(I$5)-_xlfn.XLOOKUP(E95,Deltakerliste!E$5:E$98,Deltakerliste!I$5:I$98)</f>
        <v>63</v>
      </c>
      <c r="G95" s="192">
        <f>_xlfn.XLOOKUP(E95,Deltakerliste!E$5:E$98,Deltakerliste!H$5:H$98)</f>
        <v>4</v>
      </c>
      <c r="H95" s="592">
        <f>VLOOKUP(F95,Deltakerliste!P$6:T$84,G95,FALSE)</f>
        <v>1.7126000000000006</v>
      </c>
      <c r="I95" s="18"/>
      <c r="J95" s="18"/>
      <c r="K95" s="18"/>
      <c r="L95" s="600"/>
      <c r="M95" s="594"/>
      <c r="N95" s="724"/>
      <c r="O95" s="596"/>
    </row>
    <row r="96" spans="2:15" ht="21" thickBot="1" x14ac:dyDescent="0.3">
      <c r="B96" s="16">
        <f t="shared" si="7"/>
        <v>87</v>
      </c>
      <c r="C96" s="193" t="s">
        <v>166</v>
      </c>
      <c r="D96" s="108" t="s">
        <v>167</v>
      </c>
      <c r="E96" s="599" t="str">
        <f t="shared" si="8"/>
        <v>GunnarØsterbø</v>
      </c>
      <c r="F96" s="192">
        <f>YEAR(I$5)-_xlfn.XLOOKUP(E96,Deltakerliste!E$5:E$98,Deltakerliste!I$5:I$98)</f>
        <v>87</v>
      </c>
      <c r="G96" s="192">
        <f>_xlfn.XLOOKUP(E96,Deltakerliste!E$5:E$98,Deltakerliste!H$5:H$98)</f>
        <v>2</v>
      </c>
      <c r="H96" s="592">
        <f>VLOOKUP(F96,Deltakerliste!P$6:T$84,G96,FALSE)</f>
        <v>2.3929999999999998</v>
      </c>
      <c r="I96" s="18"/>
      <c r="J96" s="132"/>
      <c r="K96" s="18"/>
      <c r="L96" s="725"/>
      <c r="M96" s="717"/>
      <c r="N96" s="726"/>
      <c r="O96" s="719"/>
    </row>
    <row r="100" spans="4:11" ht="17" thickBot="1" x14ac:dyDescent="0.25"/>
    <row r="101" spans="4:11" ht="21" thickTop="1" thickBot="1" x14ac:dyDescent="0.3">
      <c r="D101" s="646" t="s">
        <v>288</v>
      </c>
      <c r="E101" s="647"/>
      <c r="F101" s="666"/>
      <c r="G101" s="666"/>
      <c r="H101" s="666"/>
      <c r="I101" s="648" t="s">
        <v>195</v>
      </c>
      <c r="J101" s="648" t="s">
        <v>196</v>
      </c>
      <c r="K101" s="649" t="s">
        <v>197</v>
      </c>
    </row>
    <row r="102" spans="4:11" ht="20" x14ac:dyDescent="0.25">
      <c r="D102" s="634" t="s">
        <v>172</v>
      </c>
      <c r="E102" s="320"/>
      <c r="F102" s="208"/>
      <c r="G102" s="208"/>
      <c r="H102" s="208"/>
      <c r="I102" s="635">
        <f>COUNT(I10:I97)+COUNTIF(I10:I97,"Brutt")+COUNTIF(I10:I97,"Disk")+COUNTIF(I10:I97,"(*)")</f>
        <v>19</v>
      </c>
      <c r="J102" s="635">
        <f>COUNT(J10:J97)+COUNTIF(J10:J97,"Brutt")+COUNTIF(J10:J97,"Disk")+COUNTIF(J10:J97,"(*)")</f>
        <v>17</v>
      </c>
      <c r="K102" s="636">
        <f>I102+J102</f>
        <v>36</v>
      </c>
    </row>
    <row r="103" spans="4:11" ht="19" x14ac:dyDescent="0.25">
      <c r="D103" s="637" t="s">
        <v>174</v>
      </c>
      <c r="E103" s="320"/>
      <c r="F103" s="208"/>
      <c r="G103" s="208"/>
      <c r="H103" s="208"/>
      <c r="I103" s="635">
        <f>COUNT(I10:I97)</f>
        <v>18</v>
      </c>
      <c r="J103" s="635">
        <f>COUNT(J10:J97)</f>
        <v>17</v>
      </c>
      <c r="K103" s="636">
        <f t="shared" ref="K103" si="9">I103+J103</f>
        <v>35</v>
      </c>
    </row>
    <row r="104" spans="4:11" ht="19" x14ac:dyDescent="0.25">
      <c r="D104" s="637" t="s">
        <v>173</v>
      </c>
      <c r="E104" s="320"/>
      <c r="F104" s="208"/>
      <c r="G104" s="208"/>
      <c r="H104" s="208"/>
      <c r="I104" s="208"/>
      <c r="J104" s="208"/>
      <c r="K104" s="636">
        <f>K102+COUNTIF(L10:L97,"Arr")+COUNTIF(L10:L97,"Løype")</f>
        <v>38</v>
      </c>
    </row>
    <row r="105" spans="4:11" ht="19" x14ac:dyDescent="0.25">
      <c r="D105" s="637" t="s">
        <v>341</v>
      </c>
      <c r="E105" s="320"/>
      <c r="F105" s="208"/>
      <c r="G105" s="208"/>
      <c r="H105" s="208"/>
      <c r="I105" s="208"/>
      <c r="J105" s="208"/>
      <c r="K105" s="638">
        <f>IF(SUM(L10:L97)=0," ",AVERAGEIF(M10:M97,"&gt;0",F10:F97))</f>
        <v>76.131578947368425</v>
      </c>
    </row>
    <row r="106" spans="4:11" ht="19" x14ac:dyDescent="0.25">
      <c r="D106" s="637" t="s">
        <v>296</v>
      </c>
      <c r="E106" s="320"/>
      <c r="F106" s="208"/>
      <c r="G106" s="208"/>
      <c r="H106" s="208"/>
      <c r="I106" s="208"/>
      <c r="J106" s="208"/>
      <c r="K106" s="638">
        <f>AVERAGE(I8:J8)</f>
        <v>2.7</v>
      </c>
    </row>
    <row r="107" spans="4:11" ht="19" x14ac:dyDescent="0.25">
      <c r="D107" s="637" t="s">
        <v>176</v>
      </c>
      <c r="E107" s="320"/>
      <c r="F107" s="208"/>
      <c r="G107" s="208"/>
      <c r="H107" s="208"/>
      <c r="I107" s="112">
        <f>I8*I103</f>
        <v>41.4</v>
      </c>
      <c r="J107" s="112">
        <f>J8*J103</f>
        <v>52.7</v>
      </c>
      <c r="K107" s="638">
        <f>I107+J107</f>
        <v>94.1</v>
      </c>
    </row>
    <row r="108" spans="4:11" ht="19" x14ac:dyDescent="0.25">
      <c r="D108" s="639" t="s">
        <v>286</v>
      </c>
      <c r="E108" s="320"/>
      <c r="F108" s="208"/>
      <c r="G108" s="208"/>
      <c r="H108" s="208"/>
      <c r="I108" s="103">
        <f>IF(SUM(I10:I97)=0," ",AVERAGE(I10:I97))</f>
        <v>2.3948045267489712E-2</v>
      </c>
      <c r="J108" s="103">
        <f>IF(SUM(J10:J97)=0," ",AVERAGE(J10:J97))</f>
        <v>2.3287037037037037E-2</v>
      </c>
      <c r="K108" s="640">
        <f>IF(SUM(I10:J97)=0," ",AVERAGE(I10:J97))</f>
        <v>2.3626984126984125E-2</v>
      </c>
    </row>
    <row r="109" spans="4:11" ht="20" thickBot="1" x14ac:dyDescent="0.3">
      <c r="D109" s="641" t="s">
        <v>287</v>
      </c>
      <c r="E109" s="642"/>
      <c r="F109" s="644"/>
      <c r="G109" s="644"/>
      <c r="H109" s="644"/>
      <c r="I109" s="643"/>
      <c r="J109" s="644"/>
      <c r="K109" s="645">
        <f>MIN(L10:L97)</f>
        <v>6.0745221027479089E-3</v>
      </c>
    </row>
    <row r="110" spans="4:11" ht="17" thickTop="1" x14ac:dyDescent="0.2"/>
  </sheetData>
  <autoFilter ref="C9:O96" xr:uid="{8BB1EE84-6088-EE48-95D5-1AF69D3BD102}">
    <sortState xmlns:xlrd2="http://schemas.microsoft.com/office/spreadsheetml/2017/richdata2" ref="C10:O96">
      <sortCondition ref="N9:N96"/>
    </sortState>
  </autoFilter>
  <mergeCells count="3">
    <mergeCell ref="W7:X7"/>
    <mergeCell ref="S8:U8"/>
    <mergeCell ref="W8:X8"/>
  </mergeCells>
  <pageMargins left="0.7" right="0.7" top="0.75" bottom="0.75" header="0.3" footer="0.3"/>
  <pageSetup paperSize="9" orientation="portrait" horizontalDpi="0" verticalDpi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36D8B-5CF7-CC47-AD87-B91CED96CBB3}">
  <dimension ref="B1:AC110"/>
  <sheetViews>
    <sheetView topLeftCell="A78" workbookViewId="0">
      <selection activeCell="U117" sqref="U117"/>
    </sheetView>
  </sheetViews>
  <sheetFormatPr baseColWidth="10" defaultColWidth="10.83203125" defaultRowHeight="16" x14ac:dyDescent="0.2"/>
  <cols>
    <col min="3" max="3" width="14.5" customWidth="1"/>
    <col min="4" max="4" width="20.1640625" customWidth="1"/>
    <col min="5" max="5" width="20.1640625" hidden="1" customWidth="1"/>
    <col min="6" max="6" width="14.5" style="15" customWidth="1"/>
    <col min="7" max="7" width="14.5" style="15" hidden="1" customWidth="1"/>
    <col min="8" max="8" width="14" style="15" customWidth="1"/>
    <col min="9" max="10" width="19.1640625" style="15" customWidth="1"/>
    <col min="11" max="11" width="17.6640625" style="15" customWidth="1"/>
    <col min="12" max="12" width="10.83203125" style="15"/>
    <col min="14" max="14" width="10.83203125" style="15"/>
    <col min="18" max="18" width="12.5" customWidth="1"/>
    <col min="19" max="19" width="13.5" customWidth="1"/>
    <col min="22" max="22" width="1.83203125" customWidth="1"/>
    <col min="23" max="23" width="15.83203125" customWidth="1"/>
    <col min="24" max="24" width="11" customWidth="1"/>
  </cols>
  <sheetData>
    <row r="1" spans="2:29" ht="8" customHeight="1" x14ac:dyDescent="0.2"/>
    <row r="2" spans="2:29" ht="8" customHeight="1" x14ac:dyDescent="0.2"/>
    <row r="5" spans="2:29" ht="26" x14ac:dyDescent="0.3">
      <c r="B5" s="21" t="s">
        <v>330</v>
      </c>
      <c r="C5" s="245" t="s">
        <v>407</v>
      </c>
      <c r="F5" s="667"/>
      <c r="G5" s="667"/>
      <c r="H5" s="671" t="s">
        <v>189</v>
      </c>
      <c r="I5" s="670">
        <f>'Løp 21'!I5+7</f>
        <v>46084</v>
      </c>
    </row>
    <row r="6" spans="2:29" ht="17" thickBot="1" x14ac:dyDescent="0.25">
      <c r="B6" s="15"/>
    </row>
    <row r="7" spans="2:29" ht="59" customHeight="1" thickBot="1" x14ac:dyDescent="0.35">
      <c r="B7" s="12" t="s">
        <v>194</v>
      </c>
      <c r="C7" s="662" t="s">
        <v>57</v>
      </c>
      <c r="D7" s="391" t="s">
        <v>58</v>
      </c>
      <c r="E7" s="663"/>
      <c r="F7" s="663" t="s">
        <v>234</v>
      </c>
      <c r="G7" s="391" t="s">
        <v>280</v>
      </c>
      <c r="H7" s="391" t="s">
        <v>235</v>
      </c>
      <c r="I7" s="391" t="s">
        <v>302</v>
      </c>
      <c r="J7" s="391" t="s">
        <v>303</v>
      </c>
      <c r="K7" s="391" t="s">
        <v>192</v>
      </c>
      <c r="L7" s="194" t="s">
        <v>209</v>
      </c>
      <c r="M7" s="392" t="s">
        <v>55</v>
      </c>
      <c r="N7" s="393" t="s">
        <v>242</v>
      </c>
      <c r="O7" s="393" t="s">
        <v>240</v>
      </c>
      <c r="Q7" s="319"/>
      <c r="R7" s="319"/>
      <c r="S7" s="755" t="str">
        <f>B5</f>
        <v>Løp 22</v>
      </c>
      <c r="T7" s="754" t="str">
        <f>C5</f>
        <v>Djupvika</v>
      </c>
      <c r="U7" s="730"/>
      <c r="V7" s="730"/>
      <c r="W7" s="941"/>
      <c r="X7" s="941"/>
    </row>
    <row r="8" spans="2:29" ht="23" customHeight="1" thickTop="1" thickBot="1" x14ac:dyDescent="0.35">
      <c r="B8" s="22"/>
      <c r="C8" s="394"/>
      <c r="D8" s="395"/>
      <c r="E8" s="597"/>
      <c r="F8" s="668"/>
      <c r="G8" s="668"/>
      <c r="H8" s="664"/>
      <c r="I8" s="789">
        <v>2.1</v>
      </c>
      <c r="J8" s="789">
        <v>2.6</v>
      </c>
      <c r="K8" s="391"/>
      <c r="N8" s="720"/>
      <c r="O8" s="390"/>
      <c r="S8" s="942" t="s">
        <v>312</v>
      </c>
      <c r="T8" s="943"/>
      <c r="U8" s="944"/>
      <c r="V8" s="779"/>
      <c r="W8" s="945" t="s">
        <v>313</v>
      </c>
      <c r="X8" s="940"/>
      <c r="AB8" s="836" t="s">
        <v>361</v>
      </c>
      <c r="AC8" s="827"/>
    </row>
    <row r="9" spans="2:29" ht="21" thickBot="1" x14ac:dyDescent="0.3">
      <c r="B9" s="22"/>
      <c r="C9" s="109"/>
      <c r="D9" s="105"/>
      <c r="E9" s="598"/>
      <c r="F9" s="669"/>
      <c r="G9" s="669"/>
      <c r="H9" s="665"/>
      <c r="I9" s="12"/>
      <c r="J9" s="12"/>
      <c r="K9" s="12"/>
      <c r="N9" s="722"/>
      <c r="O9" s="200"/>
      <c r="Q9" s="110"/>
      <c r="S9" s="731"/>
      <c r="T9" s="727" t="s">
        <v>311</v>
      </c>
      <c r="U9" s="750" t="s">
        <v>55</v>
      </c>
      <c r="V9" s="780"/>
      <c r="W9" s="774"/>
      <c r="X9" s="732" t="s">
        <v>55</v>
      </c>
      <c r="AB9" s="834" t="s">
        <v>234</v>
      </c>
      <c r="AC9" s="835" t="s">
        <v>362</v>
      </c>
    </row>
    <row r="10" spans="2:29" ht="21" thickBot="1" x14ac:dyDescent="0.3">
      <c r="B10" s="16">
        <f t="shared" ref="B10:B41" si="0">B9+1</f>
        <v>1</v>
      </c>
      <c r="C10" s="106" t="s">
        <v>159</v>
      </c>
      <c r="D10" s="107" t="s">
        <v>160</v>
      </c>
      <c r="E10" s="599" t="str">
        <f t="shared" ref="E10:E41" si="1">_xlfn.CONCAT(C10:D10)</f>
        <v>EigilSørli</v>
      </c>
      <c r="F10" s="192">
        <f>YEAR(I$5)-_xlfn.XLOOKUP(E10,Deltakerliste!E$5:E$98,Deltakerliste!I$5:I$98)</f>
        <v>86</v>
      </c>
      <c r="G10" s="192">
        <f>_xlfn.XLOOKUP(E10,Deltakerliste!E$5:E$98,Deltakerliste!H$5:H$98)</f>
        <v>2</v>
      </c>
      <c r="H10" s="592">
        <f>VLOOKUP(F10,Deltakerliste!P$6:T$84,G10,FALSE)</f>
        <v>2.3089999999999997</v>
      </c>
      <c r="I10" s="132">
        <v>2.087962962962963E-2</v>
      </c>
      <c r="J10" s="18"/>
      <c r="K10" s="18"/>
      <c r="L10" s="600">
        <f t="shared" ref="L10:L50" si="2">IF(OR(I10="Arr",J10="Arr",K10="Arr"),"Arr",IF(OR(I10="Brutt",J10="Brutt",K10="Brutt"),"Brutt",IF(OR(I10="Disk",J10="Disk",K10="Disk"),"Disk",IF(OR(I10="Løype",J10="Løype",K10="Løype"),"Løype",IF(I10&gt;0,I10/I$8,J10/J$8)))))</f>
        <v>9.9426807760141095E-3</v>
      </c>
      <c r="M10" s="594">
        <f>IF(L10="Løype",Poengsammendrag!$F$2,IF(L10="Arr",Poengsammendrag!$F$3,IF(L10="Brutt",50,IF(L10="Disk",50,ROUND(MAXA(100*(MIN(L$10:L$94)/L10),50),0)))))</f>
        <v>70</v>
      </c>
      <c r="N10" s="724">
        <f t="shared" ref="N10:N50" si="3">IF(L10="Arr","Arr",IF(L10="Brutt","Brutt",IF(L10="Disk","Disk",IF(L10="Løype","Løype",L10/H10))))</f>
        <v>4.3060549051598578E-3</v>
      </c>
      <c r="O10" s="596">
        <f>IF(N10="Løype",Poengsammendrag!$F$2,IF(N10="Arr",Poengsammendrag!$F$3,IF(N10="Brutt",50,IF(N10="Disk",50,ROUND(MAXA(100*(MIN(N$10:N$94)/N10),50),0)))))</f>
        <v>100</v>
      </c>
      <c r="Q10" s="672"/>
      <c r="R10" s="672"/>
      <c r="S10" s="802" t="s">
        <v>385</v>
      </c>
      <c r="T10" s="734">
        <v>6.9889601139601137E-3</v>
      </c>
      <c r="U10" s="751">
        <v>100</v>
      </c>
      <c r="V10" s="781"/>
      <c r="W10" s="775" t="s">
        <v>357</v>
      </c>
      <c r="X10" s="739">
        <v>100</v>
      </c>
      <c r="AB10" s="832">
        <v>55</v>
      </c>
      <c r="AC10" s="833">
        <f t="shared" ref="AC10:AC50" si="4">COUNTIFS(F$10:F$97,AB10,M$10:M$97,"&gt;0")</f>
        <v>0</v>
      </c>
    </row>
    <row r="11" spans="2:29" ht="21" customHeight="1" thickBot="1" x14ac:dyDescent="0.3">
      <c r="B11" s="16">
        <f t="shared" si="0"/>
        <v>2</v>
      </c>
      <c r="C11" s="106" t="s">
        <v>138</v>
      </c>
      <c r="D11" s="107" t="s">
        <v>137</v>
      </c>
      <c r="E11" s="599" t="str">
        <f t="shared" si="1"/>
        <v>GunnhildOftedal</v>
      </c>
      <c r="F11" s="192">
        <f>YEAR(I$5)-_xlfn.XLOOKUP(E11,Deltakerliste!E$5:E$98,Deltakerliste!I$5:I$98)</f>
        <v>73</v>
      </c>
      <c r="G11" s="192">
        <f>_xlfn.XLOOKUP(E11,Deltakerliste!E$5:E$98,Deltakerliste!H$5:H$98)</f>
        <v>4</v>
      </c>
      <c r="H11" s="592">
        <f>VLOOKUP(F11,Deltakerliste!P$6:T$84,G11,FALSE)</f>
        <v>2.0798000000000014</v>
      </c>
      <c r="I11" s="13"/>
      <c r="J11" s="13">
        <v>2.3981481481481482E-2</v>
      </c>
      <c r="K11" s="13"/>
      <c r="L11" s="600">
        <f t="shared" si="2"/>
        <v>9.2236467236467244E-3</v>
      </c>
      <c r="M11" s="594">
        <f>IF(L11="Løype",Poengsammendrag!$F$2,IF(L11="Arr",Poengsammendrag!$F$3,IF(L11="Brutt",50,IF(L11="Disk",50,ROUND(MAXA(100*(MIN(L$10:L$94)/L11),50),0)))))</f>
        <v>76</v>
      </c>
      <c r="N11" s="724">
        <f t="shared" si="3"/>
        <v>4.4348719702119038E-3</v>
      </c>
      <c r="O11" s="596">
        <f>IF(N11="Løype",Poengsammendrag!$F$2,IF(N11="Arr",Poengsammendrag!$F$3,IF(N11="Brutt",50,IF(N11="Disk",50,ROUND(MAXA(100*(MIN(N$10:N$94)/N11),50),0)))))</f>
        <v>97</v>
      </c>
      <c r="Q11" s="672"/>
      <c r="R11" s="672"/>
      <c r="S11" s="803" t="s">
        <v>386</v>
      </c>
      <c r="T11" s="736">
        <v>7.643340455840455E-3</v>
      </c>
      <c r="U11" s="752">
        <v>91</v>
      </c>
      <c r="V11" s="781"/>
      <c r="W11" s="776" t="s">
        <v>138</v>
      </c>
      <c r="X11" s="740">
        <v>97</v>
      </c>
      <c r="AB11" s="828">
        <f>AB10+1</f>
        <v>56</v>
      </c>
      <c r="AC11" s="829">
        <f t="shared" si="4"/>
        <v>0</v>
      </c>
    </row>
    <row r="12" spans="2:29" ht="21" customHeight="1" thickBot="1" x14ac:dyDescent="0.3">
      <c r="B12" s="16">
        <f t="shared" si="0"/>
        <v>3</v>
      </c>
      <c r="C12" s="106" t="s">
        <v>122</v>
      </c>
      <c r="D12" s="107" t="s">
        <v>123</v>
      </c>
      <c r="E12" s="599" t="str">
        <f t="shared" si="1"/>
        <v>MartinMelhuus</v>
      </c>
      <c r="F12" s="192">
        <f>YEAR(I$5)-_xlfn.XLOOKUP(E12,Deltakerliste!E$5:E$98,Deltakerliste!I$5:I$98)</f>
        <v>82</v>
      </c>
      <c r="G12" s="192">
        <f>_xlfn.XLOOKUP(E12,Deltakerliste!E$5:E$98,Deltakerliste!H$5:H$98)</f>
        <v>2</v>
      </c>
      <c r="H12" s="592">
        <f>VLOOKUP(F12,Deltakerliste!P$6:T$84,G12,FALSE)</f>
        <v>2.0030000000000001</v>
      </c>
      <c r="I12" s="13">
        <v>1.9444444444444445E-2</v>
      </c>
      <c r="J12" s="13"/>
      <c r="K12" s="13"/>
      <c r="L12" s="600">
        <f t="shared" si="2"/>
        <v>9.2592592592592587E-3</v>
      </c>
      <c r="M12" s="594">
        <f>IF(L12="Løype",Poengsammendrag!$F$2,IF(L12="Arr",Poengsammendrag!$F$3,IF(L12="Brutt",50,IF(L12="Disk",50,ROUND(MAXA(100*(MIN(L$10:L$94)/L12),50),0)))))</f>
        <v>75</v>
      </c>
      <c r="N12" s="724">
        <f t="shared" si="3"/>
        <v>4.6226955862502537E-3</v>
      </c>
      <c r="O12" s="596">
        <f>IF(N12="Løype",Poengsammendrag!$F$2,IF(N12="Arr",Poengsammendrag!$F$3,IF(N12="Brutt",50,IF(N12="Disk",50,ROUND(MAXA(100*(MIN(N$10:N$94)/N12),50),0)))))</f>
        <v>93</v>
      </c>
      <c r="Q12" s="672"/>
      <c r="R12" s="672"/>
      <c r="S12" s="803" t="s">
        <v>134</v>
      </c>
      <c r="T12" s="736">
        <v>8.128561253561253E-3</v>
      </c>
      <c r="U12" s="752">
        <v>86</v>
      </c>
      <c r="V12" s="781"/>
      <c r="W12" s="776" t="s">
        <v>122</v>
      </c>
      <c r="X12" s="740">
        <v>93</v>
      </c>
      <c r="AB12" s="828">
        <f t="shared" ref="AB12:AB50" si="5">AB11+1</f>
        <v>57</v>
      </c>
      <c r="AC12" s="829">
        <f t="shared" si="4"/>
        <v>0</v>
      </c>
    </row>
    <row r="13" spans="2:29" ht="21" customHeight="1" thickBot="1" x14ac:dyDescent="0.3">
      <c r="B13" s="16">
        <f t="shared" si="0"/>
        <v>4</v>
      </c>
      <c r="C13" s="106" t="s">
        <v>88</v>
      </c>
      <c r="D13" s="107" t="s">
        <v>89</v>
      </c>
      <c r="E13" s="599" t="str">
        <f t="shared" si="1"/>
        <v>EdgarFuruholt</v>
      </c>
      <c r="F13" s="192">
        <f>YEAR(I$5)-_xlfn.XLOOKUP(E13,Deltakerliste!E$5:E$98,Deltakerliste!I$5:I$98)</f>
        <v>79</v>
      </c>
      <c r="G13" s="192">
        <f>_xlfn.XLOOKUP(E13,Deltakerliste!E$5:E$98,Deltakerliste!H$5:H$98)</f>
        <v>2</v>
      </c>
      <c r="H13" s="592">
        <f>VLOOKUP(F13,Deltakerliste!P$6:T$84,G13,FALSE)</f>
        <v>1.8050000000000002</v>
      </c>
      <c r="I13" s="132">
        <v>1.7754629629629631E-2</v>
      </c>
      <c r="J13" s="132"/>
      <c r="K13" s="18"/>
      <c r="L13" s="600">
        <f t="shared" si="2"/>
        <v>8.4545855379188715E-3</v>
      </c>
      <c r="M13" s="594">
        <f>IF(L13="Løype",Poengsammendrag!$F$2,IF(L13="Arr",Poengsammendrag!$F$3,IF(L13="Brutt",50,IF(L13="Disk",50,ROUND(MAXA(100*(MIN(L$10:L$94)/L13),50),0)))))</f>
        <v>83</v>
      </c>
      <c r="N13" s="724">
        <f t="shared" si="3"/>
        <v>4.6839809074342778E-3</v>
      </c>
      <c r="O13" s="596">
        <f>IF(N13="Løype",Poengsammendrag!$F$2,IF(N13="Arr",Poengsammendrag!$F$3,IF(N13="Brutt",50,IF(N13="Disk",50,ROUND(MAXA(100*(MIN(N$10:N$94)/N13),50),0)))))</f>
        <v>92</v>
      </c>
      <c r="Q13" s="672"/>
      <c r="R13" s="672"/>
      <c r="S13" s="803" t="s">
        <v>120</v>
      </c>
      <c r="T13" s="736">
        <v>8.1330128205128194E-3</v>
      </c>
      <c r="U13" s="752">
        <v>86</v>
      </c>
      <c r="V13" s="781"/>
      <c r="W13" s="776" t="s">
        <v>88</v>
      </c>
      <c r="X13" s="740">
        <v>92</v>
      </c>
      <c r="AB13" s="828">
        <f t="shared" si="5"/>
        <v>58</v>
      </c>
      <c r="AC13" s="829">
        <f t="shared" si="4"/>
        <v>0</v>
      </c>
    </row>
    <row r="14" spans="2:29" ht="21" customHeight="1" thickBot="1" x14ac:dyDescent="0.3">
      <c r="B14" s="16">
        <f t="shared" si="0"/>
        <v>5</v>
      </c>
      <c r="C14" s="106" t="s">
        <v>116</v>
      </c>
      <c r="D14" s="107" t="s">
        <v>165</v>
      </c>
      <c r="E14" s="599" t="str">
        <f t="shared" si="1"/>
        <v>AndersWaage</v>
      </c>
      <c r="F14" s="192">
        <f>YEAR(I$5)-_xlfn.XLOOKUP(E14,Deltakerliste!E$5:E$98,Deltakerliste!I$5:I$98)</f>
        <v>78</v>
      </c>
      <c r="G14" s="192">
        <f>_xlfn.XLOOKUP(E14,Deltakerliste!E$5:E$98,Deltakerliste!H$5:H$98)</f>
        <v>2</v>
      </c>
      <c r="H14" s="592">
        <f>VLOOKUP(F14,Deltakerliste!P$6:T$84,G14,FALSE)</f>
        <v>1.7550000000000001</v>
      </c>
      <c r="I14" s="18"/>
      <c r="J14" s="132">
        <v>2.2280092592592591E-2</v>
      </c>
      <c r="K14" s="18"/>
      <c r="L14" s="600">
        <f t="shared" si="2"/>
        <v>8.5692663817663814E-3</v>
      </c>
      <c r="M14" s="594">
        <f>IF(L14="Løype",Poengsammendrag!$F$2,IF(L14="Arr",Poengsammendrag!$F$3,IF(L14="Brutt",50,IF(L14="Disk",50,ROUND(MAXA(100*(MIN(L$10:L$94)/L14),50),0)))))</f>
        <v>82</v>
      </c>
      <c r="N14" s="724">
        <f t="shared" si="3"/>
        <v>4.8827728671033506E-3</v>
      </c>
      <c r="O14" s="596">
        <f>IF(N14="Løype",Poengsammendrag!$F$2,IF(N14="Arr",Poengsammendrag!$F$3,IF(N14="Brutt",50,IF(N14="Disk",50,ROUND(MAXA(100*(MIN(N$10:N$94)/N14),50),0)))))</f>
        <v>88</v>
      </c>
      <c r="Q14" s="672"/>
      <c r="R14" s="672"/>
      <c r="S14" s="803" t="s">
        <v>368</v>
      </c>
      <c r="T14" s="736">
        <v>8.1908831908831907E-3</v>
      </c>
      <c r="U14" s="752">
        <v>85</v>
      </c>
      <c r="V14" s="781"/>
      <c r="W14" s="776" t="s">
        <v>314</v>
      </c>
      <c r="X14" s="740">
        <v>88</v>
      </c>
      <c r="AB14" s="828">
        <f t="shared" si="5"/>
        <v>59</v>
      </c>
      <c r="AC14" s="829">
        <f t="shared" si="4"/>
        <v>0</v>
      </c>
    </row>
    <row r="15" spans="2:29" ht="21" customHeight="1" thickBot="1" x14ac:dyDescent="0.3">
      <c r="B15" s="16">
        <f t="shared" si="0"/>
        <v>6</v>
      </c>
      <c r="C15" s="106" t="s">
        <v>126</v>
      </c>
      <c r="D15" s="107" t="s">
        <v>127</v>
      </c>
      <c r="E15" s="599" t="str">
        <f t="shared" si="1"/>
        <v>ArneMikkelsen</v>
      </c>
      <c r="F15" s="192">
        <f>YEAR(I$5)-_xlfn.XLOOKUP(E15,Deltakerliste!E$5:E$98,Deltakerliste!I$5:I$98)</f>
        <v>73</v>
      </c>
      <c r="G15" s="192">
        <f>_xlfn.XLOOKUP(E15,Deltakerliste!E$5:E$98,Deltakerliste!H$5:H$98)</f>
        <v>2</v>
      </c>
      <c r="H15" s="592">
        <f>VLOOKUP(F15,Deltakerliste!P$6:T$84,G15,FALSE)</f>
        <v>1.5329999999999999</v>
      </c>
      <c r="I15" s="13"/>
      <c r="J15" s="13">
        <v>1.9872685185185184E-2</v>
      </c>
      <c r="K15" s="13"/>
      <c r="L15" s="600">
        <f t="shared" si="2"/>
        <v>7.643340455840455E-3</v>
      </c>
      <c r="M15" s="594">
        <f>IF(L15="Løype",Poengsammendrag!$F$2,IF(L15="Arr",Poengsammendrag!$F$3,IF(L15="Brutt",50,IF(L15="Disk",50,ROUND(MAXA(100*(MIN(L$10:L$94)/L15),50),0)))))</f>
        <v>91</v>
      </c>
      <c r="N15" s="724">
        <f t="shared" si="3"/>
        <v>4.9858711388391748E-3</v>
      </c>
      <c r="O15" s="596">
        <f>IF(N15="Løype",Poengsammendrag!$F$2,IF(N15="Arr",Poengsammendrag!$F$3,IF(N15="Brutt",50,IF(N15="Disk",50,ROUND(MAXA(100*(MIN(N$10:N$94)/N15),50),0)))))</f>
        <v>86</v>
      </c>
      <c r="Q15" s="672"/>
      <c r="R15" s="672"/>
      <c r="S15" s="803" t="s">
        <v>136</v>
      </c>
      <c r="T15" s="736">
        <v>8.3333333333333332E-3</v>
      </c>
      <c r="U15" s="752">
        <v>84</v>
      </c>
      <c r="V15" s="781"/>
      <c r="W15" s="776" t="s">
        <v>386</v>
      </c>
      <c r="X15" s="740">
        <v>86</v>
      </c>
      <c r="AB15" s="828">
        <f t="shared" si="5"/>
        <v>60</v>
      </c>
      <c r="AC15" s="829">
        <f t="shared" si="4"/>
        <v>1</v>
      </c>
    </row>
    <row r="16" spans="2:29" ht="21" customHeight="1" thickBot="1" x14ac:dyDescent="0.3">
      <c r="B16" s="16">
        <f t="shared" si="0"/>
        <v>7</v>
      </c>
      <c r="C16" s="106" t="s">
        <v>78</v>
      </c>
      <c r="D16" s="107" t="s">
        <v>79</v>
      </c>
      <c r="E16" s="599" t="str">
        <f t="shared" si="1"/>
        <v>LeifEngen</v>
      </c>
      <c r="F16" s="192">
        <f>YEAR(I$5)-_xlfn.XLOOKUP(E16,Deltakerliste!E$5:E$98,Deltakerliste!I$5:I$98)</f>
        <v>85</v>
      </c>
      <c r="G16" s="192">
        <f>_xlfn.XLOOKUP(E16,Deltakerliste!E$5:E$98,Deltakerliste!H$5:H$98)</f>
        <v>2</v>
      </c>
      <c r="H16" s="592">
        <f>VLOOKUP(F16,Deltakerliste!P$6:T$84,G16,FALSE)</f>
        <v>2.2249999999999996</v>
      </c>
      <c r="I16" s="86">
        <v>2.3738425925925927E-2</v>
      </c>
      <c r="J16" s="86"/>
      <c r="K16" s="13"/>
      <c r="L16" s="600">
        <f t="shared" si="2"/>
        <v>1.1304012345679012E-2</v>
      </c>
      <c r="M16" s="594">
        <f>IF(L16="Løype",Poengsammendrag!$F$2,IF(L16="Arr",Poengsammendrag!$F$3,IF(L16="Brutt",50,IF(L16="Disk",50,ROUND(MAXA(100*(MIN(L$10:L$94)/L16),50),0)))))</f>
        <v>62</v>
      </c>
      <c r="N16" s="724">
        <f t="shared" si="3"/>
        <v>5.0804549868220285E-3</v>
      </c>
      <c r="O16" s="596">
        <f>IF(N16="Løype",Poengsammendrag!$F$2,IF(N16="Arr",Poengsammendrag!$F$3,IF(N16="Brutt",50,IF(N16="Disk",50,ROUND(MAXA(100*(MIN(N$10:N$94)/N16),50),0)))))</f>
        <v>85</v>
      </c>
      <c r="Q16" s="672"/>
      <c r="R16" s="672"/>
      <c r="S16" s="803" t="s">
        <v>380</v>
      </c>
      <c r="T16" s="736">
        <v>8.3912037037037045E-3</v>
      </c>
      <c r="U16" s="752">
        <v>83</v>
      </c>
      <c r="V16" s="781"/>
      <c r="W16" s="776" t="s">
        <v>338</v>
      </c>
      <c r="X16" s="740">
        <v>85</v>
      </c>
      <c r="AB16" s="828">
        <f t="shared" si="5"/>
        <v>61</v>
      </c>
      <c r="AC16" s="829">
        <f t="shared" si="4"/>
        <v>1</v>
      </c>
    </row>
    <row r="17" spans="2:29" ht="21" customHeight="1" thickBot="1" x14ac:dyDescent="0.3">
      <c r="B17" s="16">
        <f t="shared" si="0"/>
        <v>8</v>
      </c>
      <c r="C17" s="106" t="s">
        <v>149</v>
      </c>
      <c r="D17" s="107" t="s">
        <v>150</v>
      </c>
      <c r="E17" s="599" t="str">
        <f t="shared" si="1"/>
        <v>BenteSkorge</v>
      </c>
      <c r="F17" s="192">
        <f>YEAR(I$5)-_xlfn.XLOOKUP(E17,Deltakerliste!E$5:E$98,Deltakerliste!I$5:I$98)</f>
        <v>67</v>
      </c>
      <c r="G17" s="192">
        <f>_xlfn.XLOOKUP(E17,Deltakerliste!E$5:E$98,Deltakerliste!H$5:H$98)</f>
        <v>4</v>
      </c>
      <c r="H17" s="592">
        <f>VLOOKUP(F17,Deltakerliste!P$6:T$84,G17,FALSE)</f>
        <v>1.8422000000000009</v>
      </c>
      <c r="I17" s="132"/>
      <c r="J17" s="132">
        <v>2.4537037037037038E-2</v>
      </c>
      <c r="K17" s="18"/>
      <c r="L17" s="600">
        <f t="shared" si="2"/>
        <v>9.4373219373219373E-3</v>
      </c>
      <c r="M17" s="594">
        <f>IF(L17="Løype",Poengsammendrag!$F$2,IF(L17="Arr",Poengsammendrag!$F$3,IF(L17="Brutt",50,IF(L17="Disk",50,ROUND(MAXA(100*(MIN(L$10:L$94)/L17),50),0)))))</f>
        <v>74</v>
      </c>
      <c r="N17" s="724">
        <f t="shared" si="3"/>
        <v>5.1228541620464297E-3</v>
      </c>
      <c r="O17" s="596">
        <f>IF(N17="Løype",Poengsammendrag!$F$2,IF(N17="Arr",Poengsammendrag!$F$3,IF(N17="Brutt",50,IF(N17="Disk",50,ROUND(MAXA(100*(MIN(N$10:N$94)/N17),50),0)))))</f>
        <v>84</v>
      </c>
      <c r="Q17" s="672"/>
      <c r="R17" s="672"/>
      <c r="S17" s="803" t="s">
        <v>222</v>
      </c>
      <c r="T17" s="736">
        <v>8.4312678062678052E-3</v>
      </c>
      <c r="U17" s="752">
        <v>83</v>
      </c>
      <c r="V17" s="781"/>
      <c r="W17" s="776" t="s">
        <v>149</v>
      </c>
      <c r="X17" s="740">
        <v>84</v>
      </c>
      <c r="AB17" s="828">
        <f t="shared" si="5"/>
        <v>62</v>
      </c>
      <c r="AC17" s="829">
        <f t="shared" si="4"/>
        <v>0</v>
      </c>
    </row>
    <row r="18" spans="2:29" ht="21" customHeight="1" thickBot="1" x14ac:dyDescent="0.3">
      <c r="B18" s="16">
        <f t="shared" si="0"/>
        <v>9</v>
      </c>
      <c r="C18" s="106" t="s">
        <v>64</v>
      </c>
      <c r="D18" s="107" t="s">
        <v>65</v>
      </c>
      <c r="E18" s="599" t="str">
        <f t="shared" si="1"/>
        <v>BjørnBerger</v>
      </c>
      <c r="F18" s="192">
        <f>YEAR(I$5)-_xlfn.XLOOKUP(E18,Deltakerliste!E$5:E$98,Deltakerliste!I$5:I$98)</f>
        <v>75</v>
      </c>
      <c r="G18" s="192">
        <f>_xlfn.XLOOKUP(E18,Deltakerliste!E$5:E$98,Deltakerliste!H$5:H$98)</f>
        <v>2</v>
      </c>
      <c r="H18" s="592">
        <f>VLOOKUP(F18,Deltakerliste!P$6:T$84,G18,FALSE)</f>
        <v>1.605</v>
      </c>
      <c r="I18" s="13"/>
      <c r="J18" s="13">
        <v>2.1817129629629631E-2</v>
      </c>
      <c r="K18" s="19"/>
      <c r="L18" s="600">
        <f t="shared" si="2"/>
        <v>8.3912037037037045E-3</v>
      </c>
      <c r="M18" s="594">
        <f>IF(L18="Løype",Poengsammendrag!$F$2,IF(L18="Arr",Poengsammendrag!$F$3,IF(L18="Brutt",50,IF(L18="Disk",50,ROUND(MAXA(100*(MIN(L$10:L$94)/L18),50),0)))))</f>
        <v>83</v>
      </c>
      <c r="N18" s="724">
        <f t="shared" si="3"/>
        <v>5.228164301373025E-3</v>
      </c>
      <c r="O18" s="596">
        <f>IF(N18="Løype",Poengsammendrag!$F$2,IF(N18="Arr",Poengsammendrag!$F$3,IF(N18="Brutt",50,IF(N18="Disk",50,ROUND(MAXA(100*(MIN(N$10:N$94)/N18),50),0)))))</f>
        <v>82</v>
      </c>
      <c r="Q18" s="672"/>
      <c r="R18" s="672"/>
      <c r="S18" s="803" t="s">
        <v>88</v>
      </c>
      <c r="T18" s="736">
        <v>8.4545855379188715E-3</v>
      </c>
      <c r="U18" s="752">
        <v>83</v>
      </c>
      <c r="V18" s="781"/>
      <c r="W18" s="776" t="s">
        <v>380</v>
      </c>
      <c r="X18" s="740">
        <v>82</v>
      </c>
      <c r="AB18" s="828">
        <f t="shared" si="5"/>
        <v>63</v>
      </c>
      <c r="AC18" s="829">
        <f t="shared" si="4"/>
        <v>0</v>
      </c>
    </row>
    <row r="19" spans="2:29" ht="21" thickBot="1" x14ac:dyDescent="0.3">
      <c r="B19" s="16">
        <f t="shared" si="0"/>
        <v>10</v>
      </c>
      <c r="C19" s="106" t="s">
        <v>136</v>
      </c>
      <c r="D19" s="107" t="s">
        <v>137</v>
      </c>
      <c r="E19" s="599" t="str">
        <f t="shared" si="1"/>
        <v>HaraldOftedal</v>
      </c>
      <c r="F19" s="192">
        <f>YEAR(I$5)-_xlfn.XLOOKUP(E19,Deltakerliste!E$5:E$98,Deltakerliste!I$5:I$98)</f>
        <v>74</v>
      </c>
      <c r="G19" s="192">
        <f>_xlfn.XLOOKUP(E19,Deltakerliste!E$5:E$98,Deltakerliste!H$5:H$98)</f>
        <v>2</v>
      </c>
      <c r="H19" s="592">
        <f>VLOOKUP(F19,Deltakerliste!P$6:T$84,G19,FALSE)</f>
        <v>1.569</v>
      </c>
      <c r="I19" s="132"/>
      <c r="J19" s="132">
        <v>2.1666666666666667E-2</v>
      </c>
      <c r="K19" s="134"/>
      <c r="L19" s="600">
        <f t="shared" si="2"/>
        <v>8.3333333333333332E-3</v>
      </c>
      <c r="M19" s="594">
        <f>IF(L19="Løype",Poengsammendrag!$F$2,IF(L19="Arr",Poengsammendrag!$F$3,IF(L19="Brutt",50,IF(L19="Disk",50,ROUND(MAXA(100*(MIN(L$10:L$94)/L19),50),0)))))</f>
        <v>84</v>
      </c>
      <c r="N19" s="724">
        <f t="shared" si="3"/>
        <v>5.3112385808370514E-3</v>
      </c>
      <c r="O19" s="596">
        <f>IF(N19="Løype",Poengsammendrag!$F$2,IF(N19="Arr",Poengsammendrag!$F$3,IF(N19="Brutt",50,IF(N19="Disk",50,ROUND(MAXA(100*(MIN(N$10:N$94)/N19),50),0)))))</f>
        <v>81</v>
      </c>
      <c r="Q19" s="672"/>
      <c r="R19" s="672"/>
      <c r="S19" s="803" t="s">
        <v>314</v>
      </c>
      <c r="T19" s="736">
        <v>8.5692663817663814E-3</v>
      </c>
      <c r="U19" s="752">
        <v>82</v>
      </c>
      <c r="V19" s="781"/>
      <c r="W19" s="776" t="s">
        <v>136</v>
      </c>
      <c r="X19" s="740">
        <v>81</v>
      </c>
      <c r="AB19" s="828">
        <f t="shared" si="5"/>
        <v>64</v>
      </c>
      <c r="AC19" s="829">
        <f t="shared" si="4"/>
        <v>0</v>
      </c>
    </row>
    <row r="20" spans="2:29" ht="21" thickBot="1" x14ac:dyDescent="0.3">
      <c r="B20" s="16">
        <f t="shared" si="0"/>
        <v>11</v>
      </c>
      <c r="C20" s="106" t="s">
        <v>114</v>
      </c>
      <c r="D20" s="107" t="s">
        <v>115</v>
      </c>
      <c r="E20" s="599" t="str">
        <f t="shared" si="1"/>
        <v>MagnusLandstad</v>
      </c>
      <c r="F20" s="192">
        <f>YEAR(I$5)-_xlfn.XLOOKUP(E20,Deltakerliste!E$5:E$98,Deltakerliste!I$5:I$98)</f>
        <v>83</v>
      </c>
      <c r="G20" s="192">
        <f>_xlfn.XLOOKUP(E20,Deltakerliste!E$5:E$98,Deltakerliste!H$5:H$98)</f>
        <v>2</v>
      </c>
      <c r="H20" s="592">
        <f>VLOOKUP(F20,Deltakerliste!P$6:T$84,G20,FALSE)</f>
        <v>2.077</v>
      </c>
      <c r="I20" s="86"/>
      <c r="J20" s="86">
        <v>2.8969907407407406E-2</v>
      </c>
      <c r="K20" s="13"/>
      <c r="L20" s="600">
        <f t="shared" si="2"/>
        <v>1.114227207977208E-2</v>
      </c>
      <c r="M20" s="594">
        <f>IF(L20="Løype",Poengsammendrag!$F$2,IF(L20="Arr",Poengsammendrag!$F$3,IF(L20="Brutt",50,IF(L20="Disk",50,ROUND(MAXA(100*(MIN(L$10:L$94)/L20),50),0)))))</f>
        <v>63</v>
      </c>
      <c r="N20" s="724">
        <f t="shared" si="3"/>
        <v>5.3645989791873275E-3</v>
      </c>
      <c r="O20" s="596">
        <f>IF(N20="Løype",Poengsammendrag!$F$2,IF(N20="Arr",Poengsammendrag!$F$3,IF(N20="Brutt",50,IF(N20="Disk",50,ROUND(MAXA(100*(MIN(N$10:N$94)/N20),50),0)))))</f>
        <v>80</v>
      </c>
      <c r="Q20" s="672"/>
      <c r="R20" s="672"/>
      <c r="S20" s="803" t="s">
        <v>138</v>
      </c>
      <c r="T20" s="736">
        <v>9.2236467236467244E-3</v>
      </c>
      <c r="U20" s="752">
        <v>76</v>
      </c>
      <c r="V20" s="781"/>
      <c r="W20" s="776" t="s">
        <v>114</v>
      </c>
      <c r="X20" s="740">
        <v>80</v>
      </c>
      <c r="AB20" s="828">
        <f t="shared" si="5"/>
        <v>65</v>
      </c>
      <c r="AC20" s="829">
        <f t="shared" si="4"/>
        <v>0</v>
      </c>
    </row>
    <row r="21" spans="2:29" ht="21" customHeight="1" thickBot="1" x14ac:dyDescent="0.3">
      <c r="B21" s="16">
        <f t="shared" si="0"/>
        <v>12</v>
      </c>
      <c r="C21" s="106" t="s">
        <v>64</v>
      </c>
      <c r="D21" s="107" t="s">
        <v>366</v>
      </c>
      <c r="E21" s="599" t="str">
        <f t="shared" si="1"/>
        <v>BjørnHafskjold</v>
      </c>
      <c r="F21" s="192">
        <f>YEAR(I$5)-_xlfn.XLOOKUP(E21,Deltakerliste!E$5:E$98,Deltakerliste!I$5:I$98)</f>
        <v>79</v>
      </c>
      <c r="G21" s="192">
        <f>_xlfn.XLOOKUP(E21,Deltakerliste!E$5:E$98,Deltakerliste!H$5:H$98)</f>
        <v>2</v>
      </c>
      <c r="H21" s="592">
        <f>VLOOKUP(F21,Deltakerliste!P$6:T$84,G21,FALSE)</f>
        <v>1.8050000000000002</v>
      </c>
      <c r="I21" s="14">
        <v>2.0335648148148148E-2</v>
      </c>
      <c r="J21" s="14"/>
      <c r="K21" s="18"/>
      <c r="L21" s="600">
        <f t="shared" si="2"/>
        <v>9.6836419753086409E-3</v>
      </c>
      <c r="M21" s="594">
        <f>IF(L21="Løype",Poengsammendrag!$F$2,IF(L21="Arr",Poengsammendrag!$F$3,IF(L21="Brutt",50,IF(L21="Disk",50,ROUND(MAXA(100*(MIN(L$10:L$94)/L21),50),0)))))</f>
        <v>72</v>
      </c>
      <c r="N21" s="724">
        <f t="shared" si="3"/>
        <v>5.3648986012790247E-3</v>
      </c>
      <c r="O21" s="596">
        <f>IF(N21="Løype",Poengsammendrag!$F$2,IF(N21="Arr",Poengsammendrag!$F$3,IF(N21="Brutt",50,IF(N21="Disk",50,ROUND(MAXA(100*(MIN(N$10:N$94)/N21),50),0)))))</f>
        <v>80</v>
      </c>
      <c r="Q21" s="672"/>
      <c r="R21" s="672"/>
      <c r="S21" s="803" t="s">
        <v>118</v>
      </c>
      <c r="T21" s="736">
        <v>9.250356125356126E-3</v>
      </c>
      <c r="U21" s="752">
        <v>76</v>
      </c>
      <c r="V21" s="781"/>
      <c r="W21" s="776" t="s">
        <v>367</v>
      </c>
      <c r="X21" s="740">
        <v>80</v>
      </c>
      <c r="AB21" s="828">
        <f t="shared" si="5"/>
        <v>66</v>
      </c>
      <c r="AC21" s="829">
        <f t="shared" si="4"/>
        <v>0</v>
      </c>
    </row>
    <row r="22" spans="2:29" ht="21" customHeight="1" thickBot="1" x14ac:dyDescent="0.3">
      <c r="B22" s="16">
        <f t="shared" si="0"/>
        <v>13</v>
      </c>
      <c r="C22" s="106" t="s">
        <v>142</v>
      </c>
      <c r="D22" s="107" t="s">
        <v>143</v>
      </c>
      <c r="E22" s="599" t="str">
        <f t="shared" si="1"/>
        <v>EgilRepvik</v>
      </c>
      <c r="F22" s="192">
        <f>YEAR(I$5)-_xlfn.XLOOKUP(E22,Deltakerliste!E$5:E$98,Deltakerliste!I$5:I$98)</f>
        <v>80</v>
      </c>
      <c r="G22" s="192">
        <f>_xlfn.XLOOKUP(E22,Deltakerliste!E$5:E$98,Deltakerliste!H$5:H$98)</f>
        <v>2</v>
      </c>
      <c r="H22" s="592">
        <f>VLOOKUP(F22,Deltakerliste!P$6:T$84,G22,FALSE)</f>
        <v>1.8550000000000002</v>
      </c>
      <c r="I22" s="132">
        <v>2.0937500000000001E-2</v>
      </c>
      <c r="J22" s="18"/>
      <c r="K22" s="18"/>
      <c r="L22" s="600">
        <f t="shared" si="2"/>
        <v>9.9702380952380962E-3</v>
      </c>
      <c r="M22" s="594">
        <f>IF(L22="Løype",Poengsammendrag!$F$2,IF(L22="Arr",Poengsammendrag!$F$3,IF(L22="Brutt",50,IF(L22="Disk",50,ROUND(MAXA(100*(MIN(L$10:L$94)/L22),50),0)))))</f>
        <v>70</v>
      </c>
      <c r="N22" s="724">
        <f t="shared" si="3"/>
        <v>5.374791426004364E-3</v>
      </c>
      <c r="O22" s="596">
        <f>IF(N22="Løype",Poengsammendrag!$F$2,IF(N22="Arr",Poengsammendrag!$F$3,IF(N22="Brutt",50,IF(N22="Disk",50,ROUND(MAXA(100*(MIN(N$10:N$94)/N22),50),0)))))</f>
        <v>80</v>
      </c>
      <c r="Q22" s="672"/>
      <c r="R22" s="672"/>
      <c r="S22" s="803" t="s">
        <v>122</v>
      </c>
      <c r="T22" s="736">
        <v>9.2592592592592587E-3</v>
      </c>
      <c r="U22" s="752">
        <v>75</v>
      </c>
      <c r="V22" s="781"/>
      <c r="W22" s="776" t="s">
        <v>356</v>
      </c>
      <c r="X22" s="740">
        <v>80</v>
      </c>
      <c r="AB22" s="828">
        <f t="shared" si="5"/>
        <v>67</v>
      </c>
      <c r="AC22" s="829">
        <f t="shared" si="4"/>
        <v>2</v>
      </c>
    </row>
    <row r="23" spans="2:29" ht="21" customHeight="1" thickBot="1" x14ac:dyDescent="0.3">
      <c r="B23" s="16">
        <f t="shared" si="0"/>
        <v>14</v>
      </c>
      <c r="C23" s="106" t="s">
        <v>118</v>
      </c>
      <c r="D23" s="107" t="s">
        <v>119</v>
      </c>
      <c r="E23" s="599" t="str">
        <f t="shared" si="1"/>
        <v>KnutLillealtern</v>
      </c>
      <c r="F23" s="192">
        <f>YEAR(I$5)-_xlfn.XLOOKUP(E23,Deltakerliste!E$5:E$98,Deltakerliste!I$5:I$98)</f>
        <v>77</v>
      </c>
      <c r="G23" s="192">
        <f>_xlfn.XLOOKUP(E23,Deltakerliste!E$5:E$98,Deltakerliste!H$5:H$98)</f>
        <v>2</v>
      </c>
      <c r="H23" s="592">
        <f>VLOOKUP(F23,Deltakerliste!P$6:T$84,G23,FALSE)</f>
        <v>1.7050000000000001</v>
      </c>
      <c r="I23" s="13"/>
      <c r="J23" s="13">
        <v>2.4050925925925927E-2</v>
      </c>
      <c r="K23" s="17"/>
      <c r="L23" s="600">
        <f t="shared" si="2"/>
        <v>9.250356125356126E-3</v>
      </c>
      <c r="M23" s="594">
        <f>IF(L23="Løype",Poengsammendrag!$F$2,IF(L23="Arr",Poengsammendrag!$F$3,IF(L23="Brutt",50,IF(L23="Disk",50,ROUND(MAXA(100*(MIN(L$10:L$94)/L23),50),0)))))</f>
        <v>76</v>
      </c>
      <c r="N23" s="724">
        <f t="shared" si="3"/>
        <v>5.4254288125255871E-3</v>
      </c>
      <c r="O23" s="596">
        <f>IF(N23="Løype",Poengsammendrag!$F$2,IF(N23="Arr",Poengsammendrag!$F$3,IF(N23="Brutt",50,IF(N23="Disk",50,ROUND(MAXA(100*(MIN(N$10:N$94)/N23),50),0)))))</f>
        <v>79</v>
      </c>
      <c r="Q23" s="672"/>
      <c r="R23" s="672"/>
      <c r="S23" s="803" t="s">
        <v>99</v>
      </c>
      <c r="T23" s="736">
        <v>9.3438390313390317E-3</v>
      </c>
      <c r="U23" s="752">
        <v>75</v>
      </c>
      <c r="V23" s="781"/>
      <c r="W23" s="776" t="s">
        <v>118</v>
      </c>
      <c r="X23" s="740">
        <v>79</v>
      </c>
      <c r="AB23" s="828">
        <f t="shared" si="5"/>
        <v>68</v>
      </c>
      <c r="AC23" s="829">
        <f t="shared" si="4"/>
        <v>1</v>
      </c>
    </row>
    <row r="24" spans="2:29" ht="21" thickBot="1" x14ac:dyDescent="0.3">
      <c r="B24" s="16">
        <f t="shared" si="0"/>
        <v>15</v>
      </c>
      <c r="C24" s="106" t="s">
        <v>120</v>
      </c>
      <c r="D24" s="107" t="s">
        <v>121</v>
      </c>
      <c r="E24" s="599" t="str">
        <f t="shared" si="1"/>
        <v>KlausLivik</v>
      </c>
      <c r="F24" s="192">
        <f>YEAR(I$5)-_xlfn.XLOOKUP(E24,Deltakerliste!E$5:E$98,Deltakerliste!I$5:I$98)</f>
        <v>72</v>
      </c>
      <c r="G24" s="192">
        <f>_xlfn.XLOOKUP(E24,Deltakerliste!E$5:E$98,Deltakerliste!H$5:H$98)</f>
        <v>2</v>
      </c>
      <c r="H24" s="592">
        <f>VLOOKUP(F24,Deltakerliste!P$6:T$84,G24,FALSE)</f>
        <v>1.4969999999999999</v>
      </c>
      <c r="I24" s="13"/>
      <c r="J24" s="13">
        <v>2.1145833333333332E-2</v>
      </c>
      <c r="K24" s="17"/>
      <c r="L24" s="600">
        <f t="shared" si="2"/>
        <v>8.1330128205128194E-3</v>
      </c>
      <c r="M24" s="594">
        <f>IF(L24="Løype",Poengsammendrag!$F$2,IF(L24="Arr",Poengsammendrag!$F$3,IF(L24="Brutt",50,IF(L24="Disk",50,ROUND(MAXA(100*(MIN(L$10:L$94)/L24),50),0)))))</f>
        <v>86</v>
      </c>
      <c r="N24" s="724">
        <f t="shared" si="3"/>
        <v>5.4328742955997459E-3</v>
      </c>
      <c r="O24" s="596">
        <f>IF(N24="Løype",Poengsammendrag!$F$2,IF(N24="Arr",Poengsammendrag!$F$3,IF(N24="Brutt",50,IF(N24="Disk",50,ROUND(MAXA(100*(MIN(N$10:N$94)/N24),50),0)))))</f>
        <v>79</v>
      </c>
      <c r="Q24" s="672"/>
      <c r="R24" s="672"/>
      <c r="S24" s="803" t="s">
        <v>101</v>
      </c>
      <c r="T24" s="736">
        <v>9.3660968660968652E-3</v>
      </c>
      <c r="U24" s="752">
        <v>75</v>
      </c>
      <c r="V24" s="781"/>
      <c r="W24" s="776" t="s">
        <v>120</v>
      </c>
      <c r="X24" s="740">
        <v>79</v>
      </c>
      <c r="AB24" s="828">
        <f t="shared" si="5"/>
        <v>69</v>
      </c>
      <c r="AC24" s="829">
        <f t="shared" si="4"/>
        <v>1</v>
      </c>
    </row>
    <row r="25" spans="2:29" ht="21" thickBot="1" x14ac:dyDescent="0.3">
      <c r="B25" s="16">
        <f t="shared" si="0"/>
        <v>16</v>
      </c>
      <c r="C25" s="106" t="s">
        <v>124</v>
      </c>
      <c r="D25" s="107" t="s">
        <v>125</v>
      </c>
      <c r="E25" s="599" t="str">
        <f t="shared" si="1"/>
        <v>Heidi Midttun</v>
      </c>
      <c r="F25" s="192">
        <f>YEAR(I$5)-_xlfn.XLOOKUP(E25,Deltakerliste!E$5:E$98,Deltakerliste!I$5:I$98)</f>
        <v>71</v>
      </c>
      <c r="G25" s="192">
        <f>_xlfn.XLOOKUP(E25,Deltakerliste!E$5:E$98,Deltakerliste!H$5:H$98)</f>
        <v>4</v>
      </c>
      <c r="H25" s="592">
        <f>VLOOKUP(F25,Deltakerliste!P$6:T$84,G25,FALSE)</f>
        <v>1.9926000000000013</v>
      </c>
      <c r="I25" s="13"/>
      <c r="J25" s="13">
        <v>2.8564814814814814E-2</v>
      </c>
      <c r="K25" s="13"/>
      <c r="L25" s="600">
        <f t="shared" si="2"/>
        <v>1.0986467236467236E-2</v>
      </c>
      <c r="M25" s="594">
        <f>IF(L25="Løype",Poengsammendrag!$F$2,IF(L25="Arr",Poengsammendrag!$F$3,IF(L25="Brutt",50,IF(L25="Disk",50,ROUND(MAXA(100*(MIN(L$10:L$94)/L25),50),0)))))</f>
        <v>64</v>
      </c>
      <c r="N25" s="724">
        <f t="shared" si="3"/>
        <v>5.5136340642714188E-3</v>
      </c>
      <c r="O25" s="596">
        <f>IF(N25="Løype",Poengsammendrag!$F$2,IF(N25="Arr",Poengsammendrag!$F$3,IF(N25="Brutt",50,IF(N25="Disk",50,ROUND(MAXA(100*(MIN(N$10:N$94)/N25),50),0)))))</f>
        <v>78</v>
      </c>
      <c r="Q25" s="672"/>
      <c r="R25" s="672"/>
      <c r="S25" s="803" t="s">
        <v>163</v>
      </c>
      <c r="T25" s="736">
        <v>9.4061609686609694E-3</v>
      </c>
      <c r="U25" s="752">
        <v>74</v>
      </c>
      <c r="V25" s="781"/>
      <c r="W25" s="776" t="s">
        <v>124</v>
      </c>
      <c r="X25" s="740">
        <v>78</v>
      </c>
      <c r="AB25" s="828">
        <f t="shared" si="5"/>
        <v>70</v>
      </c>
      <c r="AC25" s="829">
        <f t="shared" si="4"/>
        <v>2</v>
      </c>
    </row>
    <row r="26" spans="2:29" ht="21" customHeight="1" thickBot="1" x14ac:dyDescent="0.3">
      <c r="B26" s="16">
        <f t="shared" si="0"/>
        <v>17</v>
      </c>
      <c r="C26" s="106" t="s">
        <v>103</v>
      </c>
      <c r="D26" s="107" t="s">
        <v>104</v>
      </c>
      <c r="E26" s="599" t="str">
        <f t="shared" si="1"/>
        <v>SveinHove</v>
      </c>
      <c r="F26" s="192">
        <f>YEAR(I$5)-_xlfn.XLOOKUP(E26,Deltakerliste!E$5:E$98,Deltakerliste!I$5:I$98)</f>
        <v>79</v>
      </c>
      <c r="G26" s="192">
        <f>_xlfn.XLOOKUP(E26,Deltakerliste!E$5:E$98,Deltakerliste!H$5:H$98)</f>
        <v>2</v>
      </c>
      <c r="H26" s="592">
        <f>VLOOKUP(F26,Deltakerliste!P$6:T$84,G26,FALSE)</f>
        <v>1.8050000000000002</v>
      </c>
      <c r="I26" s="86">
        <v>2.1168981481481483E-2</v>
      </c>
      <c r="J26" s="86"/>
      <c r="K26" s="17"/>
      <c r="L26" s="600">
        <f t="shared" si="2"/>
        <v>1.008046737213404E-2</v>
      </c>
      <c r="M26" s="594">
        <f>IF(L26="Løype",Poengsammendrag!$F$2,IF(L26="Arr",Poengsammendrag!$F$3,IF(L26="Brutt",50,IF(L26="Disk",50,ROUND(MAXA(100*(MIN(L$10:L$94)/L26),50),0)))))</f>
        <v>69</v>
      </c>
      <c r="N26" s="724">
        <f t="shared" si="3"/>
        <v>5.5847464665562544E-3</v>
      </c>
      <c r="O26" s="596">
        <f>IF(N26="Løype",Poengsammendrag!$F$2,IF(N26="Arr",Poengsammendrag!$F$3,IF(N26="Brutt",50,IF(N26="Disk",50,ROUND(MAXA(100*(MIN(N$10:N$94)/N26),50),0)))))</f>
        <v>77</v>
      </c>
      <c r="Q26" s="672"/>
      <c r="R26" s="672"/>
      <c r="S26" s="803" t="s">
        <v>307</v>
      </c>
      <c r="T26" s="736">
        <v>9.4239672364672365E-3</v>
      </c>
      <c r="U26" s="752">
        <v>74</v>
      </c>
      <c r="V26" s="781"/>
      <c r="W26" s="776" t="s">
        <v>103</v>
      </c>
      <c r="X26" s="740">
        <v>77</v>
      </c>
      <c r="AB26" s="828">
        <f t="shared" si="5"/>
        <v>71</v>
      </c>
      <c r="AC26" s="829">
        <f t="shared" si="4"/>
        <v>1</v>
      </c>
    </row>
    <row r="27" spans="2:29" ht="21" thickBot="1" x14ac:dyDescent="0.3">
      <c r="B27" s="16">
        <f t="shared" si="0"/>
        <v>18</v>
      </c>
      <c r="C27" s="106" t="s">
        <v>78</v>
      </c>
      <c r="D27" s="107" t="s">
        <v>146</v>
      </c>
      <c r="E27" s="599" t="str">
        <f t="shared" si="1"/>
        <v>LeifRøhjell</v>
      </c>
      <c r="F27" s="192">
        <f>YEAR(I$5)-_xlfn.XLOOKUP(E27,Deltakerliste!E$5:E$98,Deltakerliste!I$5:I$98)</f>
        <v>82</v>
      </c>
      <c r="G27" s="192">
        <f>_xlfn.XLOOKUP(E27,Deltakerliste!E$5:E$98,Deltakerliste!H$5:H$98)</f>
        <v>2</v>
      </c>
      <c r="H27" s="592">
        <f>VLOOKUP(F27,Deltakerliste!P$6:T$84,G27,FALSE)</f>
        <v>2.0030000000000001</v>
      </c>
      <c r="I27" s="132">
        <v>2.3541666666666666E-2</v>
      </c>
      <c r="J27" s="18"/>
      <c r="K27" s="18"/>
      <c r="L27" s="600">
        <f t="shared" si="2"/>
        <v>1.1210317460317459E-2</v>
      </c>
      <c r="M27" s="594">
        <f>IF(L27="Løype",Poengsammendrag!$F$2,IF(L27="Arr",Poengsammendrag!$F$3,IF(L27="Brutt",50,IF(L27="Disk",50,ROUND(MAXA(100*(MIN(L$10:L$94)/L27),50),0)))))</f>
        <v>62</v>
      </c>
      <c r="N27" s="724">
        <f t="shared" si="3"/>
        <v>5.5967635847815568E-3</v>
      </c>
      <c r="O27" s="596">
        <f>IF(N27="Løype",Poengsammendrag!$F$2,IF(N27="Arr",Poengsammendrag!$F$3,IF(N27="Brutt",50,IF(N27="Disk",50,ROUND(MAXA(100*(MIN(N$10:N$94)/N27),50),0)))))</f>
        <v>77</v>
      </c>
      <c r="Q27" s="672"/>
      <c r="R27" s="672"/>
      <c r="S27" s="803" t="s">
        <v>149</v>
      </c>
      <c r="T27" s="736">
        <v>9.4373219373219373E-3</v>
      </c>
      <c r="U27" s="752">
        <v>74</v>
      </c>
      <c r="V27" s="781"/>
      <c r="W27" s="776" t="s">
        <v>337</v>
      </c>
      <c r="X27" s="740">
        <v>77</v>
      </c>
      <c r="AB27" s="828">
        <f t="shared" si="5"/>
        <v>72</v>
      </c>
      <c r="AC27" s="829">
        <f t="shared" si="4"/>
        <v>2</v>
      </c>
    </row>
    <row r="28" spans="2:29" ht="21" customHeight="1" thickBot="1" x14ac:dyDescent="0.3">
      <c r="B28" s="16">
        <f t="shared" si="0"/>
        <v>19</v>
      </c>
      <c r="C28" s="106" t="s">
        <v>94</v>
      </c>
      <c r="D28" s="107" t="s">
        <v>95</v>
      </c>
      <c r="E28" s="599" t="str">
        <f t="shared" si="1"/>
        <v>TerjeHanssen</v>
      </c>
      <c r="F28" s="192">
        <f>YEAR(I$5)-_xlfn.XLOOKUP(E28,Deltakerliste!E$5:E$98,Deltakerliste!I$5:I$98)</f>
        <v>78</v>
      </c>
      <c r="G28" s="192">
        <f>_xlfn.XLOOKUP(E28,Deltakerliste!E$5:E$98,Deltakerliste!H$5:H$98)</f>
        <v>2</v>
      </c>
      <c r="H28" s="592">
        <f>VLOOKUP(F28,Deltakerliste!P$6:T$84,G28,FALSE)</f>
        <v>1.7550000000000001</v>
      </c>
      <c r="I28" s="86">
        <v>2.0914351851851851E-2</v>
      </c>
      <c r="J28" s="86"/>
      <c r="K28" s="17"/>
      <c r="L28" s="600">
        <f t="shared" si="2"/>
        <v>9.9592151675484998E-3</v>
      </c>
      <c r="M28" s="594">
        <f>IF(L28="Løype",Poengsammendrag!$F$2,IF(L28="Arr",Poengsammendrag!$F$3,IF(L28="Brutt",50,IF(L28="Disk",50,ROUND(MAXA(100*(MIN(L$10:L$94)/L28),50),0)))))</f>
        <v>70</v>
      </c>
      <c r="N28" s="724">
        <f t="shared" si="3"/>
        <v>5.6747664772356116E-3</v>
      </c>
      <c r="O28" s="596">
        <f>IF(N28="Løype",Poengsammendrag!$F$2,IF(N28="Arr",Poengsammendrag!$F$3,IF(N28="Brutt",50,IF(N28="Disk",50,ROUND(MAXA(100*(MIN(N$10:N$94)/N28),50),0)))))</f>
        <v>76</v>
      </c>
      <c r="Q28" s="672"/>
      <c r="R28" s="672"/>
      <c r="S28" s="803" t="s">
        <v>367</v>
      </c>
      <c r="T28" s="736">
        <v>9.6836419753086409E-3</v>
      </c>
      <c r="U28" s="752">
        <v>72</v>
      </c>
      <c r="V28" s="781"/>
      <c r="W28" s="776" t="s">
        <v>94</v>
      </c>
      <c r="X28" s="740">
        <v>76</v>
      </c>
      <c r="AB28" s="828">
        <f t="shared" si="5"/>
        <v>73</v>
      </c>
      <c r="AC28" s="829">
        <f t="shared" si="4"/>
        <v>4</v>
      </c>
    </row>
    <row r="29" spans="2:29" ht="21" thickBot="1" x14ac:dyDescent="0.3">
      <c r="B29" s="16">
        <f t="shared" si="0"/>
        <v>20</v>
      </c>
      <c r="C29" s="106" t="s">
        <v>134</v>
      </c>
      <c r="D29" s="107" t="s">
        <v>135</v>
      </c>
      <c r="E29" s="599" t="str">
        <f t="shared" si="1"/>
        <v>IngeNørstebø</v>
      </c>
      <c r="F29" s="192">
        <f>YEAR(I$5)-_xlfn.XLOOKUP(E29,Deltakerliste!E$5:E$98,Deltakerliste!I$5:I$98)</f>
        <v>70</v>
      </c>
      <c r="G29" s="192">
        <f>_xlfn.XLOOKUP(E29,Deltakerliste!E$5:E$98,Deltakerliste!H$5:H$98)</f>
        <v>2</v>
      </c>
      <c r="H29" s="592">
        <f>VLOOKUP(F29,Deltakerliste!P$6:T$84,G29,FALSE)</f>
        <v>1.4249999999999998</v>
      </c>
      <c r="I29" s="13"/>
      <c r="J29" s="13">
        <v>2.1134259259259259E-2</v>
      </c>
      <c r="K29" s="13"/>
      <c r="L29" s="600">
        <f t="shared" si="2"/>
        <v>8.128561253561253E-3</v>
      </c>
      <c r="M29" s="594">
        <f>IF(L29="Løype",Poengsammendrag!$F$2,IF(L29="Arr",Poengsammendrag!$F$3,IF(L29="Brutt",50,IF(L29="Disk",50,ROUND(MAXA(100*(MIN(L$10:L$94)/L29),50),0)))))</f>
        <v>86</v>
      </c>
      <c r="N29" s="724">
        <f t="shared" si="3"/>
        <v>5.7042535112710553E-3</v>
      </c>
      <c r="O29" s="596">
        <f>IF(N29="Løype",Poengsammendrag!$F$2,IF(N29="Arr",Poengsammendrag!$F$3,IF(N29="Brutt",50,IF(N29="Disk",50,ROUND(MAXA(100*(MIN(N$10:N$94)/N29),50),0)))))</f>
        <v>75</v>
      </c>
      <c r="Q29" s="672"/>
      <c r="R29" s="672"/>
      <c r="S29" s="803" t="s">
        <v>346</v>
      </c>
      <c r="T29" s="736">
        <v>9.6866096866096863E-3</v>
      </c>
      <c r="U29" s="752">
        <v>72</v>
      </c>
      <c r="V29" s="781"/>
      <c r="W29" s="776" t="s">
        <v>134</v>
      </c>
      <c r="X29" s="740">
        <v>75</v>
      </c>
      <c r="AB29" s="828">
        <f t="shared" si="5"/>
        <v>74</v>
      </c>
      <c r="AC29" s="829">
        <f t="shared" si="4"/>
        <v>2</v>
      </c>
    </row>
    <row r="30" spans="2:29" ht="21" thickBot="1" x14ac:dyDescent="0.3">
      <c r="B30" s="16">
        <f t="shared" si="0"/>
        <v>21</v>
      </c>
      <c r="C30" s="106" t="s">
        <v>126</v>
      </c>
      <c r="D30" s="107" t="s">
        <v>383</v>
      </c>
      <c r="E30" s="599" t="str">
        <f t="shared" si="1"/>
        <v>ArneHelland</v>
      </c>
      <c r="F30" s="192">
        <f>YEAR(I$5)-_xlfn.XLOOKUP(E30,Deltakerliste!E$5:E$98,Deltakerliste!I$5:I$98)</f>
        <v>61</v>
      </c>
      <c r="G30" s="192">
        <f>_xlfn.XLOOKUP(E30,Deltakerliste!E$5:E$98,Deltakerliste!H$5:H$98)</f>
        <v>2</v>
      </c>
      <c r="H30" s="592">
        <f>VLOOKUP(F30,Deltakerliste!P$6:T$84,G30,FALSE)</f>
        <v>1.2190000000000001</v>
      </c>
      <c r="I30" s="86"/>
      <c r="J30" s="86">
        <v>1.8171296296296297E-2</v>
      </c>
      <c r="K30" s="17"/>
      <c r="L30" s="600">
        <f t="shared" si="2"/>
        <v>6.9889601139601137E-3</v>
      </c>
      <c r="M30" s="594">
        <f>IF(L30="Løype",Poengsammendrag!$F$2,IF(L30="Arr",Poengsammendrag!$F$3,IF(L30="Brutt",50,IF(L30="Disk",50,ROUND(MAXA(100*(MIN(L$10:L$94)/L30),50),0)))))</f>
        <v>100</v>
      </c>
      <c r="N30" s="724">
        <f t="shared" si="3"/>
        <v>5.7333553026744158E-3</v>
      </c>
      <c r="O30" s="596">
        <f>IF(N30="Løype",Poengsammendrag!$F$2,IF(N30="Arr",Poengsammendrag!$F$3,IF(N30="Brutt",50,IF(N30="Disk",50,ROUND(MAXA(100*(MIN(N$10:N$94)/N30),50),0)))))</f>
        <v>75</v>
      </c>
      <c r="Q30" s="672"/>
      <c r="R30" s="672"/>
      <c r="S30" s="803" t="s">
        <v>106</v>
      </c>
      <c r="T30" s="736">
        <v>9.8246082621082607E-3</v>
      </c>
      <c r="U30" s="752">
        <v>71</v>
      </c>
      <c r="V30" s="781"/>
      <c r="W30" s="776" t="s">
        <v>385</v>
      </c>
      <c r="X30" s="740">
        <v>75</v>
      </c>
      <c r="AB30" s="828">
        <f t="shared" si="5"/>
        <v>75</v>
      </c>
      <c r="AC30" s="829">
        <f t="shared" si="4"/>
        <v>6</v>
      </c>
    </row>
    <row r="31" spans="2:29" ht="21" customHeight="1" thickBot="1" x14ac:dyDescent="0.3">
      <c r="B31" s="16">
        <f t="shared" si="0"/>
        <v>22</v>
      </c>
      <c r="C31" s="106" t="s">
        <v>106</v>
      </c>
      <c r="D31" s="107" t="s">
        <v>107</v>
      </c>
      <c r="E31" s="599" t="str">
        <f t="shared" si="1"/>
        <v>Jon ArneKlemetsaune</v>
      </c>
      <c r="F31" s="192">
        <f>YEAR(I$5)-_xlfn.XLOOKUP(E31,Deltakerliste!E$5:E$98,Deltakerliste!I$5:I$98)</f>
        <v>77</v>
      </c>
      <c r="G31" s="192">
        <f>_xlfn.XLOOKUP(E31,Deltakerliste!E$5:E$98,Deltakerliste!H$5:H$98)</f>
        <v>2</v>
      </c>
      <c r="H31" s="592">
        <f>VLOOKUP(F31,Deltakerliste!P$6:T$84,G31,FALSE)</f>
        <v>1.7050000000000001</v>
      </c>
      <c r="I31" s="86"/>
      <c r="J31" s="86">
        <v>2.554398148148148E-2</v>
      </c>
      <c r="K31" s="17"/>
      <c r="L31" s="600">
        <f t="shared" si="2"/>
        <v>9.8246082621082607E-3</v>
      </c>
      <c r="M31" s="594">
        <f>IF(L31="Løype",Poengsammendrag!$F$2,IF(L31="Arr",Poengsammendrag!$F$3,IF(L31="Brutt",50,IF(L31="Disk",50,ROUND(MAXA(100*(MIN(L$10:L$94)/L31),50),0)))))</f>
        <v>71</v>
      </c>
      <c r="N31" s="724">
        <f t="shared" si="3"/>
        <v>5.7622335848142286E-3</v>
      </c>
      <c r="O31" s="596">
        <f>IF(N31="Løype",Poengsammendrag!$F$2,IF(N31="Arr",Poengsammendrag!$F$3,IF(N31="Brutt",50,IF(N31="Disk",50,ROUND(MAXA(100*(MIN(N$10:N$94)/N31),50),0)))))</f>
        <v>75</v>
      </c>
      <c r="Q31" s="672"/>
      <c r="R31" s="672"/>
      <c r="S31" s="803" t="s">
        <v>357</v>
      </c>
      <c r="T31" s="736">
        <v>9.9426807760141095E-3</v>
      </c>
      <c r="U31" s="752">
        <v>70</v>
      </c>
      <c r="V31" s="781"/>
      <c r="W31" s="776" t="s">
        <v>106</v>
      </c>
      <c r="X31" s="740">
        <v>75</v>
      </c>
      <c r="AB31" s="828">
        <f t="shared" si="5"/>
        <v>76</v>
      </c>
      <c r="AC31" s="829">
        <f t="shared" si="4"/>
        <v>1</v>
      </c>
    </row>
    <row r="32" spans="2:29" ht="21" customHeight="1" thickBot="1" x14ac:dyDescent="0.3">
      <c r="B32" s="16">
        <f t="shared" si="0"/>
        <v>23</v>
      </c>
      <c r="C32" s="106" t="s">
        <v>307</v>
      </c>
      <c r="D32" s="107" t="s">
        <v>308</v>
      </c>
      <c r="E32" s="599" t="str">
        <f t="shared" si="1"/>
        <v>RolfWærnes</v>
      </c>
      <c r="F32" s="192">
        <f>YEAR(I$5)-_xlfn.XLOOKUP(E32,Deltakerliste!E$5:E$98,Deltakerliste!I$5:I$98)</f>
        <v>75</v>
      </c>
      <c r="G32" s="192">
        <f>_xlfn.XLOOKUP(E32,Deltakerliste!E$5:E$98,Deltakerliste!H$5:H$98)</f>
        <v>2</v>
      </c>
      <c r="H32" s="592">
        <f>VLOOKUP(F32,Deltakerliste!P$6:T$84,G32,FALSE)</f>
        <v>1.605</v>
      </c>
      <c r="I32" s="18"/>
      <c r="J32" s="132">
        <v>2.4502314814814814E-2</v>
      </c>
      <c r="K32" s="18"/>
      <c r="L32" s="600">
        <f t="shared" si="2"/>
        <v>9.4239672364672365E-3</v>
      </c>
      <c r="M32" s="594">
        <f>IF(L32="Løype",Poengsammendrag!$F$2,IF(L32="Arr",Poengsammendrag!$F$3,IF(L32="Brutt",50,IF(L32="Disk",50,ROUND(MAXA(100*(MIN(L$10:L$94)/L32),50),0)))))</f>
        <v>74</v>
      </c>
      <c r="N32" s="724">
        <f t="shared" si="3"/>
        <v>5.8716306769266268E-3</v>
      </c>
      <c r="O32" s="596">
        <f>IF(N32="Løype",Poengsammendrag!$F$2,IF(N32="Arr",Poengsammendrag!$F$3,IF(N32="Brutt",50,IF(N32="Disk",50,ROUND(MAXA(100*(MIN(N$10:N$94)/N32),50),0)))))</f>
        <v>73</v>
      </c>
      <c r="S32" s="803" t="s">
        <v>94</v>
      </c>
      <c r="T32" s="736">
        <v>9.9592151675484998E-3</v>
      </c>
      <c r="U32" s="752">
        <v>70</v>
      </c>
      <c r="V32" s="781"/>
      <c r="W32" s="776" t="s">
        <v>307</v>
      </c>
      <c r="X32" s="740">
        <v>73</v>
      </c>
      <c r="AB32" s="828">
        <f t="shared" si="5"/>
        <v>77</v>
      </c>
      <c r="AC32" s="829">
        <f t="shared" si="4"/>
        <v>3</v>
      </c>
    </row>
    <row r="33" spans="2:29" ht="21" customHeight="1" thickBot="1" x14ac:dyDescent="0.3">
      <c r="B33" s="16">
        <f t="shared" si="0"/>
        <v>24</v>
      </c>
      <c r="C33" s="106" t="s">
        <v>222</v>
      </c>
      <c r="D33" s="107" t="s">
        <v>221</v>
      </c>
      <c r="E33" s="599" t="str">
        <f t="shared" si="1"/>
        <v>Kjell Maroni</v>
      </c>
      <c r="F33" s="192">
        <f>YEAR(I$5)-_xlfn.XLOOKUP(E33,Deltakerliste!E$5:E$98,Deltakerliste!I$5:I$98)</f>
        <v>70</v>
      </c>
      <c r="G33" s="192">
        <f>_xlfn.XLOOKUP(E33,Deltakerliste!E$5:E$98,Deltakerliste!H$5:H$98)</f>
        <v>2</v>
      </c>
      <c r="H33" s="592">
        <f>VLOOKUP(F33,Deltakerliste!P$6:T$84,G33,FALSE)</f>
        <v>1.4249999999999998</v>
      </c>
      <c r="I33" s="13"/>
      <c r="J33" s="13">
        <v>2.1921296296296296E-2</v>
      </c>
      <c r="K33" s="13"/>
      <c r="L33" s="600">
        <f t="shared" si="2"/>
        <v>8.4312678062678052E-3</v>
      </c>
      <c r="M33" s="594">
        <f>IF(L33="Løype",Poengsammendrag!$F$2,IF(L33="Arr",Poengsammendrag!$F$3,IF(L33="Brutt",50,IF(L33="Disk",50,ROUND(MAXA(100*(MIN(L$10:L$94)/L33),50),0)))))</f>
        <v>83</v>
      </c>
      <c r="N33" s="724">
        <f t="shared" si="3"/>
        <v>5.9166791622931973E-3</v>
      </c>
      <c r="O33" s="596">
        <f>IF(N33="Løype",Poengsammendrag!$F$2,IF(N33="Arr",Poengsammendrag!$F$3,IF(N33="Brutt",50,IF(N33="Disk",50,ROUND(MAXA(100*(MIN(N$10:N$94)/N33),50),0)))))</f>
        <v>73</v>
      </c>
      <c r="S33" s="803" t="s">
        <v>356</v>
      </c>
      <c r="T33" s="736">
        <v>9.9702380952380962E-3</v>
      </c>
      <c r="U33" s="752">
        <v>70</v>
      </c>
      <c r="V33" s="781"/>
      <c r="W33" s="776" t="s">
        <v>222</v>
      </c>
      <c r="X33" s="740">
        <v>73</v>
      </c>
      <c r="AB33" s="828">
        <f t="shared" si="5"/>
        <v>78</v>
      </c>
      <c r="AC33" s="829">
        <f t="shared" si="4"/>
        <v>3</v>
      </c>
    </row>
    <row r="34" spans="2:29" ht="21" customHeight="1" thickBot="1" x14ac:dyDescent="0.3">
      <c r="B34" s="16">
        <f t="shared" si="0"/>
        <v>25</v>
      </c>
      <c r="C34" s="106" t="s">
        <v>170</v>
      </c>
      <c r="D34" s="107" t="s">
        <v>171</v>
      </c>
      <c r="E34" s="599" t="str">
        <f t="shared" si="1"/>
        <v>ØisteinÅsmul</v>
      </c>
      <c r="F34" s="192">
        <f>YEAR(I$5)-_xlfn.XLOOKUP(E34,Deltakerliste!E$5:E$98,Deltakerliste!I$5:I$98)</f>
        <v>81</v>
      </c>
      <c r="G34" s="192">
        <f>_xlfn.XLOOKUP(E34,Deltakerliste!E$5:E$98,Deltakerliste!H$5:H$98)</f>
        <v>2</v>
      </c>
      <c r="H34" s="592">
        <f>VLOOKUP(F34,Deltakerliste!P$6:T$84,G34,FALSE)</f>
        <v>1.9290000000000003</v>
      </c>
      <c r="I34" s="132">
        <v>2.4699074074074075E-2</v>
      </c>
      <c r="J34" s="132"/>
      <c r="K34" s="18"/>
      <c r="L34" s="600">
        <f t="shared" si="2"/>
        <v>1.1761463844797178E-2</v>
      </c>
      <c r="M34" s="594">
        <f>IF(L34="Løype",Poengsammendrag!$F$2,IF(L34="Arr",Poengsammendrag!$F$3,IF(L34="Brutt",50,IF(L34="Disk",50,ROUND(MAXA(100*(MIN(L$10:L$94)/L34),50),0)))))</f>
        <v>59</v>
      </c>
      <c r="N34" s="724">
        <f t="shared" si="3"/>
        <v>6.0971818791068829E-3</v>
      </c>
      <c r="O34" s="596">
        <f>IF(N34="Løype",Poengsammendrag!$F$2,IF(N34="Arr",Poengsammendrag!$F$3,IF(N34="Brutt",50,IF(N34="Disk",50,ROUND(MAXA(100*(MIN(N$10:N$94)/N34),50),0)))))</f>
        <v>71</v>
      </c>
      <c r="S34" s="803" t="s">
        <v>103</v>
      </c>
      <c r="T34" s="736">
        <v>1.008046737213404E-2</v>
      </c>
      <c r="U34" s="752">
        <v>69</v>
      </c>
      <c r="V34" s="781"/>
      <c r="W34" s="776" t="s">
        <v>347</v>
      </c>
      <c r="X34" s="740">
        <v>71</v>
      </c>
      <c r="AB34" s="828">
        <f t="shared" si="5"/>
        <v>79</v>
      </c>
      <c r="AC34" s="829">
        <f t="shared" si="4"/>
        <v>3</v>
      </c>
    </row>
    <row r="35" spans="2:29" ht="21" customHeight="1" thickBot="1" x14ac:dyDescent="0.3">
      <c r="B35" s="16">
        <f t="shared" si="0"/>
        <v>26</v>
      </c>
      <c r="C35" s="106" t="s">
        <v>163</v>
      </c>
      <c r="D35" s="107" t="s">
        <v>164</v>
      </c>
      <c r="E35" s="599" t="str">
        <f t="shared" si="1"/>
        <v>ArnulfVilmo</v>
      </c>
      <c r="F35" s="192">
        <f>YEAR(I$5)-_xlfn.XLOOKUP(E35,Deltakerliste!E$5:E$98,Deltakerliste!I$5:I$98)</f>
        <v>73</v>
      </c>
      <c r="G35" s="192">
        <f>_xlfn.XLOOKUP(E35,Deltakerliste!E$5:E$98,Deltakerliste!H$5:H$98)</f>
        <v>2</v>
      </c>
      <c r="H35" s="592">
        <f>VLOOKUP(F35,Deltakerliste!P$6:T$84,G35,FALSE)</f>
        <v>1.5329999999999999</v>
      </c>
      <c r="I35" s="132"/>
      <c r="J35" s="132">
        <v>2.4456018518518519E-2</v>
      </c>
      <c r="K35" s="18"/>
      <c r="L35" s="600">
        <f t="shared" si="2"/>
        <v>9.4061609686609694E-3</v>
      </c>
      <c r="M35" s="594">
        <f>IF(L35="Løype",Poengsammendrag!$F$2,IF(L35="Arr",Poengsammendrag!$F$3,IF(L35="Brutt",50,IF(L35="Disk",50,ROUND(MAXA(100*(MIN(L$10:L$94)/L35),50),0)))))</f>
        <v>74</v>
      </c>
      <c r="N35" s="724">
        <f t="shared" si="3"/>
        <v>6.1357866723163535E-3</v>
      </c>
      <c r="O35" s="596">
        <f>IF(N35="Løype",Poengsammendrag!$F$2,IF(N35="Arr",Poengsammendrag!$F$3,IF(N35="Brutt",50,IF(N35="Disk",50,ROUND(MAXA(100*(MIN(N$10:N$94)/N35),50),0)))))</f>
        <v>70</v>
      </c>
      <c r="S35" s="803" t="s">
        <v>263</v>
      </c>
      <c r="T35" s="736">
        <v>1.0201719576719576E-2</v>
      </c>
      <c r="U35" s="752">
        <v>69</v>
      </c>
      <c r="V35" s="781"/>
      <c r="W35" s="776" t="s">
        <v>163</v>
      </c>
      <c r="X35" s="740">
        <v>70</v>
      </c>
      <c r="AB35" s="828">
        <f t="shared" si="5"/>
        <v>80</v>
      </c>
      <c r="AC35" s="829">
        <f t="shared" si="4"/>
        <v>1</v>
      </c>
    </row>
    <row r="36" spans="2:29" ht="21" thickBot="1" x14ac:dyDescent="0.3">
      <c r="B36" s="16">
        <f t="shared" si="0"/>
        <v>27</v>
      </c>
      <c r="C36" s="106" t="s">
        <v>101</v>
      </c>
      <c r="D36" s="107" t="s">
        <v>102</v>
      </c>
      <c r="E36" s="599" t="str">
        <f t="shared" si="1"/>
        <v>EvenHofstad</v>
      </c>
      <c r="F36" s="192">
        <f>YEAR(I$5)-_xlfn.XLOOKUP(E36,Deltakerliste!E$5:E$98,Deltakerliste!I$5:I$98)</f>
        <v>72</v>
      </c>
      <c r="G36" s="192">
        <f>_xlfn.XLOOKUP(E36,Deltakerliste!E$5:E$98,Deltakerliste!H$5:H$98)</f>
        <v>2</v>
      </c>
      <c r="H36" s="592">
        <f>VLOOKUP(F36,Deltakerliste!P$6:T$84,G36,FALSE)</f>
        <v>1.4969999999999999</v>
      </c>
      <c r="I36" s="853"/>
      <c r="J36" s="86">
        <v>2.435185185185185E-2</v>
      </c>
      <c r="K36" s="13"/>
      <c r="L36" s="600">
        <f t="shared" si="2"/>
        <v>9.3660968660968652E-3</v>
      </c>
      <c r="M36" s="594">
        <f>IF(L36="Løype",Poengsammendrag!$F$2,IF(L36="Arr",Poengsammendrag!$F$3,IF(L36="Brutt",50,IF(L36="Disk",50,ROUND(MAXA(100*(MIN(L$10:L$94)/L36),50),0)))))</f>
        <v>75</v>
      </c>
      <c r="N36" s="724">
        <f t="shared" si="3"/>
        <v>6.256577732863638E-3</v>
      </c>
      <c r="O36" s="596">
        <f>IF(N36="Løype",Poengsammendrag!$F$2,IF(N36="Arr",Poengsammendrag!$F$3,IF(N36="Brutt",50,IF(N36="Disk",50,ROUND(MAXA(100*(MIN(N$10:N$94)/N36),50),0)))))</f>
        <v>69</v>
      </c>
      <c r="S36" s="803" t="s">
        <v>168</v>
      </c>
      <c r="T36" s="736">
        <v>1.085758377425044E-2</v>
      </c>
      <c r="U36" s="752">
        <v>64</v>
      </c>
      <c r="V36" s="781"/>
      <c r="W36" s="776" t="s">
        <v>101</v>
      </c>
      <c r="X36" s="740">
        <v>69</v>
      </c>
      <c r="AB36" s="828">
        <f t="shared" si="5"/>
        <v>81</v>
      </c>
      <c r="AC36" s="829">
        <f t="shared" si="4"/>
        <v>1</v>
      </c>
    </row>
    <row r="37" spans="2:29" ht="21" customHeight="1" thickBot="1" x14ac:dyDescent="0.3">
      <c r="B37" s="16">
        <f t="shared" si="0"/>
        <v>28</v>
      </c>
      <c r="C37" s="106" t="s">
        <v>263</v>
      </c>
      <c r="D37" s="107" t="s">
        <v>264</v>
      </c>
      <c r="E37" s="599" t="str">
        <f t="shared" si="1"/>
        <v>RuneHolt</v>
      </c>
      <c r="F37" s="192">
        <f>YEAR(I$5)-_xlfn.XLOOKUP(E37,Deltakerliste!E$5:E$98,Deltakerliste!I$5:I$98)</f>
        <v>73</v>
      </c>
      <c r="G37" s="192">
        <f>_xlfn.XLOOKUP(E37,Deltakerliste!E$5:E$98,Deltakerliste!H$5:H$98)</f>
        <v>2</v>
      </c>
      <c r="H37" s="592">
        <f>VLOOKUP(F37,Deltakerliste!P$6:T$84,G37,FALSE)</f>
        <v>1.5329999999999999</v>
      </c>
      <c r="I37" s="86">
        <v>2.1423611111111112E-2</v>
      </c>
      <c r="J37" s="134"/>
      <c r="K37" s="17"/>
      <c r="L37" s="600">
        <f t="shared" si="2"/>
        <v>1.0201719576719576E-2</v>
      </c>
      <c r="M37" s="594">
        <f>IF(L37="Løype",Poengsammendrag!$F$2,IF(L37="Arr",Poengsammendrag!$F$3,IF(L37="Brutt",50,IF(L37="Disk",50,ROUND(MAXA(100*(MIN(L$10:L$94)/L37),50),0)))))</f>
        <v>69</v>
      </c>
      <c r="N37" s="724">
        <f t="shared" si="3"/>
        <v>6.6547420591778058E-3</v>
      </c>
      <c r="O37" s="596">
        <f>IF(N37="Løype",Poengsammendrag!$F$2,IF(N37="Arr",Poengsammendrag!$F$3,IF(N37="Brutt",50,IF(N37="Disk",50,ROUND(MAXA(100*(MIN(N$10:N$94)/N37),50),0)))))</f>
        <v>65</v>
      </c>
      <c r="S37" s="803" t="s">
        <v>350</v>
      </c>
      <c r="T37" s="736">
        <v>1.0946403133903134E-2</v>
      </c>
      <c r="U37" s="752">
        <v>64</v>
      </c>
      <c r="V37" s="781"/>
      <c r="W37" s="776" t="s">
        <v>263</v>
      </c>
      <c r="X37" s="740">
        <v>65</v>
      </c>
      <c r="AB37" s="828">
        <f t="shared" si="5"/>
        <v>82</v>
      </c>
      <c r="AC37" s="829">
        <f t="shared" si="4"/>
        <v>2</v>
      </c>
    </row>
    <row r="38" spans="2:29" ht="21" customHeight="1" thickBot="1" x14ac:dyDescent="0.3">
      <c r="B38" s="16">
        <f t="shared" si="0"/>
        <v>29</v>
      </c>
      <c r="C38" s="106" t="s">
        <v>99</v>
      </c>
      <c r="D38" s="107" t="s">
        <v>100</v>
      </c>
      <c r="E38" s="599" t="str">
        <f t="shared" si="1"/>
        <v>RobertHirsch</v>
      </c>
      <c r="F38" s="192">
        <f>YEAR(I$5)-_xlfn.XLOOKUP(E38,Deltakerliste!E$5:E$98,Deltakerliste!I$5:I$98)</f>
        <v>69</v>
      </c>
      <c r="G38" s="192">
        <f>_xlfn.XLOOKUP(E38,Deltakerliste!E$5:E$98,Deltakerliste!H$5:H$98)</f>
        <v>2</v>
      </c>
      <c r="H38" s="592">
        <f>VLOOKUP(F38,Deltakerliste!P$6:T$84,G38,FALSE)</f>
        <v>1.3989999999999998</v>
      </c>
      <c r="I38" s="86"/>
      <c r="J38" s="86">
        <v>2.4293981481481482E-2</v>
      </c>
      <c r="K38" s="13"/>
      <c r="L38" s="600">
        <f t="shared" si="2"/>
        <v>9.3438390313390317E-3</v>
      </c>
      <c r="M38" s="594">
        <f>IF(L38="Løype",Poengsammendrag!$F$2,IF(L38="Arr",Poengsammendrag!$F$3,IF(L38="Brutt",50,IF(L38="Disk",50,ROUND(MAXA(100*(MIN(L$10:L$94)/L38),50),0)))))</f>
        <v>75</v>
      </c>
      <c r="N38" s="724">
        <f t="shared" si="3"/>
        <v>6.6789414091058133E-3</v>
      </c>
      <c r="O38" s="596">
        <f>IF(N38="Løype",Poengsammendrag!$F$2,IF(N38="Arr",Poengsammendrag!$F$3,IF(N38="Brutt",50,IF(N38="Disk",50,ROUND(MAXA(100*(MIN(N$10:N$94)/N38),50),0)))))</f>
        <v>64</v>
      </c>
      <c r="S38" s="803" t="s">
        <v>124</v>
      </c>
      <c r="T38" s="736">
        <v>1.0986467236467236E-2</v>
      </c>
      <c r="U38" s="752">
        <v>64</v>
      </c>
      <c r="V38" s="781"/>
      <c r="W38" s="776" t="s">
        <v>99</v>
      </c>
      <c r="X38" s="740">
        <v>64</v>
      </c>
      <c r="AB38" s="828">
        <f t="shared" si="5"/>
        <v>83</v>
      </c>
      <c r="AC38" s="829">
        <f t="shared" si="4"/>
        <v>1</v>
      </c>
    </row>
    <row r="39" spans="2:29" ht="21" customHeight="1" thickBot="1" x14ac:dyDescent="0.3">
      <c r="B39" s="16">
        <f t="shared" si="0"/>
        <v>30</v>
      </c>
      <c r="C39" s="106" t="s">
        <v>161</v>
      </c>
      <c r="D39" s="107" t="s">
        <v>162</v>
      </c>
      <c r="E39" s="599" t="str">
        <f t="shared" si="1"/>
        <v>Nils OlavVennevik</v>
      </c>
      <c r="F39" s="192">
        <f>YEAR(I$5)-_xlfn.XLOOKUP(E39,Deltakerliste!E$5:E$98,Deltakerliste!I$5:I$98)</f>
        <v>78</v>
      </c>
      <c r="G39" s="192">
        <f>_xlfn.XLOOKUP(E39,Deltakerliste!E$5:E$98,Deltakerliste!H$5:H$98)</f>
        <v>2</v>
      </c>
      <c r="H39" s="592">
        <f>VLOOKUP(F39,Deltakerliste!P$6:T$84,G39,FALSE)</f>
        <v>1.7550000000000001</v>
      </c>
      <c r="I39" s="132">
        <v>2.4652777777777777E-2</v>
      </c>
      <c r="J39" s="18"/>
      <c r="K39" s="18"/>
      <c r="L39" s="600">
        <f t="shared" si="2"/>
        <v>1.1739417989417989E-2</v>
      </c>
      <c r="M39" s="594">
        <f>IF(L39="Løype",Poengsammendrag!$F$2,IF(L39="Arr",Poengsammendrag!$F$3,IF(L39="Brutt",50,IF(L39="Disk",50,ROUND(MAXA(100*(MIN(L$10:L$94)/L39),50),0)))))</f>
        <v>60</v>
      </c>
      <c r="N39" s="724">
        <f t="shared" si="3"/>
        <v>6.6891270594974291E-3</v>
      </c>
      <c r="O39" s="596">
        <f>IF(N39="Løype",Poengsammendrag!$F$2,IF(N39="Arr",Poengsammendrag!$F$3,IF(N39="Brutt",50,IF(N39="Disk",50,ROUND(MAXA(100*(MIN(N$10:N$94)/N39),50),0)))))</f>
        <v>64</v>
      </c>
      <c r="S39" s="803" t="s">
        <v>114</v>
      </c>
      <c r="T39" s="736">
        <v>1.114227207977208E-2</v>
      </c>
      <c r="U39" s="752">
        <v>63</v>
      </c>
      <c r="V39" s="781"/>
      <c r="W39" s="776" t="s">
        <v>161</v>
      </c>
      <c r="X39" s="740">
        <v>64</v>
      </c>
      <c r="AB39" s="828">
        <f t="shared" si="5"/>
        <v>84</v>
      </c>
      <c r="AC39" s="829">
        <f t="shared" si="4"/>
        <v>1</v>
      </c>
    </row>
    <row r="40" spans="2:29" ht="21" thickBot="1" x14ac:dyDescent="0.3">
      <c r="B40" s="16">
        <f t="shared" si="0"/>
        <v>31</v>
      </c>
      <c r="C40" s="106" t="s">
        <v>168</v>
      </c>
      <c r="D40" s="107" t="s">
        <v>169</v>
      </c>
      <c r="E40" s="599" t="str">
        <f t="shared" si="1"/>
        <v>SteinØvstedal</v>
      </c>
      <c r="F40" s="192">
        <f>YEAR(I$5)-_xlfn.XLOOKUP(E40,Deltakerliste!E$5:E$98,Deltakerliste!I$5:I$98)</f>
        <v>75</v>
      </c>
      <c r="G40" s="192">
        <f>_xlfn.XLOOKUP(E40,Deltakerliste!E$5:E$98,Deltakerliste!H$5:H$98)</f>
        <v>2</v>
      </c>
      <c r="H40" s="592">
        <f>VLOOKUP(F40,Deltakerliste!P$6:T$84,G40,FALSE)</f>
        <v>1.605</v>
      </c>
      <c r="I40" s="132">
        <v>2.2800925925925926E-2</v>
      </c>
      <c r="J40" s="132"/>
      <c r="K40" s="18"/>
      <c r="L40" s="600">
        <f t="shared" si="2"/>
        <v>1.085758377425044E-2</v>
      </c>
      <c r="M40" s="594">
        <f>IF(L40="Løype",Poengsammendrag!$F$2,IF(L40="Arr",Poengsammendrag!$F$3,IF(L40="Brutt",50,IF(L40="Disk",50,ROUND(MAXA(100*(MIN(L$10:L$94)/L40),50),0)))))</f>
        <v>64</v>
      </c>
      <c r="N40" s="724">
        <f t="shared" si="3"/>
        <v>6.764849703582829E-3</v>
      </c>
      <c r="O40" s="596">
        <f>IF(N40="Løype",Poengsammendrag!$F$2,IF(N40="Arr",Poengsammendrag!$F$3,IF(N40="Brutt",50,IF(N40="Disk",50,ROUND(MAXA(100*(MIN(N$10:N$94)/N40),50),0)))))</f>
        <v>64</v>
      </c>
      <c r="S40" s="803" t="s">
        <v>337</v>
      </c>
      <c r="T40" s="736">
        <v>1.1210317460317459E-2</v>
      </c>
      <c r="U40" s="752">
        <v>62</v>
      </c>
      <c r="V40" s="781"/>
      <c r="W40" s="776" t="s">
        <v>168</v>
      </c>
      <c r="X40" s="740">
        <v>64</v>
      </c>
      <c r="AB40" s="828">
        <f t="shared" si="5"/>
        <v>85</v>
      </c>
      <c r="AC40" s="829">
        <f t="shared" si="4"/>
        <v>1</v>
      </c>
    </row>
    <row r="41" spans="2:29" ht="21" thickBot="1" x14ac:dyDescent="0.3">
      <c r="B41" s="16">
        <f t="shared" si="0"/>
        <v>32</v>
      </c>
      <c r="C41" s="106" t="s">
        <v>108</v>
      </c>
      <c r="D41" s="107" t="s">
        <v>109</v>
      </c>
      <c r="E41" s="599" t="str">
        <f t="shared" si="1"/>
        <v>Finn FayeKnudsen</v>
      </c>
      <c r="F41" s="192">
        <f>YEAR(I$5)-_xlfn.XLOOKUP(E41,Deltakerliste!E$5:E$98,Deltakerliste!I$5:I$98)</f>
        <v>84</v>
      </c>
      <c r="G41" s="192">
        <f>_xlfn.XLOOKUP(E41,Deltakerliste!E$5:E$98,Deltakerliste!H$5:H$98)</f>
        <v>2</v>
      </c>
      <c r="H41" s="592">
        <f>VLOOKUP(F41,Deltakerliste!P$6:T$84,G41,FALSE)</f>
        <v>2.1509999999999998</v>
      </c>
      <c r="I41" s="86">
        <v>3.0578703703703705E-2</v>
      </c>
      <c r="J41" s="86"/>
      <c r="K41" s="13"/>
      <c r="L41" s="600">
        <f t="shared" si="2"/>
        <v>1.4561287477954144E-2</v>
      </c>
      <c r="M41" s="594">
        <f>IF(L41="Løype",Poengsammendrag!$F$2,IF(L41="Arr",Poengsammendrag!$F$3,IF(L41="Brutt",50,IF(L41="Disk",50,ROUND(MAXA(100*(MIN(L$10:L$94)/L41),50),0)))))</f>
        <v>50</v>
      </c>
      <c r="N41" s="724">
        <f t="shared" si="3"/>
        <v>6.7695432254552051E-3</v>
      </c>
      <c r="O41" s="596">
        <f>IF(N41="Løype",Poengsammendrag!$F$2,IF(N41="Arr",Poengsammendrag!$F$3,IF(N41="Brutt",50,IF(N41="Disk",50,ROUND(MAXA(100*(MIN(N$10:N$94)/N41),50),0)))))</f>
        <v>64</v>
      </c>
      <c r="S41" s="803" t="s">
        <v>338</v>
      </c>
      <c r="T41" s="736">
        <v>1.1304012345679012E-2</v>
      </c>
      <c r="U41" s="752">
        <v>62</v>
      </c>
      <c r="V41" s="781"/>
      <c r="W41" s="776" t="s">
        <v>108</v>
      </c>
      <c r="X41" s="740">
        <v>64</v>
      </c>
      <c r="AB41" s="828">
        <f t="shared" si="5"/>
        <v>86</v>
      </c>
      <c r="AC41" s="829">
        <f t="shared" si="4"/>
        <v>1</v>
      </c>
    </row>
    <row r="42" spans="2:29" ht="21" customHeight="1" thickBot="1" x14ac:dyDescent="0.3">
      <c r="B42" s="16">
        <f t="shared" ref="B42:B73" si="6">B41+1</f>
        <v>33</v>
      </c>
      <c r="C42" s="106" t="s">
        <v>72</v>
      </c>
      <c r="D42" s="107" t="s">
        <v>73</v>
      </c>
      <c r="E42" s="599" t="str">
        <f t="shared" ref="E42:E73" si="7">_xlfn.CONCAT(C42:D42)</f>
        <v>KåreEggereide</v>
      </c>
      <c r="F42" s="192">
        <f>YEAR(I$5)-_xlfn.XLOOKUP(E42,Deltakerliste!E$5:E$98,Deltakerliste!I$5:I$98)</f>
        <v>75</v>
      </c>
      <c r="G42" s="192">
        <f>_xlfn.XLOOKUP(E42,Deltakerliste!E$5:E$98,Deltakerliste!H$5:H$98)</f>
        <v>2</v>
      </c>
      <c r="H42" s="592">
        <f>VLOOKUP(F42,Deltakerliste!P$6:T$84,G42,FALSE)</f>
        <v>1.605</v>
      </c>
      <c r="I42" s="86"/>
      <c r="J42" s="13">
        <v>2.8460648148148148E-2</v>
      </c>
      <c r="K42" s="13"/>
      <c r="L42" s="600">
        <f t="shared" si="2"/>
        <v>1.0946403133903134E-2</v>
      </c>
      <c r="M42" s="594">
        <f>IF(L42="Løype",Poengsammendrag!$F$2,IF(L42="Arr",Poengsammendrag!$F$3,IF(L42="Brutt",50,IF(L42="Disk",50,ROUND(MAXA(100*(MIN(L$10:L$94)/L42),50),0)))))</f>
        <v>64</v>
      </c>
      <c r="N42" s="724">
        <f t="shared" si="3"/>
        <v>6.8201888684754726E-3</v>
      </c>
      <c r="O42" s="596">
        <f>IF(N42="Løype",Poengsammendrag!$F$2,IF(N42="Arr",Poengsammendrag!$F$3,IF(N42="Brutt",50,IF(N42="Disk",50,ROUND(MAXA(100*(MIN(N$10:N$94)/N42),50),0)))))</f>
        <v>63</v>
      </c>
      <c r="S42" s="803" t="s">
        <v>68</v>
      </c>
      <c r="T42" s="796">
        <v>1.138710826210826E-2</v>
      </c>
      <c r="U42" s="765">
        <v>61</v>
      </c>
      <c r="V42" s="782"/>
      <c r="W42" s="777" t="s">
        <v>350</v>
      </c>
      <c r="X42" s="762">
        <v>63</v>
      </c>
      <c r="AB42" s="828">
        <f t="shared" si="5"/>
        <v>87</v>
      </c>
      <c r="AC42" s="829">
        <f t="shared" si="4"/>
        <v>0</v>
      </c>
    </row>
    <row r="43" spans="2:29" ht="21" thickBot="1" x14ac:dyDescent="0.3">
      <c r="B43" s="16">
        <f t="shared" si="6"/>
        <v>34</v>
      </c>
      <c r="C43" s="106" t="s">
        <v>265</v>
      </c>
      <c r="D43" s="107" t="s">
        <v>266</v>
      </c>
      <c r="E43" s="599" t="str">
        <f t="shared" si="7"/>
        <v>ØysteinWiggen</v>
      </c>
      <c r="F43" s="192">
        <f>YEAR(I$5)-_xlfn.XLOOKUP(E43,Deltakerliste!E$5:E$98,Deltakerliste!I$5:I$98)</f>
        <v>60</v>
      </c>
      <c r="G43" s="192">
        <f>_xlfn.XLOOKUP(E43,Deltakerliste!E$5:E$98,Deltakerliste!H$5:H$98)</f>
        <v>2</v>
      </c>
      <c r="H43" s="592">
        <f>VLOOKUP(F43,Deltakerliste!P$6:T$84,G43,FALSE)</f>
        <v>1.2000000000000002</v>
      </c>
      <c r="I43" s="134"/>
      <c r="J43" s="132">
        <v>2.1296296296296296E-2</v>
      </c>
      <c r="K43" s="18"/>
      <c r="L43" s="600">
        <f t="shared" si="2"/>
        <v>8.1908831908831907E-3</v>
      </c>
      <c r="M43" s="594">
        <f>IF(L43="Løype",Poengsammendrag!$F$2,IF(L43="Arr",Poengsammendrag!$F$3,IF(L43="Brutt",50,IF(L43="Disk",50,ROUND(MAXA(100*(MIN(L$10:L$94)/L43),50),0)))))</f>
        <v>85</v>
      </c>
      <c r="N43" s="724">
        <f t="shared" si="3"/>
        <v>6.8257359924026578E-3</v>
      </c>
      <c r="O43" s="596">
        <f>IF(N43="Løype",Poengsammendrag!$F$2,IF(N43="Arr",Poengsammendrag!$F$3,IF(N43="Brutt",50,IF(N43="Disk",50,ROUND(MAXA(100*(MIN(N$10:N$94)/N43),50),0)))))</f>
        <v>63</v>
      </c>
      <c r="S43" s="803" t="s">
        <v>76</v>
      </c>
      <c r="T43" s="797">
        <v>1.1535493827160494E-2</v>
      </c>
      <c r="U43" s="770">
        <v>61</v>
      </c>
      <c r="V43" s="778"/>
      <c r="W43" s="783" t="s">
        <v>368</v>
      </c>
      <c r="X43" s="740">
        <v>63</v>
      </c>
      <c r="AB43" s="828">
        <f t="shared" si="5"/>
        <v>88</v>
      </c>
      <c r="AC43" s="829">
        <f t="shared" si="4"/>
        <v>0</v>
      </c>
    </row>
    <row r="44" spans="2:29" ht="21" customHeight="1" thickBot="1" x14ac:dyDescent="0.3">
      <c r="B44" s="16">
        <f t="shared" si="6"/>
        <v>35</v>
      </c>
      <c r="C44" s="106" t="s">
        <v>76</v>
      </c>
      <c r="D44" s="107" t="s">
        <v>77</v>
      </c>
      <c r="E44" s="599" t="str">
        <f t="shared" si="7"/>
        <v>ReinoldEllingsen</v>
      </c>
      <c r="F44" s="192">
        <f>YEAR(I$5)-_xlfn.XLOOKUP(E44,Deltakerliste!E$5:E$98,Deltakerliste!I$5:I$98)</f>
        <v>75</v>
      </c>
      <c r="G44" s="192">
        <f>_xlfn.XLOOKUP(E44,Deltakerliste!E$5:E$98,Deltakerliste!H$5:H$98)</f>
        <v>2</v>
      </c>
      <c r="H44" s="592">
        <f>VLOOKUP(F44,Deltakerliste!P$6:T$84,G44,FALSE)</f>
        <v>1.605</v>
      </c>
      <c r="I44" s="13">
        <v>2.4224537037037037E-2</v>
      </c>
      <c r="J44" s="13"/>
      <c r="K44" s="13"/>
      <c r="L44" s="600">
        <f t="shared" si="2"/>
        <v>1.1535493827160494E-2</v>
      </c>
      <c r="M44" s="594">
        <f>IF(L44="Løype",Poengsammendrag!$F$2,IF(L44="Arr",Poengsammendrag!$F$3,IF(L44="Brutt",50,IF(L44="Disk",50,ROUND(MAXA(100*(MIN(L$10:L$94)/L44),50),0)))))</f>
        <v>61</v>
      </c>
      <c r="N44" s="724">
        <f t="shared" si="3"/>
        <v>7.1872235683242951E-3</v>
      </c>
      <c r="O44" s="596">
        <f>IF(N44="Løype",Poengsammendrag!$F$2,IF(N44="Arr",Poengsammendrag!$F$3,IF(N44="Brutt",50,IF(N44="Disk",50,ROUND(MAXA(100*(MIN(N$10:N$94)/N44),50),0)))))</f>
        <v>60</v>
      </c>
      <c r="S44" s="803" t="s">
        <v>269</v>
      </c>
      <c r="T44" s="797">
        <v>1.1552028218694884E-2</v>
      </c>
      <c r="U44" s="770">
        <v>60</v>
      </c>
      <c r="V44" s="772"/>
      <c r="W44" s="783" t="s">
        <v>76</v>
      </c>
      <c r="X44" s="740">
        <v>60</v>
      </c>
      <c r="AB44" s="828">
        <f t="shared" si="5"/>
        <v>89</v>
      </c>
      <c r="AC44" s="829">
        <f t="shared" si="4"/>
        <v>0</v>
      </c>
    </row>
    <row r="45" spans="2:29" ht="21" thickBot="1" x14ac:dyDescent="0.3">
      <c r="B45" s="16">
        <f t="shared" si="6"/>
        <v>36</v>
      </c>
      <c r="C45" s="106" t="s">
        <v>63</v>
      </c>
      <c r="D45" s="107" t="s">
        <v>336</v>
      </c>
      <c r="E45" s="599" t="str">
        <f t="shared" si="7"/>
        <v>ToreFornes</v>
      </c>
      <c r="F45" s="192">
        <f>YEAR(I$5)-_xlfn.XLOOKUP(E45,Deltakerliste!E$5:E$98,Deltakerliste!I$5:I$98)</f>
        <v>67</v>
      </c>
      <c r="G45" s="192">
        <f>_xlfn.XLOOKUP(E45,Deltakerliste!E$5:E$98,Deltakerliste!H$5:H$98)</f>
        <v>2</v>
      </c>
      <c r="H45" s="592">
        <f>VLOOKUP(F45,Deltakerliste!P$6:T$84,G45,FALSE)</f>
        <v>1.3469999999999998</v>
      </c>
      <c r="I45" s="86"/>
      <c r="J45" s="86">
        <v>2.5185185185185185E-2</v>
      </c>
      <c r="K45" s="13"/>
      <c r="L45" s="600">
        <f t="shared" si="2"/>
        <v>9.6866096866096863E-3</v>
      </c>
      <c r="M45" s="594">
        <f>IF(L45="Løype",Poengsammendrag!$F$2,IF(L45="Arr",Poengsammendrag!$F$3,IF(L45="Brutt",50,IF(L45="Disk",50,ROUND(MAXA(100*(MIN(L$10:L$94)/L45),50),0)))))</f>
        <v>72</v>
      </c>
      <c r="N45" s="724">
        <f t="shared" si="3"/>
        <v>7.191246983377645E-3</v>
      </c>
      <c r="O45" s="596">
        <f>IF(N45="Løype",Poengsammendrag!$F$2,IF(N45="Arr",Poengsammendrag!$F$3,IF(N45="Brutt",50,IF(N45="Disk",50,ROUND(MAXA(100*(MIN(N$10:N$94)/N45),50),0)))))</f>
        <v>60</v>
      </c>
      <c r="S45" s="803" t="s">
        <v>161</v>
      </c>
      <c r="T45" s="797">
        <v>1.1739417989417989E-2</v>
      </c>
      <c r="U45" s="770">
        <v>60</v>
      </c>
      <c r="V45" s="772"/>
      <c r="W45" s="783" t="s">
        <v>346</v>
      </c>
      <c r="X45" s="740">
        <v>60</v>
      </c>
      <c r="AB45" s="828">
        <f t="shared" si="5"/>
        <v>90</v>
      </c>
      <c r="AC45" s="829">
        <f t="shared" si="4"/>
        <v>0</v>
      </c>
    </row>
    <row r="46" spans="2:29" ht="21" thickBot="1" x14ac:dyDescent="0.3">
      <c r="B46" s="16">
        <f t="shared" si="6"/>
        <v>37</v>
      </c>
      <c r="C46" s="106" t="s">
        <v>68</v>
      </c>
      <c r="D46" s="107" t="s">
        <v>69</v>
      </c>
      <c r="E46" s="599" t="str">
        <f t="shared" si="7"/>
        <v>JanBøhle</v>
      </c>
      <c r="F46" s="192">
        <f>YEAR(I$5)-_xlfn.XLOOKUP(E46,Deltakerliste!E$5:E$98,Deltakerliste!I$5:I$98)</f>
        <v>74</v>
      </c>
      <c r="G46" s="192">
        <f>_xlfn.XLOOKUP(E46,Deltakerliste!E$5:E$98,Deltakerliste!H$5:H$98)</f>
        <v>2</v>
      </c>
      <c r="H46" s="592">
        <f>VLOOKUP(F46,Deltakerliste!P$6:T$84,G46,FALSE)</f>
        <v>1.569</v>
      </c>
      <c r="I46" s="86"/>
      <c r="J46" s="853">
        <v>2.960648148148148E-2</v>
      </c>
      <c r="K46" s="13"/>
      <c r="L46" s="600">
        <f t="shared" si="2"/>
        <v>1.138710826210826E-2</v>
      </c>
      <c r="M46" s="594">
        <f>IF(L46="Løype",Poengsammendrag!$F$2,IF(L46="Arr",Poengsammendrag!$F$3,IF(L46="Brutt",50,IF(L46="Disk",50,ROUND(MAXA(100*(MIN(L$10:L$94)/L46),50),0)))))</f>
        <v>61</v>
      </c>
      <c r="N46" s="724">
        <f t="shared" si="3"/>
        <v>7.257557847105329E-3</v>
      </c>
      <c r="O46" s="596">
        <f>IF(N46="Løype",Poengsammendrag!$F$2,IF(N46="Arr",Poengsammendrag!$F$3,IF(N46="Brutt",50,IF(N46="Disk",50,ROUND(MAXA(100*(MIN(N$10:N$94)/N46),50),0)))))</f>
        <v>59</v>
      </c>
      <c r="S46" s="803" t="s">
        <v>347</v>
      </c>
      <c r="T46" s="797">
        <v>1.1761463844797178E-2</v>
      </c>
      <c r="U46" s="770">
        <v>59</v>
      </c>
      <c r="V46" s="772"/>
      <c r="W46" s="783" t="s">
        <v>68</v>
      </c>
      <c r="X46" s="740">
        <v>59</v>
      </c>
      <c r="AB46" s="828">
        <f t="shared" si="5"/>
        <v>91</v>
      </c>
      <c r="AC46" s="829">
        <f t="shared" si="4"/>
        <v>0</v>
      </c>
    </row>
    <row r="47" spans="2:29" ht="21" customHeight="1" thickBot="1" x14ac:dyDescent="0.3">
      <c r="B47" s="16">
        <f t="shared" si="6"/>
        <v>38</v>
      </c>
      <c r="C47" s="106" t="s">
        <v>130</v>
      </c>
      <c r="D47" s="107" t="s">
        <v>131</v>
      </c>
      <c r="E47" s="599" t="str">
        <f t="shared" si="7"/>
        <v>AtleMørk</v>
      </c>
      <c r="F47" s="192">
        <f>YEAR(I$5)-_xlfn.XLOOKUP(E47,Deltakerliste!E$5:E$98,Deltakerliste!I$5:I$98)</f>
        <v>77</v>
      </c>
      <c r="G47" s="192">
        <f>_xlfn.XLOOKUP(E47,Deltakerliste!E$5:E$98,Deltakerliste!H$5:H$98)</f>
        <v>2</v>
      </c>
      <c r="H47" s="592">
        <f>VLOOKUP(F47,Deltakerliste!P$6:T$84,G47,FALSE)</f>
        <v>1.7050000000000001</v>
      </c>
      <c r="I47" s="132">
        <v>2.6018518518518517E-2</v>
      </c>
      <c r="J47" s="132"/>
      <c r="K47" s="132"/>
      <c r="L47" s="600">
        <f t="shared" si="2"/>
        <v>1.2389770723104055E-2</v>
      </c>
      <c r="M47" s="594">
        <f>IF(L47="Løype",Poengsammendrag!$F$2,IF(L47="Arr",Poengsammendrag!$F$3,IF(L47="Brutt",50,IF(L47="Disk",50,ROUND(MAXA(100*(MIN(L$10:L$94)/L47),50),0)))))</f>
        <v>56</v>
      </c>
      <c r="N47" s="724">
        <f t="shared" si="3"/>
        <v>7.2667276968352229E-3</v>
      </c>
      <c r="O47" s="596">
        <f>IF(N47="Løype",Poengsammendrag!$F$2,IF(N47="Arr",Poengsammendrag!$F$3,IF(N47="Brutt",50,IF(N47="Disk",50,ROUND(MAXA(100*(MIN(N$10:N$94)/N47),50),0)))))</f>
        <v>59</v>
      </c>
      <c r="S47" s="803" t="s">
        <v>130</v>
      </c>
      <c r="T47" s="797">
        <v>1.2389770723104055E-2</v>
      </c>
      <c r="U47" s="770">
        <v>56</v>
      </c>
      <c r="V47" s="772"/>
      <c r="W47" s="783" t="s">
        <v>130</v>
      </c>
      <c r="X47" s="740">
        <v>59</v>
      </c>
      <c r="AB47" s="828">
        <f t="shared" si="5"/>
        <v>92</v>
      </c>
      <c r="AC47" s="829">
        <f t="shared" si="4"/>
        <v>0</v>
      </c>
    </row>
    <row r="48" spans="2:29" ht="21" customHeight="1" thickBot="1" x14ac:dyDescent="0.3">
      <c r="B48" s="16">
        <f t="shared" si="6"/>
        <v>39</v>
      </c>
      <c r="C48" s="106" t="s">
        <v>269</v>
      </c>
      <c r="D48" s="107" t="s">
        <v>270</v>
      </c>
      <c r="E48" s="599" t="str">
        <f t="shared" si="7"/>
        <v>Per OlavJohansen</v>
      </c>
      <c r="F48" s="192">
        <f>YEAR(I$5)-_xlfn.XLOOKUP(E48,Deltakerliste!E$5:E$98,Deltakerliste!I$5:I$98)</f>
        <v>68</v>
      </c>
      <c r="G48" s="192">
        <f>_xlfn.XLOOKUP(E48,Deltakerliste!E$5:E$98,Deltakerliste!H$5:H$98)</f>
        <v>2</v>
      </c>
      <c r="H48" s="592">
        <f>VLOOKUP(F48,Deltakerliste!P$6:T$84,G48,FALSE)</f>
        <v>1.3729999999999998</v>
      </c>
      <c r="I48" s="132">
        <v>2.4259259259259258E-2</v>
      </c>
      <c r="J48" s="132"/>
      <c r="K48" s="134"/>
      <c r="L48" s="600">
        <f t="shared" si="2"/>
        <v>1.1552028218694884E-2</v>
      </c>
      <c r="M48" s="594">
        <f>IF(L48="Løype",Poengsammendrag!$F$2,IF(L48="Arr",Poengsammendrag!$F$3,IF(L48="Brutt",50,IF(L48="Disk",50,ROUND(MAXA(100*(MIN(L$10:L$94)/L48),50),0)))))</f>
        <v>60</v>
      </c>
      <c r="N48" s="724">
        <f t="shared" si="3"/>
        <v>8.4137131964274487E-3</v>
      </c>
      <c r="O48" s="596">
        <f>IF(N48="Løype",Poengsammendrag!$F$2,IF(N48="Arr",Poengsammendrag!$F$3,IF(N48="Brutt",50,IF(N48="Disk",50,ROUND(MAXA(100*(MIN(N$10:N$94)/N48),50),0)))))</f>
        <v>51</v>
      </c>
      <c r="S48" s="803" t="s">
        <v>108</v>
      </c>
      <c r="T48" s="797">
        <v>1.4561287477954144E-2</v>
      </c>
      <c r="U48" s="770">
        <v>50</v>
      </c>
      <c r="V48" s="772"/>
      <c r="W48" s="783" t="s">
        <v>269</v>
      </c>
      <c r="X48" s="740">
        <v>51</v>
      </c>
      <c r="AB48" s="828">
        <f t="shared" si="5"/>
        <v>93</v>
      </c>
      <c r="AC48" s="829">
        <f t="shared" si="4"/>
        <v>0</v>
      </c>
    </row>
    <row r="49" spans="2:29" ht="21" customHeight="1" thickBot="1" x14ac:dyDescent="0.3">
      <c r="B49" s="16">
        <f t="shared" si="6"/>
        <v>40</v>
      </c>
      <c r="C49" s="106" t="s">
        <v>144</v>
      </c>
      <c r="D49" s="107" t="s">
        <v>145</v>
      </c>
      <c r="E49" s="599" t="str">
        <f t="shared" si="7"/>
        <v>Bjørn Rindstad</v>
      </c>
      <c r="F49" s="192">
        <f>YEAR(I$5)-_xlfn.XLOOKUP(E49,Deltakerliste!E$5:E$98,Deltakerliste!I$5:I$98)</f>
        <v>75</v>
      </c>
      <c r="G49" s="192">
        <f>_xlfn.XLOOKUP(E49,Deltakerliste!E$5:E$98,Deltakerliste!H$5:H$98)</f>
        <v>2</v>
      </c>
      <c r="H49" s="592">
        <f>VLOOKUP(F49,Deltakerliste!P$6:T$84,G49,FALSE)</f>
        <v>1.605</v>
      </c>
      <c r="I49" s="18"/>
      <c r="J49" s="18" t="s">
        <v>7</v>
      </c>
      <c r="K49" s="18"/>
      <c r="L49" s="600" t="str">
        <f t="shared" si="2"/>
        <v>Arr</v>
      </c>
      <c r="M49" s="594">
        <f>IF(L49="Løype",Poengsammendrag!$F$2,IF(L49="Arr",Poengsammendrag!$F$3,IF(L49="Brutt",50,IF(L49="Disk",50,ROUND(MAXA(100*(MIN(L$10:L$94)/L49),50),0)))))</f>
        <v>94</v>
      </c>
      <c r="N49" s="724" t="str">
        <f t="shared" si="3"/>
        <v>Arr</v>
      </c>
      <c r="O49" s="596">
        <f>IF(N49="Løype",Poengsammendrag!$F$2,IF(N49="Arr",Poengsammendrag!$F$3,IF(N49="Brutt",50,IF(N49="Disk",50,ROUND(MAXA(100*(MIN(N$10:N$94)/N49),50),0)))))</f>
        <v>94</v>
      </c>
      <c r="S49" s="803" t="s">
        <v>408</v>
      </c>
      <c r="T49" s="796" t="s">
        <v>7</v>
      </c>
      <c r="U49" s="793">
        <v>94</v>
      </c>
      <c r="V49" s="794"/>
      <c r="W49" s="795" t="s">
        <v>408</v>
      </c>
      <c r="X49" s="762">
        <v>94</v>
      </c>
      <c r="AB49" s="828">
        <f t="shared" si="5"/>
        <v>94</v>
      </c>
      <c r="AC49" s="829">
        <f t="shared" si="4"/>
        <v>0</v>
      </c>
    </row>
    <row r="50" spans="2:29" ht="21" thickBot="1" x14ac:dyDescent="0.3">
      <c r="B50" s="16">
        <f t="shared" si="6"/>
        <v>41</v>
      </c>
      <c r="C50" s="106" t="s">
        <v>90</v>
      </c>
      <c r="D50" s="107" t="s">
        <v>91</v>
      </c>
      <c r="E50" s="599" t="str">
        <f t="shared" si="7"/>
        <v>TorGjermstad</v>
      </c>
      <c r="F50" s="192">
        <f>YEAR(I$5)-_xlfn.XLOOKUP(E50,Deltakerliste!E$5:E$98,Deltakerliste!I$5:I$98)</f>
        <v>76</v>
      </c>
      <c r="G50" s="192">
        <f>_xlfn.XLOOKUP(E50,Deltakerliste!E$5:E$98,Deltakerliste!H$5:H$98)</f>
        <v>2</v>
      </c>
      <c r="H50" s="592">
        <f>VLOOKUP(F50,Deltakerliste!P$6:T$84,G50,FALSE)</f>
        <v>1.655</v>
      </c>
      <c r="I50" s="86"/>
      <c r="J50" s="86" t="s">
        <v>62</v>
      </c>
      <c r="K50" s="13"/>
      <c r="L50" s="600" t="str">
        <f t="shared" si="2"/>
        <v>Løype</v>
      </c>
      <c r="M50" s="594">
        <f>IF(L50="Løype",Poengsammendrag!$F$2,IF(L50="Arr",Poengsammendrag!$F$3,IF(L50="Brutt",50,IF(L50="Disk",50,ROUND(MAXA(100*(MIN(L$10:L$94)/L50),50),0)))))</f>
        <v>100</v>
      </c>
      <c r="N50" s="724" t="str">
        <f t="shared" si="3"/>
        <v>Løype</v>
      </c>
      <c r="O50" s="596">
        <f>IF(N50="Løype",Poengsammendrag!$F$2,IF(N50="Arr",Poengsammendrag!$F$3,IF(N50="Brutt",50,IF(N50="Disk",50,ROUND(MAXA(100*(MIN(N$10:N$94)/N50),50),0)))))</f>
        <v>100</v>
      </c>
      <c r="S50" s="803" t="s">
        <v>90</v>
      </c>
      <c r="T50" s="851" t="s">
        <v>62</v>
      </c>
      <c r="U50" s="770">
        <v>100</v>
      </c>
      <c r="V50" s="772"/>
      <c r="W50" s="783" t="s">
        <v>90</v>
      </c>
      <c r="X50" s="740">
        <v>100</v>
      </c>
      <c r="AB50" s="830">
        <f t="shared" si="5"/>
        <v>95</v>
      </c>
      <c r="AC50" s="831">
        <f t="shared" si="4"/>
        <v>0</v>
      </c>
    </row>
    <row r="51" spans="2:29" ht="21" customHeight="1" thickBot="1" x14ac:dyDescent="0.3">
      <c r="B51" s="16">
        <f t="shared" si="6"/>
        <v>42</v>
      </c>
      <c r="C51" s="106" t="s">
        <v>60</v>
      </c>
      <c r="D51" s="107" t="s">
        <v>61</v>
      </c>
      <c r="E51" s="599" t="str">
        <f t="shared" si="7"/>
        <v>JosteinAlvestad</v>
      </c>
      <c r="F51" s="192">
        <f>YEAR(I$5)-_xlfn.XLOOKUP(E51,Deltakerliste!E$5:E$98,Deltakerliste!I$5:I$98)</f>
        <v>71</v>
      </c>
      <c r="G51" s="192">
        <f>_xlfn.XLOOKUP(E51,Deltakerliste!E$5:E$98,Deltakerliste!H$5:H$98)</f>
        <v>2</v>
      </c>
      <c r="H51" s="592">
        <f>VLOOKUP(F51,Deltakerliste!P$6:T$84,G51,FALSE)</f>
        <v>1.4609999999999999</v>
      </c>
      <c r="I51" s="13"/>
      <c r="J51" s="13"/>
      <c r="K51" s="17"/>
      <c r="L51" s="600"/>
      <c r="M51" s="594"/>
      <c r="N51" s="724"/>
      <c r="O51" s="596"/>
      <c r="S51" s="803"/>
      <c r="T51" s="797"/>
      <c r="U51" s="770"/>
      <c r="V51" s="772"/>
      <c r="W51" s="783"/>
      <c r="X51" s="740"/>
    </row>
    <row r="52" spans="2:29" ht="21" thickBot="1" x14ac:dyDescent="0.3">
      <c r="B52" s="16">
        <f t="shared" si="6"/>
        <v>43</v>
      </c>
      <c r="C52" s="106" t="s">
        <v>66</v>
      </c>
      <c r="D52" s="107" t="s">
        <v>67</v>
      </c>
      <c r="E52" s="599" t="str">
        <f t="shared" si="7"/>
        <v>FrankBjarkø</v>
      </c>
      <c r="F52" s="192">
        <f>YEAR(I$5)-_xlfn.XLOOKUP(E52,Deltakerliste!E$5:E$98,Deltakerliste!I$5:I$98)</f>
        <v>74</v>
      </c>
      <c r="G52" s="192">
        <f>_xlfn.XLOOKUP(E52,Deltakerliste!E$5:E$98,Deltakerliste!H$5:H$98)</f>
        <v>2</v>
      </c>
      <c r="H52" s="592">
        <f>VLOOKUP(F52,Deltakerliste!P$6:T$84,G52,FALSE)</f>
        <v>1.569</v>
      </c>
      <c r="I52" s="13"/>
      <c r="J52" s="13"/>
      <c r="K52" s="13"/>
      <c r="L52" s="600"/>
      <c r="M52" s="594"/>
      <c r="N52" s="724"/>
      <c r="O52" s="596"/>
      <c r="S52" s="803"/>
      <c r="T52" s="798"/>
      <c r="U52" s="770"/>
      <c r="V52" s="772"/>
      <c r="W52" s="783"/>
      <c r="X52" s="740"/>
      <c r="AC52" s="651">
        <f>SUM(AC10:AC50)</f>
        <v>41</v>
      </c>
    </row>
    <row r="53" spans="2:29" ht="21" thickBot="1" x14ac:dyDescent="0.3">
      <c r="B53" s="16">
        <f t="shared" si="6"/>
        <v>44</v>
      </c>
      <c r="C53" s="106" t="s">
        <v>364</v>
      </c>
      <c r="D53" s="107" t="s">
        <v>365</v>
      </c>
      <c r="E53" s="599" t="str">
        <f t="shared" si="7"/>
        <v>GerdBjørset</v>
      </c>
      <c r="F53" s="192">
        <f>YEAR(I$5)-_xlfn.XLOOKUP(E53,Deltakerliste!E$5:E$98,Deltakerliste!I$5:I$98)</f>
        <v>72</v>
      </c>
      <c r="G53" s="192">
        <f>_xlfn.XLOOKUP(E53,Deltakerliste!E$5:E$98,Deltakerliste!H$5:H$98)</f>
        <v>4</v>
      </c>
      <c r="H53" s="592">
        <f>VLOOKUP(F53,Deltakerliste!P$6:T$84,G53,FALSE)</f>
        <v>2.0362000000000013</v>
      </c>
      <c r="I53" s="13"/>
      <c r="J53" s="13"/>
      <c r="K53" s="13"/>
      <c r="L53" s="600"/>
      <c r="M53" s="594"/>
      <c r="N53" s="724"/>
      <c r="O53" s="596"/>
      <c r="S53" s="803"/>
      <c r="T53" s="798"/>
      <c r="U53" s="770"/>
      <c r="V53" s="772"/>
      <c r="W53" s="783"/>
      <c r="X53" s="740"/>
    </row>
    <row r="54" spans="2:29" ht="21" thickBot="1" x14ac:dyDescent="0.3">
      <c r="B54" s="16">
        <f t="shared" si="6"/>
        <v>45</v>
      </c>
      <c r="C54" s="106" t="s">
        <v>64</v>
      </c>
      <c r="D54" s="107" t="s">
        <v>267</v>
      </c>
      <c r="E54" s="599" t="str">
        <f t="shared" si="7"/>
        <v>BjørnBrenne</v>
      </c>
      <c r="F54" s="192">
        <f>YEAR(I$5)-_xlfn.XLOOKUP(E54,Deltakerliste!E$5:E$98,Deltakerliste!I$5:I$98)</f>
        <v>81</v>
      </c>
      <c r="G54" s="192">
        <f>_xlfn.XLOOKUP(E54,Deltakerliste!E$5:E$98,Deltakerliste!H$5:H$98)</f>
        <v>2</v>
      </c>
      <c r="H54" s="592">
        <f>VLOOKUP(F54,Deltakerliste!P$6:T$84,G54,FALSE)</f>
        <v>1.9290000000000003</v>
      </c>
      <c r="I54" s="86"/>
      <c r="J54" s="86"/>
      <c r="K54" s="13"/>
      <c r="L54" s="600"/>
      <c r="M54" s="594"/>
      <c r="N54" s="724"/>
      <c r="O54" s="596"/>
      <c r="S54" s="846"/>
      <c r="T54" s="847"/>
      <c r="U54" s="848"/>
      <c r="V54" s="778"/>
      <c r="W54" s="849"/>
      <c r="X54" s="850"/>
    </row>
    <row r="55" spans="2:29" ht="21" customHeight="1" thickBot="1" x14ac:dyDescent="0.3">
      <c r="B55" s="16">
        <f t="shared" si="6"/>
        <v>46</v>
      </c>
      <c r="C55" s="106" t="s">
        <v>342</v>
      </c>
      <c r="D55" s="107" t="s">
        <v>388</v>
      </c>
      <c r="E55" s="599" t="str">
        <f t="shared" si="7"/>
        <v>ArildClausen</v>
      </c>
      <c r="F55" s="192">
        <f>YEAR(I$5)-_xlfn.XLOOKUP(E55,Deltakerliste!E$5:E$98,Deltakerliste!I$5:I$98)</f>
        <v>58</v>
      </c>
      <c r="G55" s="192">
        <f>_xlfn.XLOOKUP(E55,Deltakerliste!E$5:E$98,Deltakerliste!H$5:H$98)</f>
        <v>2</v>
      </c>
      <c r="H55" s="592">
        <f>VLOOKUP(F55,Deltakerliste!P$6:T$84,G55,FALSE)</f>
        <v>1.1720000000000002</v>
      </c>
      <c r="I55" s="86"/>
      <c r="J55" s="86"/>
      <c r="K55" s="13"/>
      <c r="L55" s="600"/>
      <c r="M55" s="594"/>
      <c r="N55" s="724"/>
      <c r="O55" s="596"/>
      <c r="S55" s="803"/>
      <c r="T55" s="798"/>
      <c r="U55" s="770"/>
      <c r="V55" s="772"/>
      <c r="W55" s="783"/>
      <c r="X55" s="740"/>
    </row>
    <row r="56" spans="2:29" ht="21" thickBot="1" x14ac:dyDescent="0.3">
      <c r="B56" s="16">
        <f t="shared" si="6"/>
        <v>47</v>
      </c>
      <c r="C56" s="106" t="s">
        <v>70</v>
      </c>
      <c r="D56" s="107" t="s">
        <v>71</v>
      </c>
      <c r="E56" s="599" t="str">
        <f t="shared" si="7"/>
        <v>TrondDamås</v>
      </c>
      <c r="F56" s="192">
        <f>YEAR(I$5)-_xlfn.XLOOKUP(E56,Deltakerliste!E$5:E$98,Deltakerliste!I$5:I$98)</f>
        <v>76</v>
      </c>
      <c r="G56" s="192">
        <f>_xlfn.XLOOKUP(E56,Deltakerliste!E$5:E$98,Deltakerliste!H$5:H$98)</f>
        <v>2</v>
      </c>
      <c r="H56" s="592">
        <f>VLOOKUP(F56,Deltakerliste!P$6:T$84,G56,FALSE)</f>
        <v>1.655</v>
      </c>
      <c r="I56" s="13"/>
      <c r="J56" s="13"/>
      <c r="K56" s="13"/>
      <c r="L56" s="600"/>
      <c r="M56" s="594"/>
      <c r="N56" s="724"/>
      <c r="O56" s="596"/>
      <c r="S56" s="803"/>
      <c r="T56" s="798"/>
      <c r="U56" s="770"/>
      <c r="V56" s="772"/>
      <c r="W56" s="783"/>
      <c r="X56" s="740"/>
    </row>
    <row r="57" spans="2:29" ht="21" thickBot="1" x14ac:dyDescent="0.3">
      <c r="B57" s="16">
        <f t="shared" si="6"/>
        <v>48</v>
      </c>
      <c r="C57" s="106" t="s">
        <v>74</v>
      </c>
      <c r="D57" s="107" t="s">
        <v>75</v>
      </c>
      <c r="E57" s="599" t="str">
        <f t="shared" si="7"/>
        <v>StinaElfving</v>
      </c>
      <c r="F57" s="192">
        <f>YEAR(I$5)-_xlfn.XLOOKUP(E57,Deltakerliste!E$5:E$98,Deltakerliste!I$5:I$98)</f>
        <v>76</v>
      </c>
      <c r="G57" s="192">
        <f>_xlfn.XLOOKUP(E57,Deltakerliste!E$5:E$98,Deltakerliste!H$5:H$98)</f>
        <v>4</v>
      </c>
      <c r="H57" s="592">
        <f>VLOOKUP(F57,Deltakerliste!P$6:T$84,G57,FALSE)</f>
        <v>2.2246000000000015</v>
      </c>
      <c r="I57" s="13"/>
      <c r="J57" s="13"/>
      <c r="K57" s="17"/>
      <c r="L57" s="600"/>
      <c r="M57" s="594"/>
      <c r="N57" s="724"/>
      <c r="O57" s="596"/>
      <c r="S57" s="804"/>
      <c r="T57" s="801"/>
      <c r="U57" s="771"/>
      <c r="V57" s="773"/>
      <c r="W57" s="784"/>
      <c r="X57" s="741"/>
    </row>
    <row r="58" spans="2:29" ht="20" customHeight="1" thickBot="1" x14ac:dyDescent="0.3">
      <c r="B58" s="16">
        <f t="shared" si="6"/>
        <v>49</v>
      </c>
      <c r="C58" s="106" t="s">
        <v>216</v>
      </c>
      <c r="D58" s="107" t="s">
        <v>77</v>
      </c>
      <c r="E58" s="599" t="str">
        <f t="shared" si="7"/>
        <v>Åse RitaEllingsen</v>
      </c>
      <c r="F58" s="192">
        <f>YEAR(I$5)-_xlfn.XLOOKUP(E58,Deltakerliste!E$5:E$98,Deltakerliste!I$5:I$98)</f>
        <v>62</v>
      </c>
      <c r="G58" s="192">
        <f>_xlfn.XLOOKUP(E58,Deltakerliste!E$5:E$98,Deltakerliste!H$5:H$98)</f>
        <v>4</v>
      </c>
      <c r="H58" s="592">
        <f>VLOOKUP(F58,Deltakerliste!P$6:T$84,G58,FALSE)</f>
        <v>1.6834000000000005</v>
      </c>
      <c r="I58" s="86"/>
      <c r="J58" s="14"/>
      <c r="K58" s="13"/>
      <c r="L58" s="600"/>
      <c r="M58" s="594"/>
      <c r="N58" s="724"/>
      <c r="O58" s="596"/>
    </row>
    <row r="59" spans="2:29" ht="21" thickBot="1" x14ac:dyDescent="0.3">
      <c r="B59" s="16">
        <f t="shared" si="6"/>
        <v>50</v>
      </c>
      <c r="C59" s="106" t="s">
        <v>80</v>
      </c>
      <c r="D59" s="107" t="s">
        <v>81</v>
      </c>
      <c r="E59" s="599" t="str">
        <f t="shared" si="7"/>
        <v>HalvorFlatberg</v>
      </c>
      <c r="F59" s="192">
        <f>YEAR(I$5)-_xlfn.XLOOKUP(E59,Deltakerliste!E$5:E$98,Deltakerliste!I$5:I$98)</f>
        <v>80</v>
      </c>
      <c r="G59" s="192">
        <f>_xlfn.XLOOKUP(E59,Deltakerliste!E$5:E$98,Deltakerliste!H$5:H$98)</f>
        <v>2</v>
      </c>
      <c r="H59" s="592">
        <f>VLOOKUP(F59,Deltakerliste!P$6:T$84,G59,FALSE)</f>
        <v>1.8550000000000002</v>
      </c>
      <c r="I59" s="86"/>
      <c r="J59" s="86"/>
      <c r="K59" s="13"/>
      <c r="L59" s="600"/>
      <c r="M59" s="594"/>
      <c r="N59" s="724"/>
      <c r="O59" s="596"/>
    </row>
    <row r="60" spans="2:29" ht="21" customHeight="1" thickBot="1" x14ac:dyDescent="0.3">
      <c r="B60" s="16">
        <f t="shared" si="6"/>
        <v>51</v>
      </c>
      <c r="C60" s="106" t="s">
        <v>271</v>
      </c>
      <c r="D60" s="107" t="s">
        <v>272</v>
      </c>
      <c r="E60" s="599" t="str">
        <f t="shared" si="7"/>
        <v>Arne KjellFoldvik</v>
      </c>
      <c r="F60" s="192">
        <f>YEAR(I$5)-_xlfn.XLOOKUP(E60,Deltakerliste!E$5:E$98,Deltakerliste!I$5:I$98)</f>
        <v>92</v>
      </c>
      <c r="G60" s="192">
        <f>_xlfn.XLOOKUP(E60,Deltakerliste!E$5:E$98,Deltakerliste!H$5:H$98)</f>
        <v>2</v>
      </c>
      <c r="H60" s="592">
        <f>VLOOKUP(F60,Deltakerliste!P$6:T$84,G60,FALSE)</f>
        <v>2.8130000000000002</v>
      </c>
      <c r="I60" s="14"/>
      <c r="J60" s="14"/>
      <c r="K60" s="13"/>
      <c r="L60" s="600"/>
      <c r="M60" s="594"/>
      <c r="N60" s="724"/>
      <c r="O60" s="596"/>
    </row>
    <row r="61" spans="2:29" ht="21" customHeight="1" thickBot="1" x14ac:dyDescent="0.3">
      <c r="B61" s="16">
        <f t="shared" si="6"/>
        <v>52</v>
      </c>
      <c r="C61" s="106" t="s">
        <v>82</v>
      </c>
      <c r="D61" s="107" t="s">
        <v>83</v>
      </c>
      <c r="E61" s="599" t="str">
        <f t="shared" si="7"/>
        <v>RoarForbord</v>
      </c>
      <c r="F61" s="192">
        <f>YEAR(I$5)-_xlfn.XLOOKUP(E61,Deltakerliste!E$5:E$98,Deltakerliste!I$5:I$98)</f>
        <v>83</v>
      </c>
      <c r="G61" s="192">
        <f>_xlfn.XLOOKUP(E61,Deltakerliste!E$5:E$98,Deltakerliste!H$5:H$98)</f>
        <v>2</v>
      </c>
      <c r="H61" s="592">
        <f>VLOOKUP(F61,Deltakerliste!P$6:T$84,G61,FALSE)</f>
        <v>2.077</v>
      </c>
      <c r="I61" s="86"/>
      <c r="J61" s="86"/>
      <c r="K61" s="13"/>
      <c r="L61" s="600"/>
      <c r="M61" s="594"/>
      <c r="N61" s="724"/>
      <c r="O61" s="596"/>
    </row>
    <row r="62" spans="2:29" ht="21" customHeight="1" thickBot="1" x14ac:dyDescent="0.3">
      <c r="B62" s="16">
        <f t="shared" si="6"/>
        <v>53</v>
      </c>
      <c r="C62" s="106" t="s">
        <v>377</v>
      </c>
      <c r="D62" s="107" t="s">
        <v>83</v>
      </c>
      <c r="E62" s="599" t="str">
        <f t="shared" si="7"/>
        <v>HildeForbord</v>
      </c>
      <c r="F62" s="192">
        <f>YEAR(I$5)-_xlfn.XLOOKUP(E62,Deltakerliste!E$5:E$98,Deltakerliste!I$5:I$98)</f>
        <v>60</v>
      </c>
      <c r="G62" s="192">
        <f>_xlfn.XLOOKUP(E62,Deltakerliste!E$5:E$98,Deltakerliste!H$5:H$98)</f>
        <v>4</v>
      </c>
      <c r="H62" s="592">
        <f>VLOOKUP(F62,Deltakerliste!P$6:T$84,G62,FALSE)</f>
        <v>1.6250000000000002</v>
      </c>
      <c r="I62" s="14"/>
      <c r="J62" s="14"/>
      <c r="K62" s="13"/>
      <c r="L62" s="600"/>
      <c r="M62" s="594"/>
      <c r="N62" s="724"/>
      <c r="O62" s="596"/>
    </row>
    <row r="63" spans="2:29" ht="21" thickBot="1" x14ac:dyDescent="0.3">
      <c r="B63" s="16">
        <f t="shared" si="6"/>
        <v>54</v>
      </c>
      <c r="C63" s="106" t="s">
        <v>84</v>
      </c>
      <c r="D63" s="107" t="s">
        <v>85</v>
      </c>
      <c r="E63" s="599" t="str">
        <f t="shared" si="7"/>
        <v>PaulForseth</v>
      </c>
      <c r="F63" s="192">
        <f>YEAR(I$5)-_xlfn.XLOOKUP(E63,Deltakerliste!E$5:E$98,Deltakerliste!I$5:I$98)</f>
        <v>94</v>
      </c>
      <c r="G63" s="192">
        <f>_xlfn.XLOOKUP(E63,Deltakerliste!E$5:E$98,Deltakerliste!H$5:H$98)</f>
        <v>2</v>
      </c>
      <c r="H63" s="592">
        <f>VLOOKUP(F63,Deltakerliste!P$6:T$84,G63,FALSE)</f>
        <v>2.9810000000000003</v>
      </c>
      <c r="I63" s="86"/>
      <c r="J63" s="86"/>
      <c r="K63" s="17"/>
      <c r="L63" s="600"/>
      <c r="M63" s="594"/>
      <c r="N63" s="724"/>
      <c r="O63" s="596"/>
    </row>
    <row r="64" spans="2:29" ht="21" thickBot="1" x14ac:dyDescent="0.3">
      <c r="B64" s="16">
        <f t="shared" si="6"/>
        <v>55</v>
      </c>
      <c r="C64" s="106" t="s">
        <v>86</v>
      </c>
      <c r="D64" s="107" t="s">
        <v>87</v>
      </c>
      <c r="E64" s="599" t="str">
        <f t="shared" si="7"/>
        <v>KristianFougner</v>
      </c>
      <c r="F64" s="192">
        <f>YEAR(I$5)-_xlfn.XLOOKUP(E64,Deltakerliste!E$5:E$98,Deltakerliste!I$5:I$98)</f>
        <v>76</v>
      </c>
      <c r="G64" s="192">
        <f>_xlfn.XLOOKUP(E64,Deltakerliste!E$5:E$98,Deltakerliste!H$5:H$98)</f>
        <v>2</v>
      </c>
      <c r="H64" s="592">
        <f>VLOOKUP(F64,Deltakerliste!P$6:T$84,G64,FALSE)</f>
        <v>1.655</v>
      </c>
      <c r="I64" s="86"/>
      <c r="J64" s="86"/>
      <c r="K64" s="13"/>
      <c r="L64" s="600"/>
      <c r="M64" s="594"/>
      <c r="N64" s="724"/>
      <c r="O64" s="596"/>
    </row>
    <row r="65" spans="2:17" ht="21" thickBot="1" x14ac:dyDescent="0.3">
      <c r="B65" s="16">
        <f t="shared" si="6"/>
        <v>56</v>
      </c>
      <c r="C65" s="106" t="s">
        <v>207</v>
      </c>
      <c r="D65" s="107" t="s">
        <v>89</v>
      </c>
      <c r="E65" s="599" t="str">
        <f t="shared" si="7"/>
        <v>AnneFuruholt</v>
      </c>
      <c r="F65" s="192">
        <f>YEAR(I$5)-_xlfn.XLOOKUP(E65,Deltakerliste!E$5:E$98,Deltakerliste!I$5:I$98)</f>
        <v>79</v>
      </c>
      <c r="G65" s="192">
        <f>_xlfn.XLOOKUP(E65,Deltakerliste!E$5:E$98,Deltakerliste!H$5:H$98)</f>
        <v>4</v>
      </c>
      <c r="H65" s="592">
        <f>VLOOKUP(F65,Deltakerliste!P$6:T$84,G65,FALSE)</f>
        <v>2.3974000000000011</v>
      </c>
      <c r="I65" s="13"/>
      <c r="J65" s="13"/>
      <c r="K65" s="13"/>
      <c r="L65" s="600"/>
      <c r="M65" s="594"/>
      <c r="N65" s="724"/>
      <c r="O65" s="596"/>
    </row>
    <row r="66" spans="2:17" ht="21" thickBot="1" x14ac:dyDescent="0.3">
      <c r="B66" s="16">
        <f t="shared" si="6"/>
        <v>57</v>
      </c>
      <c r="C66" s="106" t="s">
        <v>116</v>
      </c>
      <c r="D66" s="107" t="s">
        <v>353</v>
      </c>
      <c r="E66" s="599" t="str">
        <f t="shared" si="7"/>
        <v>AndersGjermo</v>
      </c>
      <c r="F66" s="192">
        <f>YEAR(I$5)-_xlfn.XLOOKUP(E66,Deltakerliste!E$5:E$98,Deltakerliste!I$5:I$98)</f>
        <v>68</v>
      </c>
      <c r="G66" s="192">
        <f>_xlfn.XLOOKUP(E66,Deltakerliste!E$5:E$98,Deltakerliste!H$5:H$98)</f>
        <v>2</v>
      </c>
      <c r="H66" s="592">
        <f>VLOOKUP(F66,Deltakerliste!P$6:T$84,G66,FALSE)</f>
        <v>1.3729999999999998</v>
      </c>
      <c r="I66" s="132"/>
      <c r="J66" s="132"/>
      <c r="K66" s="18"/>
      <c r="L66" s="600"/>
      <c r="M66" s="594"/>
      <c r="N66" s="724"/>
      <c r="O66" s="596"/>
    </row>
    <row r="67" spans="2:17" ht="21" thickBot="1" x14ac:dyDescent="0.3">
      <c r="B67" s="16">
        <f t="shared" si="6"/>
        <v>58</v>
      </c>
      <c r="C67" s="106" t="s">
        <v>92</v>
      </c>
      <c r="D67" s="107" t="s">
        <v>93</v>
      </c>
      <c r="E67" s="599" t="str">
        <f t="shared" si="7"/>
        <v>Jens ØysteinGjersvold</v>
      </c>
      <c r="F67" s="192">
        <f>YEAR(I$5)-_xlfn.XLOOKUP(E67,Deltakerliste!E$5:E$98,Deltakerliste!I$5:I$98)</f>
        <v>74</v>
      </c>
      <c r="G67" s="192">
        <f>_xlfn.XLOOKUP(E67,Deltakerliste!E$5:E$98,Deltakerliste!H$5:H$98)</f>
        <v>2</v>
      </c>
      <c r="H67" s="592">
        <f>VLOOKUP(F67,Deltakerliste!P$6:T$84,G67,FALSE)</f>
        <v>1.569</v>
      </c>
      <c r="I67" s="14"/>
      <c r="J67" s="14"/>
      <c r="K67" s="18"/>
      <c r="L67" s="600"/>
      <c r="M67" s="594"/>
      <c r="N67" s="724"/>
      <c r="O67" s="596"/>
    </row>
    <row r="68" spans="2:17" ht="21" thickBot="1" x14ac:dyDescent="0.3">
      <c r="B68" s="16">
        <f t="shared" si="6"/>
        <v>59</v>
      </c>
      <c r="C68" s="106" t="s">
        <v>60</v>
      </c>
      <c r="D68" s="107" t="s">
        <v>372</v>
      </c>
      <c r="E68" s="599" t="str">
        <f t="shared" si="7"/>
        <v>JosteinGrepstad</v>
      </c>
      <c r="F68" s="192">
        <f>YEAR(I$5)-_xlfn.XLOOKUP(E68,Deltakerliste!E$5:E$98,Deltakerliste!I$5:I$98)</f>
        <v>75</v>
      </c>
      <c r="G68" s="192">
        <f>_xlfn.XLOOKUP(E68,Deltakerliste!E$5:E$98,Deltakerliste!H$5:H$98)</f>
        <v>2</v>
      </c>
      <c r="H68" s="592">
        <f>VLOOKUP(F68,Deltakerliste!P$6:T$84,G68,FALSE)</f>
        <v>1.605</v>
      </c>
      <c r="I68" s="14"/>
      <c r="J68" s="14"/>
      <c r="K68" s="18"/>
      <c r="L68" s="600"/>
      <c r="M68" s="594"/>
      <c r="N68" s="724"/>
      <c r="O68" s="596"/>
    </row>
    <row r="69" spans="2:17" ht="21" thickBot="1" x14ac:dyDescent="0.3">
      <c r="B69" s="16">
        <f t="shared" si="6"/>
        <v>60</v>
      </c>
      <c r="C69" s="106" t="s">
        <v>96</v>
      </c>
      <c r="D69" s="107" t="s">
        <v>97</v>
      </c>
      <c r="E69" s="599" t="str">
        <f t="shared" si="7"/>
        <v>StigHaugskott</v>
      </c>
      <c r="F69" s="192">
        <f>YEAR(I$5)-_xlfn.XLOOKUP(E69,Deltakerliste!E$5:E$98,Deltakerliste!I$5:I$98)</f>
        <v>87</v>
      </c>
      <c r="G69" s="192">
        <f>_xlfn.XLOOKUP(E69,Deltakerliste!E$5:E$98,Deltakerliste!H$5:H$98)</f>
        <v>2</v>
      </c>
      <c r="H69" s="592">
        <f>VLOOKUP(F69,Deltakerliste!P$6:T$84,G69,FALSE)</f>
        <v>2.3929999999999998</v>
      </c>
      <c r="I69" s="86"/>
      <c r="J69" s="86"/>
      <c r="K69" s="86"/>
      <c r="L69" s="600"/>
      <c r="M69" s="594"/>
      <c r="N69" s="724"/>
      <c r="O69" s="596"/>
    </row>
    <row r="70" spans="2:17" ht="21" thickBot="1" x14ac:dyDescent="0.3">
      <c r="B70" s="16">
        <f t="shared" si="6"/>
        <v>61</v>
      </c>
      <c r="C70" s="106" t="s">
        <v>63</v>
      </c>
      <c r="D70" s="107" t="s">
        <v>98</v>
      </c>
      <c r="E70" s="599" t="str">
        <f t="shared" si="7"/>
        <v>ToreHeggem</v>
      </c>
      <c r="F70" s="192">
        <f>YEAR(I$5)-_xlfn.XLOOKUP(E70,Deltakerliste!E$5:E$98,Deltakerliste!I$5:I$98)</f>
        <v>73</v>
      </c>
      <c r="G70" s="192">
        <f>_xlfn.XLOOKUP(E70,Deltakerliste!E$5:E$98,Deltakerliste!H$5:H$98)</f>
        <v>2</v>
      </c>
      <c r="H70" s="592">
        <f>VLOOKUP(F70,Deltakerliste!P$6:T$84,G70,FALSE)</f>
        <v>1.5329999999999999</v>
      </c>
      <c r="I70" s="86"/>
      <c r="J70" s="86"/>
      <c r="K70" s="13"/>
      <c r="L70" s="600"/>
      <c r="M70" s="594"/>
      <c r="N70" s="724"/>
      <c r="O70" s="596"/>
    </row>
    <row r="71" spans="2:17" ht="21" thickBot="1" x14ac:dyDescent="0.3">
      <c r="B71" s="16">
        <f t="shared" si="6"/>
        <v>62</v>
      </c>
      <c r="C71" s="106" t="s">
        <v>342</v>
      </c>
      <c r="D71" s="107" t="s">
        <v>343</v>
      </c>
      <c r="E71" s="599" t="str">
        <f t="shared" si="7"/>
        <v>ArildHeggeset</v>
      </c>
      <c r="F71" s="192">
        <f>YEAR(I$5)-_xlfn.XLOOKUP(E71,Deltakerliste!E$5:E$98,Deltakerliste!I$5:I$98)</f>
        <v>59</v>
      </c>
      <c r="G71" s="192">
        <f>_xlfn.XLOOKUP(E71,Deltakerliste!E$5:E$98,Deltakerliste!H$5:H$98)</f>
        <v>2</v>
      </c>
      <c r="H71" s="592">
        <f>VLOOKUP(F71,Deltakerliste!P$6:T$84,G71,FALSE)</f>
        <v>1.1860000000000002</v>
      </c>
      <c r="I71" s="86"/>
      <c r="J71" s="86"/>
      <c r="K71" s="13"/>
      <c r="L71" s="600"/>
      <c r="M71" s="594"/>
      <c r="N71" s="724"/>
      <c r="O71" s="596"/>
    </row>
    <row r="72" spans="2:17" ht="21" thickBot="1" x14ac:dyDescent="0.3">
      <c r="B72" s="16">
        <f t="shared" si="6"/>
        <v>63</v>
      </c>
      <c r="C72" s="106" t="s">
        <v>309</v>
      </c>
      <c r="D72" s="107" t="s">
        <v>310</v>
      </c>
      <c r="E72" s="599" t="str">
        <f t="shared" si="7"/>
        <v>VigdisHeimly</v>
      </c>
      <c r="F72" s="192">
        <f>YEAR(I$5)-_xlfn.XLOOKUP(E72,Deltakerliste!E$5:E$98,Deltakerliste!I$5:I$98)</f>
        <v>67</v>
      </c>
      <c r="G72" s="192">
        <f>_xlfn.XLOOKUP(E72,Deltakerliste!E$5:E$98,Deltakerliste!H$5:H$98)</f>
        <v>4</v>
      </c>
      <c r="H72" s="592">
        <f>VLOOKUP(F72,Deltakerliste!P$6:T$84,G72,FALSE)</f>
        <v>1.8422000000000009</v>
      </c>
      <c r="I72" s="86"/>
      <c r="J72" s="86"/>
      <c r="K72" s="17"/>
      <c r="L72" s="600"/>
      <c r="M72" s="594"/>
      <c r="N72" s="724"/>
      <c r="O72" s="596"/>
    </row>
    <row r="73" spans="2:17" ht="21" thickBot="1" x14ac:dyDescent="0.3">
      <c r="B73" s="16">
        <f t="shared" si="6"/>
        <v>64</v>
      </c>
      <c r="C73" s="106" t="s">
        <v>118</v>
      </c>
      <c r="D73" s="107" t="s">
        <v>383</v>
      </c>
      <c r="E73" s="599" t="str">
        <f t="shared" si="7"/>
        <v>KnutHelland</v>
      </c>
      <c r="F73" s="192">
        <f>YEAR(I$5)-_xlfn.XLOOKUP(E73,Deltakerliste!E$5:E$98,Deltakerliste!I$5:I$98)</f>
        <v>64</v>
      </c>
      <c r="G73" s="192">
        <f>_xlfn.XLOOKUP(E73,Deltakerliste!E$5:E$98,Deltakerliste!H$5:H$98)</f>
        <v>2</v>
      </c>
      <c r="H73" s="592">
        <f>VLOOKUP(F73,Deltakerliste!P$6:T$84,G73,FALSE)</f>
        <v>1.2759999999999998</v>
      </c>
      <c r="I73" s="86"/>
      <c r="J73" s="86"/>
      <c r="K73" s="17"/>
      <c r="L73" s="600"/>
      <c r="M73" s="594"/>
      <c r="N73" s="724"/>
      <c r="O73" s="596"/>
    </row>
    <row r="74" spans="2:17" ht="21" thickBot="1" x14ac:dyDescent="0.3">
      <c r="B74" s="16">
        <f t="shared" ref="B74:B96" si="8">B73+1</f>
        <v>65</v>
      </c>
      <c r="C74" s="106" t="s">
        <v>63</v>
      </c>
      <c r="D74" s="107" t="s">
        <v>105</v>
      </c>
      <c r="E74" s="599" t="str">
        <f t="shared" ref="E74:E96" si="9">_xlfn.CONCAT(C74:D74)</f>
        <v>ToreKiste</v>
      </c>
      <c r="F74" s="192">
        <f>YEAR(I$5)-_xlfn.XLOOKUP(E74,Deltakerliste!E$5:E$98,Deltakerliste!I$5:I$98)</f>
        <v>81</v>
      </c>
      <c r="G74" s="192">
        <f>_xlfn.XLOOKUP(E74,Deltakerliste!E$5:E$98,Deltakerliste!H$5:H$98)</f>
        <v>2</v>
      </c>
      <c r="H74" s="592">
        <f>VLOOKUP(F74,Deltakerliste!P$6:T$84,G74,FALSE)</f>
        <v>1.9290000000000003</v>
      </c>
      <c r="I74" s="86"/>
      <c r="J74" s="86"/>
      <c r="K74" s="13"/>
      <c r="L74" s="600"/>
      <c r="M74" s="594"/>
      <c r="N74" s="724"/>
      <c r="O74" s="596"/>
    </row>
    <row r="75" spans="2:17" ht="21" thickBot="1" x14ac:dyDescent="0.3">
      <c r="B75" s="16">
        <f t="shared" si="8"/>
        <v>66</v>
      </c>
      <c r="C75" s="106" t="s">
        <v>110</v>
      </c>
      <c r="D75" s="107" t="s">
        <v>111</v>
      </c>
      <c r="E75" s="599" t="str">
        <f t="shared" si="9"/>
        <v>Jan ErikKofoed</v>
      </c>
      <c r="F75" s="192">
        <f>YEAR(I$5)-_xlfn.XLOOKUP(E75,Deltakerliste!E$5:E$98,Deltakerliste!I$5:I$98)</f>
        <v>72</v>
      </c>
      <c r="G75" s="192">
        <f>_xlfn.XLOOKUP(E75,Deltakerliste!E$5:E$98,Deltakerliste!H$5:H$98)</f>
        <v>2</v>
      </c>
      <c r="H75" s="592">
        <f>VLOOKUP(F75,Deltakerliste!P$6:T$84,G75,FALSE)</f>
        <v>1.4969999999999999</v>
      </c>
      <c r="I75" s="86"/>
      <c r="J75" s="86"/>
      <c r="K75" s="13"/>
      <c r="L75" s="600"/>
      <c r="M75" s="594"/>
      <c r="N75" s="724"/>
      <c r="O75" s="596"/>
      <c r="Q75" s="112"/>
    </row>
    <row r="76" spans="2:17" ht="21" thickBot="1" x14ac:dyDescent="0.3">
      <c r="B76" s="16">
        <f t="shared" si="8"/>
        <v>67</v>
      </c>
      <c r="C76" s="106" t="s">
        <v>251</v>
      </c>
      <c r="D76" s="107" t="s">
        <v>252</v>
      </c>
      <c r="E76" s="599" t="str">
        <f t="shared" si="9"/>
        <v>OttarKristiansen</v>
      </c>
      <c r="F76" s="192">
        <f>YEAR(I$5)-_xlfn.XLOOKUP(E76,Deltakerliste!E$5:E$98,Deltakerliste!I$5:I$98)</f>
        <v>77</v>
      </c>
      <c r="G76" s="192">
        <f>_xlfn.XLOOKUP(E76,Deltakerliste!E$5:E$98,Deltakerliste!H$5:H$98)</f>
        <v>2</v>
      </c>
      <c r="H76" s="592">
        <f>VLOOKUP(F76,Deltakerliste!P$6:T$84,G76,FALSE)</f>
        <v>1.7050000000000001</v>
      </c>
      <c r="I76" s="86"/>
      <c r="J76" s="86"/>
      <c r="K76" s="17"/>
      <c r="L76" s="600"/>
      <c r="M76" s="594"/>
      <c r="N76" s="724"/>
      <c r="O76" s="596"/>
    </row>
    <row r="77" spans="2:17" ht="21" thickBot="1" x14ac:dyDescent="0.3">
      <c r="B77" s="16">
        <f t="shared" si="8"/>
        <v>68</v>
      </c>
      <c r="C77" s="106" t="s">
        <v>299</v>
      </c>
      <c r="D77" s="107" t="s">
        <v>300</v>
      </c>
      <c r="E77" s="599" t="str">
        <f t="shared" si="9"/>
        <v>OlavKvittem</v>
      </c>
      <c r="F77" s="192">
        <f>YEAR(I$5)-_xlfn.XLOOKUP(E77,Deltakerliste!E$5:E$98,Deltakerliste!I$5:I$98)</f>
        <v>71</v>
      </c>
      <c r="G77" s="192">
        <f>_xlfn.XLOOKUP(E77,Deltakerliste!E$5:E$98,Deltakerliste!H$5:H$98)</f>
        <v>2</v>
      </c>
      <c r="H77" s="592">
        <f>VLOOKUP(F77,Deltakerliste!P$6:T$84,G77,FALSE)</f>
        <v>1.4609999999999999</v>
      </c>
      <c r="I77" s="86"/>
      <c r="J77" s="86"/>
      <c r="K77" s="13"/>
      <c r="L77" s="600"/>
      <c r="M77" s="594"/>
      <c r="N77" s="724"/>
      <c r="O77" s="596"/>
    </row>
    <row r="78" spans="2:17" ht="21" thickBot="1" x14ac:dyDescent="0.3">
      <c r="B78" s="16">
        <f t="shared" si="8"/>
        <v>69</v>
      </c>
      <c r="C78" s="106" t="s">
        <v>112</v>
      </c>
      <c r="D78" s="107" t="s">
        <v>113</v>
      </c>
      <c r="E78" s="599" t="str">
        <f t="shared" si="9"/>
        <v>ToridKvaal</v>
      </c>
      <c r="F78" s="192">
        <f>YEAR(I$5)-_xlfn.XLOOKUP(E78,Deltakerliste!E$5:E$98,Deltakerliste!I$5:I$98)</f>
        <v>84</v>
      </c>
      <c r="G78" s="192">
        <f>_xlfn.XLOOKUP(E78,Deltakerliste!E$5:E$98,Deltakerliste!H$5:H$98)</f>
        <v>4</v>
      </c>
      <c r="H78" s="592">
        <f>VLOOKUP(F78,Deltakerliste!P$6:T$84,G78,FALSE)</f>
        <v>2.7814000000000005</v>
      </c>
      <c r="I78" s="86"/>
      <c r="J78" s="86"/>
      <c r="K78" s="13"/>
      <c r="L78" s="600"/>
      <c r="M78" s="594"/>
      <c r="N78" s="724"/>
      <c r="O78" s="596"/>
    </row>
    <row r="79" spans="2:17" ht="21" thickBot="1" x14ac:dyDescent="0.3">
      <c r="B79" s="16">
        <f t="shared" si="8"/>
        <v>70</v>
      </c>
      <c r="C79" s="106" t="s">
        <v>254</v>
      </c>
      <c r="D79" s="107" t="s">
        <v>255</v>
      </c>
      <c r="E79" s="599" t="str">
        <f t="shared" si="9"/>
        <v>ArnfinnLangeland</v>
      </c>
      <c r="F79" s="192">
        <f>YEAR(I$5)-_xlfn.XLOOKUP(E79,Deltakerliste!E$5:E$98,Deltakerliste!I$5:I$98)</f>
        <v>90</v>
      </c>
      <c r="G79" s="192">
        <f>_xlfn.XLOOKUP(E79,Deltakerliste!E$5:E$98,Deltakerliste!H$5:H$98)</f>
        <v>2</v>
      </c>
      <c r="H79" s="592">
        <f>VLOOKUP(F79,Deltakerliste!P$6:T$84,G79,FALSE)</f>
        <v>2.645</v>
      </c>
      <c r="I79" s="86"/>
      <c r="J79" s="86"/>
      <c r="K79" s="13"/>
      <c r="L79" s="600"/>
      <c r="M79" s="594"/>
      <c r="N79" s="724"/>
      <c r="O79" s="596"/>
    </row>
    <row r="80" spans="2:17" ht="21" thickBot="1" x14ac:dyDescent="0.3">
      <c r="B80" s="16">
        <f t="shared" si="8"/>
        <v>71</v>
      </c>
      <c r="C80" s="106" t="s">
        <v>116</v>
      </c>
      <c r="D80" s="107" t="s">
        <v>117</v>
      </c>
      <c r="E80" s="599" t="str">
        <f t="shared" si="9"/>
        <v>AndersLauglo</v>
      </c>
      <c r="F80" s="192">
        <f>YEAR(I$5)-_xlfn.XLOOKUP(E80,Deltakerliste!E$5:E$98,Deltakerliste!I$5:I$98)</f>
        <v>87</v>
      </c>
      <c r="G80" s="192">
        <f>_xlfn.XLOOKUP(E80,Deltakerliste!E$5:E$98,Deltakerliste!H$5:H$98)</f>
        <v>2</v>
      </c>
      <c r="H80" s="592">
        <f>VLOOKUP(F80,Deltakerliste!P$6:T$84,G80,FALSE)</f>
        <v>2.3929999999999998</v>
      </c>
      <c r="I80" s="13"/>
      <c r="J80" s="13"/>
      <c r="K80" s="86"/>
      <c r="L80" s="600"/>
      <c r="M80" s="594"/>
      <c r="N80" s="724"/>
      <c r="O80" s="596"/>
    </row>
    <row r="81" spans="2:15" ht="21" thickBot="1" x14ac:dyDescent="0.3">
      <c r="B81" s="16">
        <f t="shared" si="8"/>
        <v>72</v>
      </c>
      <c r="C81" s="106" t="s">
        <v>248</v>
      </c>
      <c r="D81" s="107" t="s">
        <v>249</v>
      </c>
      <c r="E81" s="599" t="str">
        <f t="shared" si="9"/>
        <v>ErikLund</v>
      </c>
      <c r="F81" s="192">
        <f>YEAR(I$5)-_xlfn.XLOOKUP(E81,Deltakerliste!E$5:E$98,Deltakerliste!I$5:I$98)</f>
        <v>79</v>
      </c>
      <c r="G81" s="192">
        <f>_xlfn.XLOOKUP(E81,Deltakerliste!E$5:E$98,Deltakerliste!H$5:H$98)</f>
        <v>2</v>
      </c>
      <c r="H81" s="592">
        <f>VLOOKUP(F81,Deltakerliste!P$6:T$84,G81,FALSE)</f>
        <v>1.8050000000000002</v>
      </c>
      <c r="I81" s="13"/>
      <c r="J81" s="13"/>
      <c r="K81" s="17"/>
      <c r="L81" s="600"/>
      <c r="M81" s="594"/>
      <c r="N81" s="724"/>
      <c r="O81" s="596"/>
    </row>
    <row r="82" spans="2:15" ht="21" thickBot="1" x14ac:dyDescent="0.3">
      <c r="B82" s="16">
        <f t="shared" si="8"/>
        <v>73</v>
      </c>
      <c r="C82" s="106" t="s">
        <v>128</v>
      </c>
      <c r="D82" s="107" t="s">
        <v>129</v>
      </c>
      <c r="E82" s="599" t="str">
        <f t="shared" si="9"/>
        <v>OddMusum</v>
      </c>
      <c r="F82" s="192">
        <f>YEAR(I$5)-_xlfn.XLOOKUP(E82,Deltakerliste!E$5:E$98,Deltakerliste!I$5:I$98)</f>
        <v>84</v>
      </c>
      <c r="G82" s="192">
        <f>_xlfn.XLOOKUP(E82,Deltakerliste!E$5:E$98,Deltakerliste!H$5:H$98)</f>
        <v>2</v>
      </c>
      <c r="H82" s="592">
        <f>VLOOKUP(F82,Deltakerliste!P$6:T$84,G82,FALSE)</f>
        <v>2.1509999999999998</v>
      </c>
      <c r="I82" s="13"/>
      <c r="J82" s="13"/>
      <c r="K82" s="13"/>
      <c r="L82" s="600"/>
      <c r="M82" s="594"/>
      <c r="N82" s="724"/>
      <c r="O82" s="596"/>
    </row>
    <row r="83" spans="2:15" ht="21" thickBot="1" x14ac:dyDescent="0.3">
      <c r="B83" s="16">
        <f t="shared" si="8"/>
        <v>74</v>
      </c>
      <c r="C83" s="106" t="s">
        <v>132</v>
      </c>
      <c r="D83" s="107" t="s">
        <v>133</v>
      </c>
      <c r="E83" s="599" t="str">
        <f t="shared" si="9"/>
        <v>JarleNestvold</v>
      </c>
      <c r="F83" s="192">
        <f>YEAR(I$5)-_xlfn.XLOOKUP(E83,Deltakerliste!E$5:E$98,Deltakerliste!I$5:I$98)</f>
        <v>89</v>
      </c>
      <c r="G83" s="192">
        <f>_xlfn.XLOOKUP(E83,Deltakerliste!E$5:E$98,Deltakerliste!H$5:H$98)</f>
        <v>2</v>
      </c>
      <c r="H83" s="592">
        <f>VLOOKUP(F83,Deltakerliste!P$6:T$84,G83,FALSE)</f>
        <v>2.5609999999999999</v>
      </c>
      <c r="I83" s="132"/>
      <c r="J83" s="18"/>
      <c r="K83" s="18"/>
      <c r="L83" s="600"/>
      <c r="M83" s="594"/>
      <c r="N83" s="724"/>
      <c r="O83" s="596"/>
    </row>
    <row r="84" spans="2:15" ht="21" thickBot="1" x14ac:dyDescent="0.3">
      <c r="B84" s="16">
        <f t="shared" si="8"/>
        <v>75</v>
      </c>
      <c r="C84" s="106" t="s">
        <v>402</v>
      </c>
      <c r="D84" s="107" t="s">
        <v>403</v>
      </c>
      <c r="E84" s="599" t="str">
        <f t="shared" si="9"/>
        <v>BørgeNordli</v>
      </c>
      <c r="F84" s="192">
        <f>YEAR(I$5)-_xlfn.XLOOKUP(E84,Deltakerliste!E$5:E$98,Deltakerliste!I$5:I$98)</f>
        <v>44</v>
      </c>
      <c r="G84" s="192">
        <f>_xlfn.XLOOKUP(E84,Deltakerliste!E$5:E$98,Deltakerliste!H$5:H$98)</f>
        <v>2</v>
      </c>
      <c r="H84" s="592">
        <f>VLOOKUP(F84,Deltakerliste!P$6:T$84,G84,FALSE)</f>
        <v>1.0399999999999996</v>
      </c>
      <c r="I84" s="132"/>
      <c r="J84" s="132"/>
      <c r="K84" s="18"/>
      <c r="L84" s="600"/>
      <c r="M84" s="594"/>
      <c r="N84" s="724"/>
      <c r="O84" s="596"/>
    </row>
    <row r="85" spans="2:15" ht="21" thickBot="1" x14ac:dyDescent="0.3">
      <c r="B85" s="16">
        <f t="shared" si="8"/>
        <v>76</v>
      </c>
      <c r="C85" s="111" t="s">
        <v>265</v>
      </c>
      <c r="D85" s="193" t="s">
        <v>344</v>
      </c>
      <c r="E85" s="599" t="str">
        <f t="shared" si="9"/>
        <v>ØysteinNytrø</v>
      </c>
      <c r="F85" s="192">
        <f>YEAR(I$5)-_xlfn.XLOOKUP(E85,Deltakerliste!E$5:E$98,Deltakerliste!I$5:I$98)</f>
        <v>66</v>
      </c>
      <c r="G85" s="192">
        <f>_xlfn.XLOOKUP(E85,Deltakerliste!E$5:E$98,Deltakerliste!H$5:H$98)</f>
        <v>2</v>
      </c>
      <c r="H85" s="592">
        <f>VLOOKUP(F85,Deltakerliste!P$6:T$84,G85,FALSE)</f>
        <v>1.3209999999999997</v>
      </c>
      <c r="I85" s="18"/>
      <c r="J85" s="132"/>
      <c r="K85" s="18"/>
      <c r="L85" s="600"/>
      <c r="M85" s="594"/>
      <c r="N85" s="724"/>
      <c r="O85" s="596"/>
    </row>
    <row r="86" spans="2:15" ht="21" thickBot="1" x14ac:dyDescent="0.3">
      <c r="B86" s="16">
        <f t="shared" si="8"/>
        <v>77</v>
      </c>
      <c r="C86" s="111" t="s">
        <v>72</v>
      </c>
      <c r="D86" s="193" t="s">
        <v>139</v>
      </c>
      <c r="E86" s="599" t="str">
        <f t="shared" si="9"/>
        <v>KåreOnsøyen</v>
      </c>
      <c r="F86" s="192">
        <f>YEAR(I$5)-_xlfn.XLOOKUP(E86,Deltakerliste!E$5:E$98,Deltakerliste!I$5:I$98)</f>
        <v>78</v>
      </c>
      <c r="G86" s="192">
        <f>_xlfn.XLOOKUP(E86,Deltakerliste!E$5:E$98,Deltakerliste!H$5:H$98)</f>
        <v>2</v>
      </c>
      <c r="H86" s="592">
        <f>VLOOKUP(F86,Deltakerliste!P$6:T$84,G86,FALSE)</f>
        <v>1.7550000000000001</v>
      </c>
      <c r="I86" s="13"/>
      <c r="J86" s="13"/>
      <c r="K86" s="13"/>
      <c r="L86" s="600"/>
      <c r="M86" s="594"/>
      <c r="N86" s="724"/>
      <c r="O86" s="596"/>
    </row>
    <row r="87" spans="2:15" ht="21" thickBot="1" x14ac:dyDescent="0.3">
      <c r="B87" s="16">
        <f t="shared" si="8"/>
        <v>78</v>
      </c>
      <c r="C87" s="111" t="s">
        <v>140</v>
      </c>
      <c r="D87" s="108" t="s">
        <v>141</v>
      </c>
      <c r="E87" s="599" t="str">
        <f t="shared" si="9"/>
        <v>Grete BergeOwren</v>
      </c>
      <c r="F87" s="192">
        <f>YEAR(I$5)-_xlfn.XLOOKUP(E87,Deltakerliste!E$5:E$98,Deltakerliste!I$5:I$98)</f>
        <v>68</v>
      </c>
      <c r="G87" s="192">
        <f>_xlfn.XLOOKUP(E87,Deltakerliste!E$5:E$98,Deltakerliste!H$5:H$98)</f>
        <v>4</v>
      </c>
      <c r="H87" s="592">
        <f>VLOOKUP(F87,Deltakerliste!P$6:T$84,G87,FALSE)</f>
        <v>1.877800000000001</v>
      </c>
      <c r="I87" s="18"/>
      <c r="J87" s="18"/>
      <c r="K87" s="18"/>
      <c r="L87" s="600"/>
      <c r="M87" s="594"/>
      <c r="N87" s="724"/>
      <c r="O87" s="596"/>
    </row>
    <row r="88" spans="2:15" ht="21" thickBot="1" x14ac:dyDescent="0.3">
      <c r="B88" s="16">
        <f t="shared" si="8"/>
        <v>79</v>
      </c>
      <c r="C88" s="111" t="s">
        <v>298</v>
      </c>
      <c r="D88" s="193" t="s">
        <v>405</v>
      </c>
      <c r="E88" s="599" t="str">
        <f t="shared" si="9"/>
        <v>ØyvindRogndalen</v>
      </c>
      <c r="F88" s="192">
        <f>YEAR(I$5)-_xlfn.XLOOKUP(E88,Deltakerliste!E$5:E$98,Deltakerliste!I$5:I$98)</f>
        <v>81</v>
      </c>
      <c r="G88" s="192">
        <f>_xlfn.XLOOKUP(E88,Deltakerliste!E$5:E$98,Deltakerliste!H$5:H$98)</f>
        <v>2</v>
      </c>
      <c r="H88" s="592">
        <f>VLOOKUP(F88,Deltakerliste!P$6:T$84,G88,FALSE)</f>
        <v>1.9290000000000003</v>
      </c>
      <c r="I88" s="132"/>
      <c r="J88" s="18"/>
      <c r="K88" s="18"/>
      <c r="L88" s="600"/>
      <c r="M88" s="594"/>
      <c r="N88" s="724"/>
      <c r="O88" s="596"/>
    </row>
    <row r="89" spans="2:15" ht="21" thickBot="1" x14ac:dyDescent="0.3">
      <c r="B89" s="16">
        <f t="shared" si="8"/>
        <v>80</v>
      </c>
      <c r="C89" s="111" t="s">
        <v>228</v>
      </c>
      <c r="D89" s="193" t="s">
        <v>229</v>
      </c>
      <c r="E89" s="599" t="str">
        <f t="shared" si="9"/>
        <v>May-LisRønning</v>
      </c>
      <c r="F89" s="192">
        <f>YEAR(I$5)-_xlfn.XLOOKUP(E89,Deltakerliste!E$5:E$98,Deltakerliste!I$5:I$98)</f>
        <v>56</v>
      </c>
      <c r="G89" s="192">
        <f>_xlfn.XLOOKUP(E89,Deltakerliste!E$5:E$98,Deltakerliste!H$5:H$98)</f>
        <v>4</v>
      </c>
      <c r="H89" s="592">
        <f>VLOOKUP(F89,Deltakerliste!P$6:T$84,G89,FALSE)</f>
        <v>1.5329999999999997</v>
      </c>
      <c r="I89" s="18"/>
      <c r="J89" s="18"/>
      <c r="K89" s="18"/>
      <c r="L89" s="600"/>
      <c r="M89" s="594"/>
      <c r="N89" s="724"/>
      <c r="O89" s="596"/>
    </row>
    <row r="90" spans="2:15" ht="21" thickBot="1" x14ac:dyDescent="0.3">
      <c r="B90" s="16">
        <f t="shared" si="8"/>
        <v>81</v>
      </c>
      <c r="C90" s="111" t="s">
        <v>147</v>
      </c>
      <c r="D90" s="108" t="s">
        <v>148</v>
      </c>
      <c r="E90" s="599" t="str">
        <f t="shared" si="9"/>
        <v>ViggoSchei</v>
      </c>
      <c r="F90" s="192">
        <f>YEAR(I$5)-_xlfn.XLOOKUP(E90,Deltakerliste!E$5:E$98,Deltakerliste!I$5:I$98)</f>
        <v>75</v>
      </c>
      <c r="G90" s="192">
        <f>_xlfn.XLOOKUP(E90,Deltakerliste!E$5:E$98,Deltakerliste!H$5:H$98)</f>
        <v>2</v>
      </c>
      <c r="H90" s="592">
        <f>VLOOKUP(F90,Deltakerliste!P$6:T$84,G90,FALSE)</f>
        <v>1.605</v>
      </c>
      <c r="I90" s="18"/>
      <c r="J90" s="132"/>
      <c r="K90" s="18"/>
      <c r="L90" s="600"/>
      <c r="M90" s="594"/>
      <c r="N90" s="724"/>
      <c r="O90" s="596"/>
    </row>
    <row r="91" spans="2:15" ht="21" thickBot="1" x14ac:dyDescent="0.3">
      <c r="B91" s="16">
        <f t="shared" si="8"/>
        <v>82</v>
      </c>
      <c r="C91" s="111" t="s">
        <v>298</v>
      </c>
      <c r="D91" s="108" t="s">
        <v>297</v>
      </c>
      <c r="E91" s="599" t="str">
        <f t="shared" si="9"/>
        <v>ØyvindSchjelderup</v>
      </c>
      <c r="F91" s="192">
        <f>YEAR(I$5)-_xlfn.XLOOKUP(E91,Deltakerliste!E$5:E$98,Deltakerliste!I$5:I$98)</f>
        <v>61</v>
      </c>
      <c r="G91" s="192">
        <f>_xlfn.XLOOKUP(E91,Deltakerliste!E$5:E$98,Deltakerliste!H$5:H$98)</f>
        <v>2</v>
      </c>
      <c r="H91" s="592">
        <f>VLOOKUP(F91,Deltakerliste!P$6:T$84,G91,FALSE)</f>
        <v>1.2190000000000001</v>
      </c>
      <c r="I91" s="18"/>
      <c r="J91" s="18"/>
      <c r="K91" s="18"/>
      <c r="L91" s="600"/>
      <c r="M91" s="594"/>
      <c r="N91" s="724"/>
      <c r="O91" s="596"/>
    </row>
    <row r="92" spans="2:15" ht="21" thickBot="1" x14ac:dyDescent="0.3">
      <c r="B92" s="16">
        <f t="shared" si="8"/>
        <v>83</v>
      </c>
      <c r="C92" s="193" t="s">
        <v>153</v>
      </c>
      <c r="D92" s="108" t="s">
        <v>154</v>
      </c>
      <c r="E92" s="599" t="str">
        <f t="shared" si="9"/>
        <v>ReidunSmaavik</v>
      </c>
      <c r="F92" s="192">
        <f>YEAR(I$5)-_xlfn.XLOOKUP(E92,Deltakerliste!E$5:E$98,Deltakerliste!I$5:I$98)</f>
        <v>71</v>
      </c>
      <c r="G92" s="192">
        <f>_xlfn.XLOOKUP(E92,Deltakerliste!E$5:E$98,Deltakerliste!H$5:H$98)</f>
        <v>4</v>
      </c>
      <c r="H92" s="592">
        <f>VLOOKUP(F92,Deltakerliste!P$6:T$84,G92,FALSE)</f>
        <v>1.9926000000000013</v>
      </c>
      <c r="I92" s="132"/>
      <c r="J92" s="18"/>
      <c r="K92" s="18"/>
      <c r="L92" s="600"/>
      <c r="M92" s="594"/>
      <c r="N92" s="724"/>
      <c r="O92" s="596"/>
    </row>
    <row r="93" spans="2:15" ht="21" thickBot="1" x14ac:dyDescent="0.3">
      <c r="B93" s="16">
        <f t="shared" si="8"/>
        <v>84</v>
      </c>
      <c r="C93" s="193" t="s">
        <v>155</v>
      </c>
      <c r="D93" s="108" t="s">
        <v>156</v>
      </c>
      <c r="E93" s="599" t="str">
        <f t="shared" si="9"/>
        <v>KjellrunSporild</v>
      </c>
      <c r="F93" s="192">
        <f>YEAR(I$5)-_xlfn.XLOOKUP(E93,Deltakerliste!E$5:E$98,Deltakerliste!I$5:I$98)</f>
        <v>71</v>
      </c>
      <c r="G93" s="192">
        <f>_xlfn.XLOOKUP(E93,Deltakerliste!E$5:E$98,Deltakerliste!H$5:H$98)</f>
        <v>4</v>
      </c>
      <c r="H93" s="592">
        <f>VLOOKUP(F93,Deltakerliste!P$6:T$84,G93,FALSE)</f>
        <v>1.9926000000000013</v>
      </c>
      <c r="I93" s="18"/>
      <c r="J93" s="132"/>
      <c r="K93" s="18"/>
      <c r="L93" s="600"/>
      <c r="M93" s="594"/>
      <c r="N93" s="724"/>
      <c r="O93" s="596"/>
    </row>
    <row r="94" spans="2:15" ht="21" thickBot="1" x14ac:dyDescent="0.3">
      <c r="B94" s="16">
        <f t="shared" si="8"/>
        <v>85</v>
      </c>
      <c r="C94" s="193" t="s">
        <v>232</v>
      </c>
      <c r="D94" s="133" t="s">
        <v>231</v>
      </c>
      <c r="E94" s="599" t="str">
        <f t="shared" si="9"/>
        <v>BeritSunnset</v>
      </c>
      <c r="F94" s="192">
        <f>YEAR(I$5)-_xlfn.XLOOKUP(E94,Deltakerliste!E$5:E$98,Deltakerliste!I$5:I$98)</f>
        <v>63</v>
      </c>
      <c r="G94" s="192">
        <f>_xlfn.XLOOKUP(E94,Deltakerliste!E$5:E$98,Deltakerliste!H$5:H$98)</f>
        <v>4</v>
      </c>
      <c r="H94" s="592">
        <f>VLOOKUP(F94,Deltakerliste!P$6:T$84,G94,FALSE)</f>
        <v>1.7126000000000006</v>
      </c>
      <c r="I94" s="18"/>
      <c r="J94" s="18"/>
      <c r="K94" s="18"/>
      <c r="L94" s="600"/>
      <c r="M94" s="594"/>
      <c r="N94" s="724"/>
      <c r="O94" s="596"/>
    </row>
    <row r="95" spans="2:15" ht="21" thickBot="1" x14ac:dyDescent="0.3">
      <c r="B95" s="16">
        <f t="shared" si="8"/>
        <v>86</v>
      </c>
      <c r="C95" s="193" t="s">
        <v>230</v>
      </c>
      <c r="D95" s="108" t="s">
        <v>231</v>
      </c>
      <c r="E95" s="599" t="str">
        <f t="shared" si="9"/>
        <v>TrineSunnset</v>
      </c>
      <c r="F95" s="192">
        <f>YEAR(I$5)-_xlfn.XLOOKUP(E95,Deltakerliste!E$5:E$98,Deltakerliste!I$5:I$98)</f>
        <v>63</v>
      </c>
      <c r="G95" s="192">
        <f>_xlfn.XLOOKUP(E95,Deltakerliste!E$5:E$98,Deltakerliste!H$5:H$98)</f>
        <v>4</v>
      </c>
      <c r="H95" s="592">
        <f>VLOOKUP(F95,Deltakerliste!P$6:T$84,G95,FALSE)</f>
        <v>1.7126000000000006</v>
      </c>
      <c r="I95" s="18"/>
      <c r="J95" s="18"/>
      <c r="K95" s="18"/>
      <c r="L95" s="600"/>
      <c r="M95" s="594"/>
      <c r="N95" s="724"/>
      <c r="O95" s="596"/>
    </row>
    <row r="96" spans="2:15" ht="21" thickBot="1" x14ac:dyDescent="0.3">
      <c r="B96" s="16">
        <f t="shared" si="8"/>
        <v>87</v>
      </c>
      <c r="C96" s="193" t="s">
        <v>166</v>
      </c>
      <c r="D96" s="108" t="s">
        <v>167</v>
      </c>
      <c r="E96" s="599" t="str">
        <f t="shared" si="9"/>
        <v>GunnarØsterbø</v>
      </c>
      <c r="F96" s="192">
        <f>YEAR(I$5)-_xlfn.XLOOKUP(E96,Deltakerliste!E$5:E$98,Deltakerliste!I$5:I$98)</f>
        <v>87</v>
      </c>
      <c r="G96" s="192">
        <f>_xlfn.XLOOKUP(E96,Deltakerliste!E$5:E$98,Deltakerliste!H$5:H$98)</f>
        <v>2</v>
      </c>
      <c r="H96" s="592">
        <f>VLOOKUP(F96,Deltakerliste!P$6:T$84,G96,FALSE)</f>
        <v>2.3929999999999998</v>
      </c>
      <c r="I96" s="18"/>
      <c r="J96" s="132"/>
      <c r="K96" s="18"/>
      <c r="L96" s="725"/>
      <c r="M96" s="717"/>
      <c r="N96" s="726"/>
      <c r="O96" s="719"/>
    </row>
    <row r="100" spans="4:11" ht="17" thickBot="1" x14ac:dyDescent="0.25"/>
    <row r="101" spans="4:11" ht="21" thickTop="1" thickBot="1" x14ac:dyDescent="0.3">
      <c r="D101" s="646" t="s">
        <v>288</v>
      </c>
      <c r="E101" s="647"/>
      <c r="F101" s="666"/>
      <c r="G101" s="666"/>
      <c r="H101" s="666"/>
      <c r="I101" s="648" t="s">
        <v>195</v>
      </c>
      <c r="J101" s="648" t="s">
        <v>196</v>
      </c>
      <c r="K101" s="649" t="s">
        <v>197</v>
      </c>
    </row>
    <row r="102" spans="4:11" ht="20" x14ac:dyDescent="0.25">
      <c r="D102" s="634" t="s">
        <v>172</v>
      </c>
      <c r="E102" s="320"/>
      <c r="F102" s="208"/>
      <c r="G102" s="208"/>
      <c r="H102" s="208"/>
      <c r="I102" s="635">
        <f>COUNT(I10:I97)+COUNTIF(I10:I97,"Brutt")+COUNTIF(I10:I97,"Disk")+COUNTIF(I10:I97,"(*)")</f>
        <v>17</v>
      </c>
      <c r="J102" s="635">
        <f>COUNT(J10:J97)+COUNTIF(J10:J97,"Brutt")+COUNTIF(J10:J97,"Disk")+COUNTIF(J10:J97,"(*)")</f>
        <v>22</v>
      </c>
      <c r="K102" s="636">
        <f>I102+J102</f>
        <v>39</v>
      </c>
    </row>
    <row r="103" spans="4:11" ht="19" x14ac:dyDescent="0.25">
      <c r="D103" s="637" t="s">
        <v>174</v>
      </c>
      <c r="E103" s="320"/>
      <c r="F103" s="208"/>
      <c r="G103" s="208"/>
      <c r="H103" s="208"/>
      <c r="I103" s="635">
        <f>COUNT(I10:I97)</f>
        <v>17</v>
      </c>
      <c r="J103" s="635">
        <f>COUNT(J10:J97)</f>
        <v>22</v>
      </c>
      <c r="K103" s="636">
        <f t="shared" ref="K103" si="10">I103+J103</f>
        <v>39</v>
      </c>
    </row>
    <row r="104" spans="4:11" ht="19" x14ac:dyDescent="0.25">
      <c r="D104" s="637" t="s">
        <v>173</v>
      </c>
      <c r="E104" s="320"/>
      <c r="F104" s="208"/>
      <c r="G104" s="208"/>
      <c r="H104" s="208"/>
      <c r="I104" s="208"/>
      <c r="J104" s="208"/>
      <c r="K104" s="636">
        <f>K102+COUNTIF(L10:L97,"Arr")+COUNTIF(L10:L97,"Løype")</f>
        <v>41</v>
      </c>
    </row>
    <row r="105" spans="4:11" ht="19" x14ac:dyDescent="0.25">
      <c r="D105" s="637" t="s">
        <v>341</v>
      </c>
      <c r="E105" s="320"/>
      <c r="F105" s="208"/>
      <c r="G105" s="208"/>
      <c r="H105" s="208"/>
      <c r="I105" s="208"/>
      <c r="J105" s="208"/>
      <c r="K105" s="638">
        <f>IF(SUM(L10:L97)=0," ",AVERAGEIF(M10:M97,"&gt;0",F10:F97))</f>
        <v>75.073170731707322</v>
      </c>
    </row>
    <row r="106" spans="4:11" ht="19" x14ac:dyDescent="0.25">
      <c r="D106" s="637" t="s">
        <v>296</v>
      </c>
      <c r="E106" s="320"/>
      <c r="F106" s="208"/>
      <c r="G106" s="208"/>
      <c r="H106" s="208"/>
      <c r="I106" s="208"/>
      <c r="J106" s="208"/>
      <c r="K106" s="638">
        <f>AVERAGE(I8:J8)</f>
        <v>2.35</v>
      </c>
    </row>
    <row r="107" spans="4:11" ht="19" x14ac:dyDescent="0.25">
      <c r="D107" s="637" t="s">
        <v>176</v>
      </c>
      <c r="E107" s="320"/>
      <c r="F107" s="208"/>
      <c r="G107" s="208"/>
      <c r="H107" s="208"/>
      <c r="I107" s="112">
        <f>I8*I103</f>
        <v>35.700000000000003</v>
      </c>
      <c r="J107" s="112">
        <f>J8*J103</f>
        <v>57.2</v>
      </c>
      <c r="K107" s="638">
        <f>I107+J107</f>
        <v>92.9</v>
      </c>
    </row>
    <row r="108" spans="4:11" ht="19" x14ac:dyDescent="0.25">
      <c r="D108" s="639" t="s">
        <v>286</v>
      </c>
      <c r="E108" s="320"/>
      <c r="F108" s="208"/>
      <c r="G108" s="208"/>
      <c r="H108" s="208"/>
      <c r="I108" s="103">
        <f>IF(SUM(I10:I97)=0," ",AVERAGE(I10:I97))</f>
        <v>2.2786628540305005E-2</v>
      </c>
      <c r="J108" s="103">
        <f>IF(SUM(J10:J97)=0," ",AVERAGE(J10:J97))</f>
        <v>2.3900462962962957E-2</v>
      </c>
      <c r="K108" s="640">
        <f>IF(SUM(I10:J97)=0," ",AVERAGE(I10:J97))</f>
        <v>2.3414945394112065E-2</v>
      </c>
    </row>
    <row r="109" spans="4:11" ht="20" thickBot="1" x14ac:dyDescent="0.3">
      <c r="D109" s="641" t="s">
        <v>287</v>
      </c>
      <c r="E109" s="642"/>
      <c r="F109" s="644"/>
      <c r="G109" s="644"/>
      <c r="H109" s="644"/>
      <c r="I109" s="643"/>
      <c r="J109" s="644"/>
      <c r="K109" s="645">
        <f>MIN(L10:L97)</f>
        <v>6.9889601139601137E-3</v>
      </c>
    </row>
    <row r="110" spans="4:11" ht="17" thickTop="1" x14ac:dyDescent="0.2"/>
  </sheetData>
  <autoFilter ref="B9:O96" xr:uid="{30536D8B-5CF7-CC47-AD87-B91CED96CBB3}">
    <sortState xmlns:xlrd2="http://schemas.microsoft.com/office/spreadsheetml/2017/richdata2" ref="B10:O96">
      <sortCondition ref="N9:N96"/>
    </sortState>
  </autoFilter>
  <mergeCells count="3">
    <mergeCell ref="W7:X7"/>
    <mergeCell ref="S8:U8"/>
    <mergeCell ref="W8:X8"/>
  </mergeCells>
  <pageMargins left="0.7" right="0.7" top="0.75" bottom="0.75" header="0.3" footer="0.3"/>
  <pageSetup paperSize="9" orientation="portrait" horizontalDpi="0" verticalDpi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0FCFD-F690-9940-AC81-7CA03BCDB77D}">
  <dimension ref="B1:AC110"/>
  <sheetViews>
    <sheetView topLeftCell="A63" workbookViewId="0">
      <selection activeCell="Z36" sqref="Z36"/>
    </sheetView>
  </sheetViews>
  <sheetFormatPr baseColWidth="10" defaultColWidth="10.83203125" defaultRowHeight="16" x14ac:dyDescent="0.2"/>
  <cols>
    <col min="3" max="3" width="14.5" customWidth="1"/>
    <col min="4" max="4" width="20.1640625" customWidth="1"/>
    <col min="5" max="5" width="20.1640625" hidden="1" customWidth="1"/>
    <col min="6" max="6" width="14.5" style="15" customWidth="1"/>
    <col min="7" max="7" width="14.5" style="15" hidden="1" customWidth="1"/>
    <col min="8" max="8" width="14" style="15" customWidth="1"/>
    <col min="9" max="10" width="19.1640625" style="15" customWidth="1"/>
    <col min="11" max="11" width="17.6640625" style="15" customWidth="1"/>
    <col min="12" max="12" width="10.83203125" style="15"/>
    <col min="14" max="14" width="10.83203125" style="15"/>
    <col min="18" max="18" width="12.5" customWidth="1"/>
    <col min="19" max="19" width="13.5" customWidth="1"/>
    <col min="22" max="22" width="1.83203125" customWidth="1"/>
    <col min="23" max="23" width="15.83203125" customWidth="1"/>
    <col min="24" max="24" width="11" customWidth="1"/>
  </cols>
  <sheetData>
    <row r="1" spans="2:29" ht="8" customHeight="1" x14ac:dyDescent="0.2"/>
    <row r="2" spans="2:29" ht="8" customHeight="1" x14ac:dyDescent="0.2"/>
    <row r="5" spans="2:29" ht="26" x14ac:dyDescent="0.3">
      <c r="B5" s="21" t="s">
        <v>331</v>
      </c>
      <c r="C5" s="245" t="s">
        <v>215</v>
      </c>
      <c r="F5" s="667"/>
      <c r="G5" s="667"/>
      <c r="H5" s="671" t="s">
        <v>189</v>
      </c>
      <c r="I5" s="670">
        <f>'Løp 22'!I5+7</f>
        <v>46091</v>
      </c>
    </row>
    <row r="6" spans="2:29" ht="17" thickBot="1" x14ac:dyDescent="0.25">
      <c r="B6" s="15"/>
    </row>
    <row r="7" spans="2:29" ht="59" customHeight="1" thickBot="1" x14ac:dyDescent="0.35">
      <c r="B7" s="12" t="s">
        <v>194</v>
      </c>
      <c r="C7" s="662" t="s">
        <v>57</v>
      </c>
      <c r="D7" s="391" t="s">
        <v>58</v>
      </c>
      <c r="E7" s="663"/>
      <c r="F7" s="663" t="s">
        <v>234</v>
      </c>
      <c r="G7" s="391" t="s">
        <v>280</v>
      </c>
      <c r="H7" s="391" t="s">
        <v>235</v>
      </c>
      <c r="I7" s="391" t="s">
        <v>302</v>
      </c>
      <c r="J7" s="391" t="s">
        <v>303</v>
      </c>
      <c r="K7" s="391" t="s">
        <v>192</v>
      </c>
      <c r="L7" s="194" t="s">
        <v>209</v>
      </c>
      <c r="M7" s="392" t="s">
        <v>55</v>
      </c>
      <c r="N7" s="393" t="s">
        <v>242</v>
      </c>
      <c r="O7" s="393" t="s">
        <v>240</v>
      </c>
      <c r="Q7" s="319"/>
      <c r="R7" s="319"/>
      <c r="S7" s="755" t="str">
        <f>B5</f>
        <v>Løp 23</v>
      </c>
      <c r="T7" s="754" t="str">
        <f>C5</f>
        <v>Brundalen</v>
      </c>
      <c r="U7" s="730"/>
      <c r="V7" s="730"/>
      <c r="W7" s="941"/>
      <c r="X7" s="941"/>
    </row>
    <row r="8" spans="2:29" ht="23" customHeight="1" thickTop="1" thickBot="1" x14ac:dyDescent="0.35">
      <c r="B8" s="22"/>
      <c r="C8" s="394"/>
      <c r="D8" s="395"/>
      <c r="E8" s="597"/>
      <c r="F8" s="668"/>
      <c r="G8" s="668"/>
      <c r="H8" s="664"/>
      <c r="I8" s="789">
        <v>1.8</v>
      </c>
      <c r="J8" s="789">
        <v>2.9</v>
      </c>
      <c r="K8" s="391"/>
      <c r="N8" s="720"/>
      <c r="O8" s="390"/>
      <c r="S8" s="942" t="s">
        <v>312</v>
      </c>
      <c r="T8" s="943"/>
      <c r="U8" s="944"/>
      <c r="V8" s="779"/>
      <c r="W8" s="945" t="s">
        <v>313</v>
      </c>
      <c r="X8" s="940"/>
      <c r="AB8" s="836" t="s">
        <v>361</v>
      </c>
      <c r="AC8" s="827"/>
    </row>
    <row r="9" spans="2:29" ht="21" thickBot="1" x14ac:dyDescent="0.3">
      <c r="B9" s="22"/>
      <c r="C9" s="109"/>
      <c r="D9" s="105"/>
      <c r="E9" s="598"/>
      <c r="F9" s="669"/>
      <c r="G9" s="669"/>
      <c r="H9" s="665"/>
      <c r="I9" s="12"/>
      <c r="J9" s="12"/>
      <c r="K9" s="12"/>
      <c r="N9" s="722"/>
      <c r="O9" s="200"/>
      <c r="Q9" s="110"/>
      <c r="S9" s="731"/>
      <c r="T9" s="727" t="s">
        <v>311</v>
      </c>
      <c r="U9" s="750" t="s">
        <v>55</v>
      </c>
      <c r="V9" s="780"/>
      <c r="W9" s="774"/>
      <c r="X9" s="732" t="s">
        <v>55</v>
      </c>
      <c r="AB9" s="834" t="s">
        <v>234</v>
      </c>
      <c r="AC9" s="835" t="s">
        <v>362</v>
      </c>
    </row>
    <row r="10" spans="2:29" ht="21" thickBot="1" x14ac:dyDescent="0.3">
      <c r="B10" s="16">
        <f t="shared" ref="B10:B73" si="0">B9+1</f>
        <v>1</v>
      </c>
      <c r="C10" s="106" t="s">
        <v>138</v>
      </c>
      <c r="D10" s="107" t="s">
        <v>137</v>
      </c>
      <c r="E10" s="599" t="str">
        <f t="shared" ref="E10:E41" si="1">_xlfn.CONCAT(C10:D10)</f>
        <v>GunnhildOftedal</v>
      </c>
      <c r="F10" s="192">
        <f>YEAR(I$5)-_xlfn.XLOOKUP(E10,Deltakerliste!E$5:E$98,Deltakerliste!I$5:I$98)</f>
        <v>73</v>
      </c>
      <c r="G10" s="192">
        <f>_xlfn.XLOOKUP(E10,Deltakerliste!E$5:E$98,Deltakerliste!H$5:H$98)</f>
        <v>4</v>
      </c>
      <c r="H10" s="592">
        <f>VLOOKUP(F10,Deltakerliste!P$6:T$84,G10,FALSE)</f>
        <v>2.0798000000000014</v>
      </c>
      <c r="I10" s="13"/>
      <c r="J10" s="13">
        <v>1.9363425925925926E-2</v>
      </c>
      <c r="K10" s="13"/>
      <c r="L10" s="600">
        <f t="shared" ref="L10:L51" si="2">IF(OR(I10="Arr",J10="Arr",K10="Arr"),"Arr",IF(OR(I10="Brutt",J10="Brutt",K10="Brutt"),"Brutt",IF(OR(I10="Disk",J10="Disk",K10="Disk"),"Disk",IF(OR(I10="Løype",J10="Løype",K10="Løype"),"Løype",IF(I10&gt;0,I10/I$8,J10/J$8)))))</f>
        <v>6.6770434227330783E-3</v>
      </c>
      <c r="M10" s="594">
        <f>IF(L10="Løype",Poengsammendrag!$F$2,IF(L10="Arr",Poengsammendrag!$F$3,IF(L10="Brutt",50,IF(L10="Disk",50,ROUND(MAXA(100*(MIN(L$10:L$94)/L10),50),0)))))</f>
        <v>78</v>
      </c>
      <c r="N10" s="724">
        <f t="shared" ref="N10:N51" si="3">IF(L10="Arr","Arr",IF(L10="Brutt","Brutt",IF(L10="Disk","Disk",IF(L10="Løype","Løype",L10/H10))))</f>
        <v>3.2104257249413759E-3</v>
      </c>
      <c r="O10" s="596">
        <f>IF(N10="Løype",Poengsammendrag!$F$2,IF(N10="Arr",Poengsammendrag!$F$3,IF(N10="Brutt",50,IF(N10="Disk",50,ROUND(MAXA(100*(MIN(N$10:N$94)/N10),50),0)))))</f>
        <v>100</v>
      </c>
      <c r="Q10" s="672"/>
      <c r="R10" s="672"/>
      <c r="S10" s="802" t="s">
        <v>385</v>
      </c>
      <c r="T10" s="734">
        <v>5.1764048531289918E-3</v>
      </c>
      <c r="U10" s="751">
        <v>100</v>
      </c>
      <c r="V10" s="781"/>
      <c r="W10" s="775" t="s">
        <v>138</v>
      </c>
      <c r="X10" s="739">
        <v>100</v>
      </c>
      <c r="AB10" s="832">
        <v>55</v>
      </c>
      <c r="AC10" s="833">
        <f t="shared" ref="AC10:AC50" si="4">COUNTIFS(F$10:F$97,AB10,M$10:M$97,"&gt;0")</f>
        <v>0</v>
      </c>
    </row>
    <row r="11" spans="2:29" ht="21" customHeight="1" thickBot="1" x14ac:dyDescent="0.3">
      <c r="B11" s="16">
        <f t="shared" si="0"/>
        <v>2</v>
      </c>
      <c r="C11" s="106" t="s">
        <v>126</v>
      </c>
      <c r="D11" s="107" t="s">
        <v>127</v>
      </c>
      <c r="E11" s="599" t="str">
        <f t="shared" si="1"/>
        <v>ArneMikkelsen</v>
      </c>
      <c r="F11" s="192">
        <f>YEAR(I$5)-_xlfn.XLOOKUP(E11,Deltakerliste!E$5:E$98,Deltakerliste!I$5:I$98)</f>
        <v>73</v>
      </c>
      <c r="G11" s="192">
        <f>_xlfn.XLOOKUP(E11,Deltakerliste!E$5:E$98,Deltakerliste!H$5:H$98)</f>
        <v>2</v>
      </c>
      <c r="H11" s="592">
        <f>VLOOKUP(F11,Deltakerliste!P$6:T$84,G11,FALSE)</f>
        <v>1.5329999999999999</v>
      </c>
      <c r="I11" s="13"/>
      <c r="J11" s="13">
        <v>1.5775462962962963E-2</v>
      </c>
      <c r="K11" s="13"/>
      <c r="L11" s="600">
        <f t="shared" si="2"/>
        <v>5.4398148148148149E-3</v>
      </c>
      <c r="M11" s="594">
        <f>IF(L11="Løype",Poengsammendrag!$F$2,IF(L11="Arr",Poengsammendrag!$F$3,IF(L11="Brutt",50,IF(L11="Disk",50,ROUND(MAXA(100*(MIN(L$10:L$94)/L11),50),0)))))</f>
        <v>95</v>
      </c>
      <c r="N11" s="724">
        <f t="shared" si="3"/>
        <v>3.548476721992704E-3</v>
      </c>
      <c r="O11" s="596">
        <f>IF(N11="Løype",Poengsammendrag!$F$2,IF(N11="Arr",Poengsammendrag!$F$3,IF(N11="Brutt",50,IF(N11="Disk",50,ROUND(MAXA(100*(MIN(N$10:N$94)/N11),50),0)))))</f>
        <v>90</v>
      </c>
      <c r="Q11" s="672"/>
      <c r="R11" s="672"/>
      <c r="S11" s="803" t="s">
        <v>368</v>
      </c>
      <c r="T11" s="736">
        <v>5.2083333333333339E-3</v>
      </c>
      <c r="U11" s="752">
        <v>99</v>
      </c>
      <c r="V11" s="781"/>
      <c r="W11" s="776" t="s">
        <v>386</v>
      </c>
      <c r="X11" s="740">
        <v>90</v>
      </c>
      <c r="AB11" s="828">
        <f>AB10+1</f>
        <v>56</v>
      </c>
      <c r="AC11" s="829">
        <f t="shared" si="4"/>
        <v>0</v>
      </c>
    </row>
    <row r="12" spans="2:29" ht="21" customHeight="1" thickBot="1" x14ac:dyDescent="0.3">
      <c r="B12" s="16">
        <f t="shared" si="0"/>
        <v>3</v>
      </c>
      <c r="C12" s="106" t="s">
        <v>64</v>
      </c>
      <c r="D12" s="107" t="s">
        <v>65</v>
      </c>
      <c r="E12" s="599" t="str">
        <f t="shared" si="1"/>
        <v>BjørnBerger</v>
      </c>
      <c r="F12" s="192">
        <f>YEAR(I$5)-_xlfn.XLOOKUP(E12,Deltakerliste!E$5:E$98,Deltakerliste!I$5:I$98)</f>
        <v>75</v>
      </c>
      <c r="G12" s="192">
        <f>_xlfn.XLOOKUP(E12,Deltakerliste!E$5:E$98,Deltakerliste!H$5:H$98)</f>
        <v>2</v>
      </c>
      <c r="H12" s="592">
        <f>VLOOKUP(F12,Deltakerliste!P$6:T$84,G12,FALSE)</f>
        <v>1.605</v>
      </c>
      <c r="I12" s="13"/>
      <c r="J12" s="13">
        <v>1.6747685185185185E-2</v>
      </c>
      <c r="K12" s="19"/>
      <c r="L12" s="600">
        <f t="shared" si="2"/>
        <v>5.7750638569604084E-3</v>
      </c>
      <c r="M12" s="594">
        <f>IF(L12="Løype",Poengsammendrag!$F$2,IF(L12="Arr",Poengsammendrag!$F$3,IF(L12="Brutt",50,IF(L12="Disk",50,ROUND(MAXA(100*(MIN(L$10:L$94)/L12),50),0)))))</f>
        <v>90</v>
      </c>
      <c r="N12" s="724">
        <f t="shared" si="3"/>
        <v>3.5981706273896627E-3</v>
      </c>
      <c r="O12" s="596">
        <f>IF(N12="Løype",Poengsammendrag!$F$2,IF(N12="Arr",Poengsammendrag!$F$3,IF(N12="Brutt",50,IF(N12="Disk",50,ROUND(MAXA(100*(MIN(N$10:N$94)/N12),50),0)))))</f>
        <v>89</v>
      </c>
      <c r="Q12" s="672"/>
      <c r="R12" s="672"/>
      <c r="S12" s="803" t="s">
        <v>386</v>
      </c>
      <c r="T12" s="736">
        <v>5.4398148148148149E-3</v>
      </c>
      <c r="U12" s="752">
        <v>95</v>
      </c>
      <c r="V12" s="781"/>
      <c r="W12" s="776" t="s">
        <v>380</v>
      </c>
      <c r="X12" s="740">
        <v>89</v>
      </c>
      <c r="AB12" s="828">
        <f t="shared" ref="AB12:AB50" si="5">AB11+1</f>
        <v>57</v>
      </c>
      <c r="AC12" s="829">
        <f t="shared" si="4"/>
        <v>0</v>
      </c>
    </row>
    <row r="13" spans="2:29" ht="21" customHeight="1" thickBot="1" x14ac:dyDescent="0.3">
      <c r="B13" s="16">
        <f t="shared" si="0"/>
        <v>4</v>
      </c>
      <c r="C13" s="106" t="s">
        <v>136</v>
      </c>
      <c r="D13" s="107" t="s">
        <v>137</v>
      </c>
      <c r="E13" s="599" t="str">
        <f t="shared" si="1"/>
        <v>HaraldOftedal</v>
      </c>
      <c r="F13" s="192">
        <f>YEAR(I$5)-_xlfn.XLOOKUP(E13,Deltakerliste!E$5:E$98,Deltakerliste!I$5:I$98)</f>
        <v>74</v>
      </c>
      <c r="G13" s="192">
        <f>_xlfn.XLOOKUP(E13,Deltakerliste!E$5:E$98,Deltakerliste!H$5:H$98)</f>
        <v>2</v>
      </c>
      <c r="H13" s="592">
        <f>VLOOKUP(F13,Deltakerliste!P$6:T$84,G13,FALSE)</f>
        <v>1.569</v>
      </c>
      <c r="I13" s="132"/>
      <c r="J13" s="132">
        <v>1.6585648148148148E-2</v>
      </c>
      <c r="K13" s="134"/>
      <c r="L13" s="600">
        <f t="shared" si="2"/>
        <v>5.7191890166028098E-3</v>
      </c>
      <c r="M13" s="594">
        <f>IF(L13="Løype",Poengsammendrag!$F$2,IF(L13="Arr",Poengsammendrag!$F$3,IF(L13="Brutt",50,IF(L13="Disk",50,ROUND(MAXA(100*(MIN(L$10:L$94)/L13),50),0)))))</f>
        <v>91</v>
      </c>
      <c r="N13" s="724">
        <f t="shared" si="3"/>
        <v>3.6451172827296429E-3</v>
      </c>
      <c r="O13" s="596">
        <f>IF(N13="Løype",Poengsammendrag!$F$2,IF(N13="Arr",Poengsammendrag!$F$3,IF(N13="Brutt",50,IF(N13="Disk",50,ROUND(MAXA(100*(MIN(N$10:N$94)/N13),50),0)))))</f>
        <v>88</v>
      </c>
      <c r="Q13" s="672"/>
      <c r="R13" s="672"/>
      <c r="S13" s="803" t="s">
        <v>120</v>
      </c>
      <c r="T13" s="736">
        <v>5.5795019157088123E-3</v>
      </c>
      <c r="U13" s="752">
        <v>93</v>
      </c>
      <c r="V13" s="781"/>
      <c r="W13" s="776" t="s">
        <v>136</v>
      </c>
      <c r="X13" s="740">
        <v>88</v>
      </c>
      <c r="AB13" s="828">
        <f t="shared" si="5"/>
        <v>58</v>
      </c>
      <c r="AC13" s="829">
        <f t="shared" si="4"/>
        <v>0</v>
      </c>
    </row>
    <row r="14" spans="2:29" ht="21" customHeight="1" thickBot="1" x14ac:dyDescent="0.3">
      <c r="B14" s="16">
        <f t="shared" si="0"/>
        <v>5</v>
      </c>
      <c r="C14" s="106" t="s">
        <v>116</v>
      </c>
      <c r="D14" s="107" t="s">
        <v>165</v>
      </c>
      <c r="E14" s="599" t="str">
        <f t="shared" si="1"/>
        <v>AndersWaage</v>
      </c>
      <c r="F14" s="192">
        <f>YEAR(I$5)-_xlfn.XLOOKUP(E14,Deltakerliste!E$5:E$98,Deltakerliste!I$5:I$98)</f>
        <v>78</v>
      </c>
      <c r="G14" s="192">
        <f>_xlfn.XLOOKUP(E14,Deltakerliste!E$5:E$98,Deltakerliste!H$5:H$98)</f>
        <v>2</v>
      </c>
      <c r="H14" s="592">
        <f>VLOOKUP(F14,Deltakerliste!P$6:T$84,G14,FALSE)</f>
        <v>1.7550000000000001</v>
      </c>
      <c r="I14" s="18"/>
      <c r="J14" s="132">
        <v>1.8599537037037036E-2</v>
      </c>
      <c r="K14" s="18"/>
      <c r="L14" s="600">
        <f t="shared" si="2"/>
        <v>6.4136334610472544E-3</v>
      </c>
      <c r="M14" s="594">
        <f>IF(L14="Løype",Poengsammendrag!$F$2,IF(L14="Arr",Poengsammendrag!$F$3,IF(L14="Brutt",50,IF(L14="Disk",50,ROUND(MAXA(100*(MIN(L$10:L$94)/L14),50),0)))))</f>
        <v>81</v>
      </c>
      <c r="N14" s="724">
        <f t="shared" si="3"/>
        <v>3.6544920005967259E-3</v>
      </c>
      <c r="O14" s="596">
        <f>IF(N14="Løype",Poengsammendrag!$F$2,IF(N14="Arr",Poengsammendrag!$F$3,IF(N14="Brutt",50,IF(N14="Disk",50,ROUND(MAXA(100*(MIN(N$10:N$94)/N14),50),0)))))</f>
        <v>88</v>
      </c>
      <c r="Q14" s="672"/>
      <c r="R14" s="672"/>
      <c r="S14" s="803" t="s">
        <v>136</v>
      </c>
      <c r="T14" s="736">
        <v>5.7191890166028098E-3</v>
      </c>
      <c r="U14" s="752">
        <v>91</v>
      </c>
      <c r="V14" s="781"/>
      <c r="W14" s="776" t="s">
        <v>314</v>
      </c>
      <c r="X14" s="740">
        <v>88</v>
      </c>
      <c r="AB14" s="828">
        <f t="shared" si="5"/>
        <v>59</v>
      </c>
      <c r="AC14" s="829">
        <f t="shared" si="4"/>
        <v>0</v>
      </c>
    </row>
    <row r="15" spans="2:29" ht="21" customHeight="1" thickBot="1" x14ac:dyDescent="0.3">
      <c r="B15" s="16">
        <f t="shared" si="0"/>
        <v>6</v>
      </c>
      <c r="C15" s="106" t="s">
        <v>364</v>
      </c>
      <c r="D15" s="107" t="s">
        <v>365</v>
      </c>
      <c r="E15" s="599" t="str">
        <f t="shared" si="1"/>
        <v>GerdBjørset</v>
      </c>
      <c r="F15" s="192">
        <f>YEAR(I$5)-_xlfn.XLOOKUP(E15,Deltakerliste!E$5:E$98,Deltakerliste!I$5:I$98)</f>
        <v>72</v>
      </c>
      <c r="G15" s="192">
        <f>_xlfn.XLOOKUP(E15,Deltakerliste!E$5:E$98,Deltakerliste!H$5:H$98)</f>
        <v>4</v>
      </c>
      <c r="H15" s="592">
        <f>VLOOKUP(F15,Deltakerliste!P$6:T$84,G15,FALSE)</f>
        <v>2.0362000000000013</v>
      </c>
      <c r="I15" s="13"/>
      <c r="J15" s="13">
        <v>2.1770833333333333E-2</v>
      </c>
      <c r="K15" s="13"/>
      <c r="L15" s="600">
        <f t="shared" si="2"/>
        <v>7.5071839080459776E-3</v>
      </c>
      <c r="M15" s="594">
        <f>IF(L15="Løype",Poengsammendrag!$F$2,IF(L15="Arr",Poengsammendrag!$F$3,IF(L15="Brutt",50,IF(L15="Disk",50,ROUND(MAXA(100*(MIN(L$10:L$94)/L15),50),0)))))</f>
        <v>69</v>
      </c>
      <c r="N15" s="724">
        <f t="shared" si="3"/>
        <v>3.6868597917915592E-3</v>
      </c>
      <c r="O15" s="596">
        <f>IF(N15="Løype",Poengsammendrag!$F$2,IF(N15="Arr",Poengsammendrag!$F$3,IF(N15="Brutt",50,IF(N15="Disk",50,ROUND(MAXA(100*(MIN(N$10:N$94)/N15),50),0)))))</f>
        <v>87</v>
      </c>
      <c r="Q15" s="672"/>
      <c r="R15" s="672"/>
      <c r="S15" s="803" t="s">
        <v>380</v>
      </c>
      <c r="T15" s="736">
        <v>5.7750638569604084E-3</v>
      </c>
      <c r="U15" s="752">
        <v>90</v>
      </c>
      <c r="V15" s="781"/>
      <c r="W15" s="776" t="s">
        <v>364</v>
      </c>
      <c r="X15" s="740">
        <v>87</v>
      </c>
      <c r="AB15" s="828">
        <f t="shared" si="5"/>
        <v>60</v>
      </c>
      <c r="AC15" s="829">
        <f t="shared" si="4"/>
        <v>2</v>
      </c>
    </row>
    <row r="16" spans="2:29" ht="21" customHeight="1" thickBot="1" x14ac:dyDescent="0.3">
      <c r="B16" s="16">
        <f t="shared" si="0"/>
        <v>7</v>
      </c>
      <c r="C16" s="106" t="s">
        <v>149</v>
      </c>
      <c r="D16" s="107" t="s">
        <v>150</v>
      </c>
      <c r="E16" s="599" t="str">
        <f t="shared" si="1"/>
        <v>BenteSkorge</v>
      </c>
      <c r="F16" s="192">
        <f>YEAR(I$5)-_xlfn.XLOOKUP(E16,Deltakerliste!E$5:E$98,Deltakerliste!I$5:I$98)</f>
        <v>67</v>
      </c>
      <c r="G16" s="192">
        <f>_xlfn.XLOOKUP(E16,Deltakerliste!E$5:E$98,Deltakerliste!H$5:H$98)</f>
        <v>4</v>
      </c>
      <c r="H16" s="592">
        <f>VLOOKUP(F16,Deltakerliste!P$6:T$84,G16,FALSE)</f>
        <v>1.8422000000000009</v>
      </c>
      <c r="I16" s="132"/>
      <c r="J16" s="132">
        <v>1.9884259259259258E-2</v>
      </c>
      <c r="K16" s="18"/>
      <c r="L16" s="600">
        <f t="shared" si="2"/>
        <v>6.8566411238825025E-3</v>
      </c>
      <c r="M16" s="594">
        <f>IF(L16="Løype",Poengsammendrag!$F$2,IF(L16="Arr",Poengsammendrag!$F$3,IF(L16="Brutt",50,IF(L16="Disk",50,ROUND(MAXA(100*(MIN(L$10:L$94)/L16),50),0)))))</f>
        <v>75</v>
      </c>
      <c r="N16" s="724">
        <f t="shared" si="3"/>
        <v>3.7219851937262505E-3</v>
      </c>
      <c r="O16" s="596">
        <f>IF(N16="Løype",Poengsammendrag!$F$2,IF(N16="Arr",Poengsammendrag!$F$3,IF(N16="Brutt",50,IF(N16="Disk",50,ROUND(MAXA(100*(MIN(N$10:N$94)/N16),50),0)))))</f>
        <v>86</v>
      </c>
      <c r="Q16" s="672"/>
      <c r="R16" s="672"/>
      <c r="S16" s="803" t="s">
        <v>377</v>
      </c>
      <c r="T16" s="736">
        <v>6.1342592592592594E-3</v>
      </c>
      <c r="U16" s="752">
        <v>84</v>
      </c>
      <c r="V16" s="781"/>
      <c r="W16" s="776" t="s">
        <v>149</v>
      </c>
      <c r="X16" s="740">
        <v>86</v>
      </c>
      <c r="AB16" s="828">
        <f t="shared" si="5"/>
        <v>61</v>
      </c>
      <c r="AC16" s="829">
        <f t="shared" si="4"/>
        <v>1</v>
      </c>
    </row>
    <row r="17" spans="2:29" ht="21" customHeight="1" thickBot="1" x14ac:dyDescent="0.3">
      <c r="B17" s="16">
        <f t="shared" si="0"/>
        <v>8</v>
      </c>
      <c r="C17" s="106" t="s">
        <v>120</v>
      </c>
      <c r="D17" s="107" t="s">
        <v>121</v>
      </c>
      <c r="E17" s="599" t="str">
        <f t="shared" si="1"/>
        <v>KlausLivik</v>
      </c>
      <c r="F17" s="192">
        <f>YEAR(I$5)-_xlfn.XLOOKUP(E17,Deltakerliste!E$5:E$98,Deltakerliste!I$5:I$98)</f>
        <v>72</v>
      </c>
      <c r="G17" s="192">
        <f>_xlfn.XLOOKUP(E17,Deltakerliste!E$5:E$98,Deltakerliste!H$5:H$98)</f>
        <v>2</v>
      </c>
      <c r="H17" s="592">
        <f>VLOOKUP(F17,Deltakerliste!P$6:T$84,G17,FALSE)</f>
        <v>1.4969999999999999</v>
      </c>
      <c r="I17" s="13"/>
      <c r="J17" s="13">
        <v>1.6180555555555556E-2</v>
      </c>
      <c r="K17" s="17"/>
      <c r="L17" s="600">
        <f t="shared" si="2"/>
        <v>5.5795019157088123E-3</v>
      </c>
      <c r="M17" s="594">
        <f>IF(L17="Løype",Poengsammendrag!$F$2,IF(L17="Arr",Poengsammendrag!$F$3,IF(L17="Brutt",50,IF(L17="Disk",50,ROUND(MAXA(100*(MIN(L$10:L$94)/L17),50),0)))))</f>
        <v>93</v>
      </c>
      <c r="N17" s="724">
        <f t="shared" si="3"/>
        <v>3.7271221881822396E-3</v>
      </c>
      <c r="O17" s="596">
        <f>IF(N17="Løype",Poengsammendrag!$F$2,IF(N17="Arr",Poengsammendrag!$F$3,IF(N17="Brutt",50,IF(N17="Disk",50,ROUND(MAXA(100*(MIN(N$10:N$94)/N17),50),0)))))</f>
        <v>86</v>
      </c>
      <c r="Q17" s="672"/>
      <c r="R17" s="672"/>
      <c r="S17" s="803" t="s">
        <v>163</v>
      </c>
      <c r="T17" s="736">
        <v>6.3976692209450833E-3</v>
      </c>
      <c r="U17" s="752">
        <v>81</v>
      </c>
      <c r="V17" s="781"/>
      <c r="W17" s="776" t="s">
        <v>120</v>
      </c>
      <c r="X17" s="740">
        <v>86</v>
      </c>
      <c r="AB17" s="828">
        <f t="shared" si="5"/>
        <v>62</v>
      </c>
      <c r="AC17" s="829">
        <f t="shared" si="4"/>
        <v>0</v>
      </c>
    </row>
    <row r="18" spans="2:29" ht="21" customHeight="1" thickBot="1" x14ac:dyDescent="0.3">
      <c r="B18" s="16">
        <f t="shared" si="0"/>
        <v>9</v>
      </c>
      <c r="C18" s="106" t="s">
        <v>377</v>
      </c>
      <c r="D18" s="107" t="s">
        <v>83</v>
      </c>
      <c r="E18" s="599" t="str">
        <f t="shared" si="1"/>
        <v>HildeForbord</v>
      </c>
      <c r="F18" s="192">
        <f>YEAR(I$5)-_xlfn.XLOOKUP(E18,Deltakerliste!E$5:E$98,Deltakerliste!I$5:I$98)</f>
        <v>60</v>
      </c>
      <c r="G18" s="192">
        <f>_xlfn.XLOOKUP(E18,Deltakerliste!E$5:E$98,Deltakerliste!H$5:H$98)</f>
        <v>4</v>
      </c>
      <c r="H18" s="592">
        <f>VLOOKUP(F18,Deltakerliste!P$6:T$84,G18,FALSE)</f>
        <v>1.6250000000000002</v>
      </c>
      <c r="I18" s="14"/>
      <c r="J18" s="14">
        <v>1.7789351851851851E-2</v>
      </c>
      <c r="K18" s="13"/>
      <c r="L18" s="600">
        <f t="shared" si="2"/>
        <v>6.1342592592592594E-3</v>
      </c>
      <c r="M18" s="594">
        <f>IF(L18="Løype",Poengsammendrag!$F$2,IF(L18="Arr",Poengsammendrag!$F$3,IF(L18="Brutt",50,IF(L18="Disk",50,ROUND(MAXA(100*(MIN(L$10:L$94)/L18),50),0)))))</f>
        <v>84</v>
      </c>
      <c r="N18" s="724">
        <f t="shared" si="3"/>
        <v>3.7749287749287747E-3</v>
      </c>
      <c r="O18" s="596">
        <f>IF(N18="Løype",Poengsammendrag!$F$2,IF(N18="Arr",Poengsammendrag!$F$3,IF(N18="Brutt",50,IF(N18="Disk",50,ROUND(MAXA(100*(MIN(N$10:N$94)/N18),50),0)))))</f>
        <v>85</v>
      </c>
      <c r="Q18" s="672"/>
      <c r="R18" s="672"/>
      <c r="S18" s="803" t="s">
        <v>314</v>
      </c>
      <c r="T18" s="736">
        <v>6.4136334610472544E-3</v>
      </c>
      <c r="U18" s="752">
        <v>81</v>
      </c>
      <c r="V18" s="781"/>
      <c r="W18" s="776" t="s">
        <v>377</v>
      </c>
      <c r="X18" s="740">
        <v>85</v>
      </c>
      <c r="AB18" s="828">
        <f t="shared" si="5"/>
        <v>63</v>
      </c>
      <c r="AC18" s="829">
        <f t="shared" si="4"/>
        <v>0</v>
      </c>
    </row>
    <row r="19" spans="2:29" ht="21" thickBot="1" x14ac:dyDescent="0.3">
      <c r="B19" s="16">
        <f t="shared" si="0"/>
        <v>10</v>
      </c>
      <c r="C19" s="106" t="s">
        <v>124</v>
      </c>
      <c r="D19" s="107" t="s">
        <v>125</v>
      </c>
      <c r="E19" s="599" t="str">
        <f t="shared" si="1"/>
        <v>Heidi Midttun</v>
      </c>
      <c r="F19" s="192">
        <f>YEAR(I$5)-_xlfn.XLOOKUP(E19,Deltakerliste!E$5:E$98,Deltakerliste!I$5:I$98)</f>
        <v>71</v>
      </c>
      <c r="G19" s="192">
        <f>_xlfn.XLOOKUP(E19,Deltakerliste!E$5:E$98,Deltakerliste!H$5:H$98)</f>
        <v>4</v>
      </c>
      <c r="H19" s="592">
        <f>VLOOKUP(F19,Deltakerliste!P$6:T$84,G19,FALSE)</f>
        <v>1.9926000000000013</v>
      </c>
      <c r="I19" s="13"/>
      <c r="J19" s="13">
        <v>2.2777777777777779E-2</v>
      </c>
      <c r="K19" s="13"/>
      <c r="L19" s="600">
        <f t="shared" si="2"/>
        <v>7.8544061302682003E-3</v>
      </c>
      <c r="M19" s="594">
        <f>IF(L19="Løype",Poengsammendrag!$F$2,IF(L19="Arr",Poengsammendrag!$F$3,IF(L19="Brutt",50,IF(L19="Disk",50,ROUND(MAXA(100*(MIN(L$10:L$94)/L19),50),0)))))</f>
        <v>66</v>
      </c>
      <c r="N19" s="724">
        <f t="shared" si="3"/>
        <v>3.9417876795484266E-3</v>
      </c>
      <c r="O19" s="596">
        <f>IF(N19="Løype",Poengsammendrag!$F$2,IF(N19="Arr",Poengsammendrag!$F$3,IF(N19="Brutt",50,IF(N19="Disk",50,ROUND(MAXA(100*(MIN(N$10:N$94)/N19),50),0)))))</f>
        <v>81</v>
      </c>
      <c r="Q19" s="672"/>
      <c r="R19" s="672"/>
      <c r="S19" s="803" t="s">
        <v>346</v>
      </c>
      <c r="T19" s="736">
        <v>6.4415708812260537E-3</v>
      </c>
      <c r="U19" s="752">
        <v>80</v>
      </c>
      <c r="V19" s="781"/>
      <c r="W19" s="776" t="s">
        <v>124</v>
      </c>
      <c r="X19" s="740">
        <v>81</v>
      </c>
      <c r="AB19" s="828">
        <f t="shared" si="5"/>
        <v>64</v>
      </c>
      <c r="AC19" s="829">
        <f t="shared" si="4"/>
        <v>0</v>
      </c>
    </row>
    <row r="20" spans="2:29" ht="21" thickBot="1" x14ac:dyDescent="0.3">
      <c r="B20" s="16">
        <f t="shared" si="0"/>
        <v>11</v>
      </c>
      <c r="C20" s="106" t="s">
        <v>88</v>
      </c>
      <c r="D20" s="107" t="s">
        <v>89</v>
      </c>
      <c r="E20" s="599" t="str">
        <f t="shared" si="1"/>
        <v>EdgarFuruholt</v>
      </c>
      <c r="F20" s="192">
        <f>YEAR(I$5)-_xlfn.XLOOKUP(E20,Deltakerliste!E$5:E$98,Deltakerliste!I$5:I$98)</f>
        <v>79</v>
      </c>
      <c r="G20" s="192">
        <f>_xlfn.XLOOKUP(E20,Deltakerliste!E$5:E$98,Deltakerliste!H$5:H$98)</f>
        <v>2</v>
      </c>
      <c r="H20" s="592">
        <f>VLOOKUP(F20,Deltakerliste!P$6:T$84,G20,FALSE)</f>
        <v>1.8050000000000002</v>
      </c>
      <c r="I20" s="132"/>
      <c r="J20" s="132">
        <v>2.0682870370370369E-2</v>
      </c>
      <c r="K20" s="18"/>
      <c r="L20" s="600">
        <f t="shared" si="2"/>
        <v>7.1320242656449546E-3</v>
      </c>
      <c r="M20" s="594">
        <f>IF(L20="Løype",Poengsammendrag!$F$2,IF(L20="Arr",Poengsammendrag!$F$3,IF(L20="Brutt",50,IF(L20="Disk",50,ROUND(MAXA(100*(MIN(L$10:L$94)/L20),50),0)))))</f>
        <v>73</v>
      </c>
      <c r="N20" s="724">
        <f t="shared" si="3"/>
        <v>3.9512599809667336E-3</v>
      </c>
      <c r="O20" s="596">
        <f>IF(N20="Løype",Poengsammendrag!$F$2,IF(N20="Arr",Poengsammendrag!$F$3,IF(N20="Brutt",50,IF(N20="Disk",50,ROUND(MAXA(100*(MIN(N$10:N$94)/N20),50),0)))))</f>
        <v>81</v>
      </c>
      <c r="Q20" s="672"/>
      <c r="R20" s="672"/>
      <c r="S20" s="803" t="s">
        <v>138</v>
      </c>
      <c r="T20" s="736">
        <v>6.6770434227330783E-3</v>
      </c>
      <c r="U20" s="752">
        <v>78</v>
      </c>
      <c r="V20" s="781"/>
      <c r="W20" s="776" t="s">
        <v>88</v>
      </c>
      <c r="X20" s="740">
        <v>81</v>
      </c>
      <c r="AB20" s="828">
        <f t="shared" si="5"/>
        <v>65</v>
      </c>
      <c r="AC20" s="829">
        <f t="shared" si="4"/>
        <v>0</v>
      </c>
    </row>
    <row r="21" spans="2:29" ht="21" customHeight="1" thickBot="1" x14ac:dyDescent="0.3">
      <c r="B21" s="16">
        <f t="shared" si="0"/>
        <v>12</v>
      </c>
      <c r="C21" s="106" t="s">
        <v>159</v>
      </c>
      <c r="D21" s="107" t="s">
        <v>160</v>
      </c>
      <c r="E21" s="599" t="str">
        <f t="shared" si="1"/>
        <v>EigilSørli</v>
      </c>
      <c r="F21" s="192">
        <f>YEAR(I$5)-_xlfn.XLOOKUP(E21,Deltakerliste!E$5:E$98,Deltakerliste!I$5:I$98)</f>
        <v>86</v>
      </c>
      <c r="G21" s="192">
        <f>_xlfn.XLOOKUP(E21,Deltakerliste!E$5:E$98,Deltakerliste!H$5:H$98)</f>
        <v>2</v>
      </c>
      <c r="H21" s="592">
        <f>VLOOKUP(F21,Deltakerliste!P$6:T$84,G21,FALSE)</f>
        <v>2.3089999999999997</v>
      </c>
      <c r="I21" s="132">
        <v>1.7083333333333332E-2</v>
      </c>
      <c r="J21" s="18"/>
      <c r="K21" s="18"/>
      <c r="L21" s="600">
        <f t="shared" si="2"/>
        <v>9.4907407407407406E-3</v>
      </c>
      <c r="M21" s="594">
        <f>IF(L21="Løype",Poengsammendrag!$F$2,IF(L21="Arr",Poengsammendrag!$F$3,IF(L21="Brutt",50,IF(L21="Disk",50,ROUND(MAXA(100*(MIN(L$10:L$94)/L21),50),0)))))</f>
        <v>55</v>
      </c>
      <c r="N21" s="724">
        <f t="shared" si="3"/>
        <v>4.1103251367434999E-3</v>
      </c>
      <c r="O21" s="596">
        <f>IF(N21="Løype",Poengsammendrag!$F$2,IF(N21="Arr",Poengsammendrag!$F$3,IF(N21="Brutt",50,IF(N21="Disk",50,ROUND(MAXA(100*(MIN(N$10:N$94)/N21),50),0)))))</f>
        <v>78</v>
      </c>
      <c r="Q21" s="672"/>
      <c r="R21" s="672"/>
      <c r="S21" s="803" t="s">
        <v>168</v>
      </c>
      <c r="T21" s="736">
        <v>6.8526500638569606E-3</v>
      </c>
      <c r="U21" s="752">
        <v>76</v>
      </c>
      <c r="V21" s="781"/>
      <c r="W21" s="776" t="s">
        <v>357</v>
      </c>
      <c r="X21" s="740">
        <v>78</v>
      </c>
      <c r="AB21" s="828">
        <f t="shared" si="5"/>
        <v>66</v>
      </c>
      <c r="AC21" s="829">
        <f t="shared" si="4"/>
        <v>0</v>
      </c>
    </row>
    <row r="22" spans="2:29" ht="21" customHeight="1" thickBot="1" x14ac:dyDescent="0.3">
      <c r="B22" s="16">
        <f t="shared" si="0"/>
        <v>13</v>
      </c>
      <c r="C22" s="106" t="s">
        <v>106</v>
      </c>
      <c r="D22" s="107" t="s">
        <v>107</v>
      </c>
      <c r="E22" s="599" t="str">
        <f t="shared" si="1"/>
        <v>Jon ArneKlemetsaune</v>
      </c>
      <c r="F22" s="192">
        <f>YEAR(I$5)-_xlfn.XLOOKUP(E22,Deltakerliste!E$5:E$98,Deltakerliste!I$5:I$98)</f>
        <v>77</v>
      </c>
      <c r="G22" s="192">
        <f>_xlfn.XLOOKUP(E22,Deltakerliste!E$5:E$98,Deltakerliste!H$5:H$98)</f>
        <v>2</v>
      </c>
      <c r="H22" s="592">
        <f>VLOOKUP(F22,Deltakerliste!P$6:T$84,G22,FALSE)</f>
        <v>1.7050000000000001</v>
      </c>
      <c r="I22" s="86"/>
      <c r="J22" s="86">
        <v>2.0462962962962964E-2</v>
      </c>
      <c r="K22" s="17"/>
      <c r="L22" s="600">
        <f t="shared" si="2"/>
        <v>7.0561941251596431E-3</v>
      </c>
      <c r="M22" s="594">
        <f>IF(L22="Løype",Poengsammendrag!$F$2,IF(L22="Arr",Poengsammendrag!$F$3,IF(L22="Brutt",50,IF(L22="Disk",50,ROUND(MAXA(100*(MIN(L$10:L$94)/L22),50),0)))))</f>
        <v>73</v>
      </c>
      <c r="N22" s="724">
        <f t="shared" si="3"/>
        <v>4.1385302786860071E-3</v>
      </c>
      <c r="O22" s="596">
        <f>IF(N22="Løype",Poengsammendrag!$F$2,IF(N22="Arr",Poengsammendrag!$F$3,IF(N22="Brutt",50,IF(N22="Disk",50,ROUND(MAXA(100*(MIN(N$10:N$94)/N22),50),0)))))</f>
        <v>78</v>
      </c>
      <c r="Q22" s="672"/>
      <c r="R22" s="672"/>
      <c r="S22" s="803" t="s">
        <v>149</v>
      </c>
      <c r="T22" s="736">
        <v>6.8566411238825025E-3</v>
      </c>
      <c r="U22" s="752">
        <v>75</v>
      </c>
      <c r="V22" s="781"/>
      <c r="W22" s="776" t="s">
        <v>106</v>
      </c>
      <c r="X22" s="740">
        <v>78</v>
      </c>
      <c r="AB22" s="828">
        <f t="shared" si="5"/>
        <v>67</v>
      </c>
      <c r="AC22" s="829">
        <f t="shared" si="4"/>
        <v>2</v>
      </c>
    </row>
    <row r="23" spans="2:29" ht="21" customHeight="1" thickBot="1" x14ac:dyDescent="0.3">
      <c r="B23" s="16">
        <f t="shared" si="0"/>
        <v>14</v>
      </c>
      <c r="C23" s="106" t="s">
        <v>163</v>
      </c>
      <c r="D23" s="107" t="s">
        <v>164</v>
      </c>
      <c r="E23" s="599" t="str">
        <f t="shared" si="1"/>
        <v>ArnulfVilmo</v>
      </c>
      <c r="F23" s="192">
        <f>YEAR(I$5)-_xlfn.XLOOKUP(E23,Deltakerliste!E$5:E$98,Deltakerliste!I$5:I$98)</f>
        <v>73</v>
      </c>
      <c r="G23" s="192">
        <f>_xlfn.XLOOKUP(E23,Deltakerliste!E$5:E$98,Deltakerliste!H$5:H$98)</f>
        <v>2</v>
      </c>
      <c r="H23" s="592">
        <f>VLOOKUP(F23,Deltakerliste!P$6:T$84,G23,FALSE)</f>
        <v>1.5329999999999999</v>
      </c>
      <c r="I23" s="132"/>
      <c r="J23" s="132">
        <v>1.8553240740740742E-2</v>
      </c>
      <c r="K23" s="18"/>
      <c r="L23" s="600">
        <f t="shared" si="2"/>
        <v>6.3976692209450833E-3</v>
      </c>
      <c r="M23" s="594">
        <f>IF(L23="Løype",Poengsammendrag!$F$2,IF(L23="Arr",Poengsammendrag!$F$3,IF(L23="Brutt",50,IF(L23="Disk",50,ROUND(MAXA(100*(MIN(L$10:L$94)/L23),50),0)))))</f>
        <v>81</v>
      </c>
      <c r="N23" s="724">
        <f t="shared" si="3"/>
        <v>4.173300209357524E-3</v>
      </c>
      <c r="O23" s="596">
        <f>IF(N23="Løype",Poengsammendrag!$F$2,IF(N23="Arr",Poengsammendrag!$F$3,IF(N23="Brutt",50,IF(N23="Disk",50,ROUND(MAXA(100*(MIN(N$10:N$94)/N23),50),0)))))</f>
        <v>77</v>
      </c>
      <c r="Q23" s="672"/>
      <c r="R23" s="672"/>
      <c r="S23" s="803" t="s">
        <v>101</v>
      </c>
      <c r="T23" s="736">
        <v>6.976372924648787E-3</v>
      </c>
      <c r="U23" s="752">
        <v>74</v>
      </c>
      <c r="V23" s="781"/>
      <c r="W23" s="776" t="s">
        <v>163</v>
      </c>
      <c r="X23" s="740">
        <v>77</v>
      </c>
      <c r="AB23" s="828">
        <f t="shared" si="5"/>
        <v>68</v>
      </c>
      <c r="AC23" s="829">
        <f t="shared" si="4"/>
        <v>1</v>
      </c>
    </row>
    <row r="24" spans="2:29" ht="21" thickBot="1" x14ac:dyDescent="0.3">
      <c r="B24" s="16">
        <f t="shared" si="0"/>
        <v>15</v>
      </c>
      <c r="C24" s="106" t="s">
        <v>126</v>
      </c>
      <c r="D24" s="107" t="s">
        <v>383</v>
      </c>
      <c r="E24" s="599" t="str">
        <f t="shared" si="1"/>
        <v>ArneHelland</v>
      </c>
      <c r="F24" s="192">
        <f>YEAR(I$5)-_xlfn.XLOOKUP(E24,Deltakerliste!E$5:E$98,Deltakerliste!I$5:I$98)</f>
        <v>61</v>
      </c>
      <c r="G24" s="192">
        <f>_xlfn.XLOOKUP(E24,Deltakerliste!E$5:E$98,Deltakerliste!H$5:H$98)</f>
        <v>2</v>
      </c>
      <c r="H24" s="592">
        <f>VLOOKUP(F24,Deltakerliste!P$6:T$84,G24,FALSE)</f>
        <v>1.2190000000000001</v>
      </c>
      <c r="I24" s="86"/>
      <c r="J24" s="86">
        <v>1.5011574074074075E-2</v>
      </c>
      <c r="K24" s="17"/>
      <c r="L24" s="600">
        <f t="shared" si="2"/>
        <v>5.1764048531289918E-3</v>
      </c>
      <c r="M24" s="594">
        <f>IF(L24="Løype",Poengsammendrag!$F$2,IF(L24="Arr",Poengsammendrag!$F$3,IF(L24="Brutt",50,IF(L24="Disk",50,ROUND(MAXA(100*(MIN(L$10:L$94)/L24),50),0)))))</f>
        <v>100</v>
      </c>
      <c r="N24" s="724">
        <f t="shared" si="3"/>
        <v>4.2464354824684096E-3</v>
      </c>
      <c r="O24" s="596">
        <f>IF(N24="Løype",Poengsammendrag!$F$2,IF(N24="Arr",Poengsammendrag!$F$3,IF(N24="Brutt",50,IF(N24="Disk",50,ROUND(MAXA(100*(MIN(N$10:N$94)/N24),50),0)))))</f>
        <v>76</v>
      </c>
      <c r="Q24" s="672"/>
      <c r="R24" s="672"/>
      <c r="S24" s="803" t="s">
        <v>106</v>
      </c>
      <c r="T24" s="736">
        <v>7.0561941251596431E-3</v>
      </c>
      <c r="U24" s="752">
        <v>73</v>
      </c>
      <c r="V24" s="781"/>
      <c r="W24" s="776" t="s">
        <v>385</v>
      </c>
      <c r="X24" s="740">
        <v>76</v>
      </c>
      <c r="AB24" s="828">
        <f t="shared" si="5"/>
        <v>69</v>
      </c>
      <c r="AC24" s="829">
        <f t="shared" si="4"/>
        <v>1</v>
      </c>
    </row>
    <row r="25" spans="2:29" ht="21" thickBot="1" x14ac:dyDescent="0.3">
      <c r="B25" s="16">
        <f t="shared" si="0"/>
        <v>16</v>
      </c>
      <c r="C25" s="106" t="s">
        <v>168</v>
      </c>
      <c r="D25" s="107" t="s">
        <v>169</v>
      </c>
      <c r="E25" s="599" t="str">
        <f t="shared" si="1"/>
        <v>SteinØvstedal</v>
      </c>
      <c r="F25" s="192">
        <f>YEAR(I$5)-_xlfn.XLOOKUP(E25,Deltakerliste!E$5:E$98,Deltakerliste!I$5:I$98)</f>
        <v>75</v>
      </c>
      <c r="G25" s="192">
        <f>_xlfn.XLOOKUP(E25,Deltakerliste!E$5:E$98,Deltakerliste!H$5:H$98)</f>
        <v>2</v>
      </c>
      <c r="H25" s="592">
        <f>VLOOKUP(F25,Deltakerliste!P$6:T$84,G25,FALSE)</f>
        <v>1.605</v>
      </c>
      <c r="I25" s="132"/>
      <c r="J25" s="132">
        <v>1.9872685185185184E-2</v>
      </c>
      <c r="K25" s="18"/>
      <c r="L25" s="600">
        <f t="shared" si="2"/>
        <v>6.8526500638569606E-3</v>
      </c>
      <c r="M25" s="594">
        <f>IF(L25="Løype",Poengsammendrag!$F$2,IF(L25="Arr",Poengsammendrag!$F$3,IF(L25="Brutt",50,IF(L25="Disk",50,ROUND(MAXA(100*(MIN(L$10:L$94)/L25),50),0)))))</f>
        <v>76</v>
      </c>
      <c r="N25" s="724">
        <f t="shared" si="3"/>
        <v>4.2695639027146171E-3</v>
      </c>
      <c r="O25" s="596">
        <f>IF(N25="Løype",Poengsammendrag!$F$2,IF(N25="Arr",Poengsammendrag!$F$3,IF(N25="Brutt",50,IF(N25="Disk",50,ROUND(MAXA(100*(MIN(N$10:N$94)/N25),50),0)))))</f>
        <v>75</v>
      </c>
      <c r="Q25" s="672"/>
      <c r="R25" s="672"/>
      <c r="S25" s="803" t="s">
        <v>340</v>
      </c>
      <c r="T25" s="736">
        <v>7.1040868454661553E-3</v>
      </c>
      <c r="U25" s="752">
        <v>73</v>
      </c>
      <c r="V25" s="781"/>
      <c r="W25" s="776" t="s">
        <v>168</v>
      </c>
      <c r="X25" s="740">
        <v>75</v>
      </c>
      <c r="AB25" s="828">
        <f t="shared" si="5"/>
        <v>70</v>
      </c>
      <c r="AC25" s="829">
        <f t="shared" si="4"/>
        <v>0</v>
      </c>
    </row>
    <row r="26" spans="2:29" ht="21" customHeight="1" thickBot="1" x14ac:dyDescent="0.3">
      <c r="B26" s="16">
        <f t="shared" si="0"/>
        <v>17</v>
      </c>
      <c r="C26" s="106" t="s">
        <v>114</v>
      </c>
      <c r="D26" s="107" t="s">
        <v>115</v>
      </c>
      <c r="E26" s="599" t="str">
        <f t="shared" si="1"/>
        <v>MagnusLandstad</v>
      </c>
      <c r="F26" s="192">
        <f>YEAR(I$5)-_xlfn.XLOOKUP(E26,Deltakerliste!E$5:E$98,Deltakerliste!I$5:I$98)</f>
        <v>83</v>
      </c>
      <c r="G26" s="192">
        <f>_xlfn.XLOOKUP(E26,Deltakerliste!E$5:E$98,Deltakerliste!H$5:H$98)</f>
        <v>2</v>
      </c>
      <c r="H26" s="592">
        <f>VLOOKUP(F26,Deltakerliste!P$6:T$84,G26,FALSE)</f>
        <v>2.077</v>
      </c>
      <c r="I26" s="86"/>
      <c r="J26" s="86">
        <v>2.5752314814814815E-2</v>
      </c>
      <c r="K26" s="13"/>
      <c r="L26" s="600">
        <f t="shared" si="2"/>
        <v>8.8801085568326957E-3</v>
      </c>
      <c r="M26" s="594">
        <f>IF(L26="Løype",Poengsammendrag!$F$2,IF(L26="Arr",Poengsammendrag!$F$3,IF(L26="Brutt",50,IF(L26="Disk",50,ROUND(MAXA(100*(MIN(L$10:L$94)/L26),50),0)))))</f>
        <v>58</v>
      </c>
      <c r="N26" s="724">
        <f t="shared" si="3"/>
        <v>4.2754494736796803E-3</v>
      </c>
      <c r="O26" s="596">
        <f>IF(N26="Løype",Poengsammendrag!$F$2,IF(N26="Arr",Poengsammendrag!$F$3,IF(N26="Brutt",50,IF(N26="Disk",50,ROUND(MAXA(100*(MIN(N$10:N$94)/N26),50),0)))))</f>
        <v>75</v>
      </c>
      <c r="Q26" s="672"/>
      <c r="R26" s="672"/>
      <c r="S26" s="803" t="s">
        <v>88</v>
      </c>
      <c r="T26" s="736">
        <v>7.1320242656449546E-3</v>
      </c>
      <c r="U26" s="752">
        <v>73</v>
      </c>
      <c r="V26" s="781"/>
      <c r="W26" s="776" t="s">
        <v>114</v>
      </c>
      <c r="X26" s="740">
        <v>75</v>
      </c>
      <c r="AB26" s="828">
        <f t="shared" si="5"/>
        <v>71</v>
      </c>
      <c r="AC26" s="829">
        <f t="shared" si="4"/>
        <v>2</v>
      </c>
    </row>
    <row r="27" spans="2:29" ht="21" thickBot="1" x14ac:dyDescent="0.3">
      <c r="B27" s="16">
        <f t="shared" si="0"/>
        <v>18</v>
      </c>
      <c r="C27" s="106" t="s">
        <v>265</v>
      </c>
      <c r="D27" s="107" t="s">
        <v>266</v>
      </c>
      <c r="E27" s="599" t="str">
        <f t="shared" si="1"/>
        <v>ØysteinWiggen</v>
      </c>
      <c r="F27" s="192">
        <f>YEAR(I$5)-_xlfn.XLOOKUP(E27,Deltakerliste!E$5:E$98,Deltakerliste!I$5:I$98)</f>
        <v>60</v>
      </c>
      <c r="G27" s="192">
        <f>_xlfn.XLOOKUP(E27,Deltakerliste!E$5:E$98,Deltakerliste!H$5:H$98)</f>
        <v>2</v>
      </c>
      <c r="H27" s="592">
        <f>VLOOKUP(F27,Deltakerliste!P$6:T$84,G27,FALSE)</f>
        <v>1.2000000000000002</v>
      </c>
      <c r="I27" s="134"/>
      <c r="J27" s="132">
        <v>1.5104166666666667E-2</v>
      </c>
      <c r="K27" s="18"/>
      <c r="L27" s="600">
        <f t="shared" si="2"/>
        <v>5.2083333333333339E-3</v>
      </c>
      <c r="M27" s="594">
        <f>IF(L27="Løype",Poengsammendrag!$F$2,IF(L27="Arr",Poengsammendrag!$F$3,IF(L27="Brutt",50,IF(L27="Disk",50,ROUND(MAXA(100*(MIN(L$10:L$94)/L27),50),0)))))</f>
        <v>99</v>
      </c>
      <c r="N27" s="724">
        <f t="shared" si="3"/>
        <v>4.340277777777778E-3</v>
      </c>
      <c r="O27" s="596">
        <f>IF(N27="Løype",Poengsammendrag!$F$2,IF(N27="Arr",Poengsammendrag!$F$3,IF(N27="Brutt",50,IF(N27="Disk",50,ROUND(MAXA(100*(MIN(N$10:N$94)/N27),50),0)))))</f>
        <v>74</v>
      </c>
      <c r="Q27" s="672"/>
      <c r="R27" s="672"/>
      <c r="S27" s="803" t="s">
        <v>110</v>
      </c>
      <c r="T27" s="736">
        <v>7.2836845466155813E-3</v>
      </c>
      <c r="U27" s="752">
        <v>71</v>
      </c>
      <c r="V27" s="781"/>
      <c r="W27" s="776" t="s">
        <v>368</v>
      </c>
      <c r="X27" s="740">
        <v>74</v>
      </c>
      <c r="AB27" s="828">
        <f t="shared" si="5"/>
        <v>72</v>
      </c>
      <c r="AC27" s="829">
        <f t="shared" si="4"/>
        <v>4</v>
      </c>
    </row>
    <row r="28" spans="2:29" ht="21" customHeight="1" thickBot="1" x14ac:dyDescent="0.3">
      <c r="B28" s="16">
        <f t="shared" si="0"/>
        <v>19</v>
      </c>
      <c r="C28" s="106" t="s">
        <v>63</v>
      </c>
      <c r="D28" s="107" t="s">
        <v>98</v>
      </c>
      <c r="E28" s="599" t="str">
        <f t="shared" si="1"/>
        <v>ToreHeggem</v>
      </c>
      <c r="F28" s="192">
        <f>YEAR(I$5)-_xlfn.XLOOKUP(E28,Deltakerliste!E$5:E$98,Deltakerliste!I$5:I$98)</f>
        <v>73</v>
      </c>
      <c r="G28" s="192">
        <f>_xlfn.XLOOKUP(E28,Deltakerliste!E$5:E$98,Deltakerliste!H$5:H$98)</f>
        <v>2</v>
      </c>
      <c r="H28" s="592">
        <f>VLOOKUP(F28,Deltakerliste!P$6:T$84,G28,FALSE)</f>
        <v>1.5329999999999999</v>
      </c>
      <c r="I28" s="86"/>
      <c r="J28" s="86">
        <v>2.060185185185185E-2</v>
      </c>
      <c r="K28" s="13"/>
      <c r="L28" s="600">
        <f t="shared" si="2"/>
        <v>7.1040868454661553E-3</v>
      </c>
      <c r="M28" s="594">
        <f>IF(L28="Løype",Poengsammendrag!$F$2,IF(L28="Arr",Poengsammendrag!$F$3,IF(L28="Brutt",50,IF(L28="Disk",50,ROUND(MAXA(100*(MIN(L$10:L$94)/L28),50),0)))))</f>
        <v>73</v>
      </c>
      <c r="N28" s="724">
        <f t="shared" si="3"/>
        <v>4.6341075312890771E-3</v>
      </c>
      <c r="O28" s="596">
        <f>IF(N28="Løype",Poengsammendrag!$F$2,IF(N28="Arr",Poengsammendrag!$F$3,IF(N28="Brutt",50,IF(N28="Disk",50,ROUND(MAXA(100*(MIN(N$10:N$94)/N28),50),0)))))</f>
        <v>69</v>
      </c>
      <c r="Q28" s="672"/>
      <c r="R28" s="672"/>
      <c r="S28" s="803" t="s">
        <v>364</v>
      </c>
      <c r="T28" s="736">
        <v>7.5071839080459776E-3</v>
      </c>
      <c r="U28" s="752">
        <v>69</v>
      </c>
      <c r="V28" s="781"/>
      <c r="W28" s="776" t="s">
        <v>340</v>
      </c>
      <c r="X28" s="740">
        <v>69</v>
      </c>
      <c r="AB28" s="828">
        <f t="shared" si="5"/>
        <v>73</v>
      </c>
      <c r="AC28" s="829">
        <f t="shared" si="4"/>
        <v>5</v>
      </c>
    </row>
    <row r="29" spans="2:29" ht="21" thickBot="1" x14ac:dyDescent="0.3">
      <c r="B29" s="16">
        <f t="shared" si="0"/>
        <v>20</v>
      </c>
      <c r="C29" s="106" t="s">
        <v>101</v>
      </c>
      <c r="D29" s="107" t="s">
        <v>102</v>
      </c>
      <c r="E29" s="599" t="str">
        <f t="shared" si="1"/>
        <v>EvenHofstad</v>
      </c>
      <c r="F29" s="192">
        <f>YEAR(I$5)-_xlfn.XLOOKUP(E29,Deltakerliste!E$5:E$98,Deltakerliste!I$5:I$98)</f>
        <v>72</v>
      </c>
      <c r="G29" s="192">
        <f>_xlfn.XLOOKUP(E29,Deltakerliste!E$5:E$98,Deltakerliste!H$5:H$98)</f>
        <v>2</v>
      </c>
      <c r="H29" s="592">
        <f>VLOOKUP(F29,Deltakerliste!P$6:T$84,G29,FALSE)</f>
        <v>1.4969999999999999</v>
      </c>
      <c r="I29" s="86"/>
      <c r="J29" s="86">
        <v>2.0231481481481482E-2</v>
      </c>
      <c r="K29" s="13"/>
      <c r="L29" s="600">
        <f t="shared" si="2"/>
        <v>6.976372924648787E-3</v>
      </c>
      <c r="M29" s="594">
        <f>IF(L29="Løype",Poengsammendrag!$F$2,IF(L29="Arr",Poengsammendrag!$F$3,IF(L29="Brutt",50,IF(L29="Disk",50,ROUND(MAXA(100*(MIN(L$10:L$94)/L29),50),0)))))</f>
        <v>74</v>
      </c>
      <c r="N29" s="724">
        <f t="shared" si="3"/>
        <v>4.6602357546084083E-3</v>
      </c>
      <c r="O29" s="596">
        <f>IF(N29="Løype",Poengsammendrag!$F$2,IF(N29="Arr",Poengsammendrag!$F$3,IF(N29="Brutt",50,IF(N29="Disk",50,ROUND(MAXA(100*(MIN(N$10:N$94)/N29),50),0)))))</f>
        <v>69</v>
      </c>
      <c r="Q29" s="672"/>
      <c r="R29" s="672"/>
      <c r="S29" s="803" t="s">
        <v>350</v>
      </c>
      <c r="T29" s="736">
        <v>7.6508620689655169E-3</v>
      </c>
      <c r="U29" s="752">
        <v>68</v>
      </c>
      <c r="V29" s="781"/>
      <c r="W29" s="776" t="s">
        <v>101</v>
      </c>
      <c r="X29" s="740">
        <v>69</v>
      </c>
      <c r="AB29" s="828">
        <f t="shared" si="5"/>
        <v>74</v>
      </c>
      <c r="AC29" s="829">
        <f t="shared" si="4"/>
        <v>1</v>
      </c>
    </row>
    <row r="30" spans="2:29" ht="21" thickBot="1" x14ac:dyDescent="0.3">
      <c r="B30" s="16">
        <f t="shared" si="0"/>
        <v>21</v>
      </c>
      <c r="C30" s="106" t="s">
        <v>72</v>
      </c>
      <c r="D30" s="107" t="s">
        <v>73</v>
      </c>
      <c r="E30" s="599" t="str">
        <f t="shared" si="1"/>
        <v>KåreEggereide</v>
      </c>
      <c r="F30" s="192">
        <f>YEAR(I$5)-_xlfn.XLOOKUP(E30,Deltakerliste!E$5:E$98,Deltakerliste!I$5:I$98)</f>
        <v>75</v>
      </c>
      <c r="G30" s="192">
        <f>_xlfn.XLOOKUP(E30,Deltakerliste!E$5:E$98,Deltakerliste!H$5:H$98)</f>
        <v>2</v>
      </c>
      <c r="H30" s="592">
        <f>VLOOKUP(F30,Deltakerliste!P$6:T$84,G30,FALSE)</f>
        <v>1.605</v>
      </c>
      <c r="I30" s="86"/>
      <c r="J30" s="13">
        <v>2.2187499999999999E-2</v>
      </c>
      <c r="K30" s="13"/>
      <c r="L30" s="600">
        <f t="shared" si="2"/>
        <v>7.6508620689655169E-3</v>
      </c>
      <c r="M30" s="594">
        <f>IF(L30="Løype",Poengsammendrag!$F$2,IF(L30="Arr",Poengsammendrag!$F$3,IF(L30="Brutt",50,IF(L30="Disk",50,ROUND(MAXA(100*(MIN(L$10:L$94)/L30),50),0)))))</f>
        <v>68</v>
      </c>
      <c r="N30" s="724">
        <f t="shared" si="3"/>
        <v>4.7668922548071754E-3</v>
      </c>
      <c r="O30" s="596">
        <f>IF(N30="Løype",Poengsammendrag!$F$2,IF(N30="Arr",Poengsammendrag!$F$3,IF(N30="Brutt",50,IF(N30="Disk",50,ROUND(MAXA(100*(MIN(N$10:N$94)/N30),50),0)))))</f>
        <v>67</v>
      </c>
      <c r="Q30" s="672"/>
      <c r="R30" s="672"/>
      <c r="S30" s="803" t="s">
        <v>124</v>
      </c>
      <c r="T30" s="736">
        <v>7.8544061302682003E-3</v>
      </c>
      <c r="U30" s="752">
        <v>66</v>
      </c>
      <c r="V30" s="781"/>
      <c r="W30" s="776" t="s">
        <v>350</v>
      </c>
      <c r="X30" s="740">
        <v>67</v>
      </c>
      <c r="AB30" s="828">
        <f t="shared" si="5"/>
        <v>75</v>
      </c>
      <c r="AC30" s="829">
        <f t="shared" si="4"/>
        <v>4</v>
      </c>
    </row>
    <row r="31" spans="2:29" ht="21" customHeight="1" thickBot="1" x14ac:dyDescent="0.3">
      <c r="B31" s="16">
        <f t="shared" si="0"/>
        <v>22</v>
      </c>
      <c r="C31" s="106" t="s">
        <v>63</v>
      </c>
      <c r="D31" s="107" t="s">
        <v>336</v>
      </c>
      <c r="E31" s="599" t="str">
        <f t="shared" si="1"/>
        <v>ToreFornes</v>
      </c>
      <c r="F31" s="192">
        <f>YEAR(I$5)-_xlfn.XLOOKUP(E31,Deltakerliste!E$5:E$98,Deltakerliste!I$5:I$98)</f>
        <v>67</v>
      </c>
      <c r="G31" s="192">
        <f>_xlfn.XLOOKUP(E31,Deltakerliste!E$5:E$98,Deltakerliste!H$5:H$98)</f>
        <v>2</v>
      </c>
      <c r="H31" s="592">
        <f>VLOOKUP(F31,Deltakerliste!P$6:T$84,G31,FALSE)</f>
        <v>1.3469999999999998</v>
      </c>
      <c r="I31" s="86"/>
      <c r="J31" s="86">
        <v>1.8680555555555554E-2</v>
      </c>
      <c r="K31" s="13"/>
      <c r="L31" s="600">
        <f t="shared" si="2"/>
        <v>6.4415708812260537E-3</v>
      </c>
      <c r="M31" s="594">
        <f>IF(L31="Løype",Poengsammendrag!$F$2,IF(L31="Arr",Poengsammendrag!$F$3,IF(L31="Brutt",50,IF(L31="Disk",50,ROUND(MAXA(100*(MIN(L$10:L$94)/L31),50),0)))))</f>
        <v>80</v>
      </c>
      <c r="N31" s="724">
        <f t="shared" si="3"/>
        <v>4.782161010561288E-3</v>
      </c>
      <c r="O31" s="596">
        <f>IF(N31="Løype",Poengsammendrag!$F$2,IF(N31="Arr",Poengsammendrag!$F$3,IF(N31="Brutt",50,IF(N31="Disk",50,ROUND(MAXA(100*(MIN(N$10:N$94)/N31),50),0)))))</f>
        <v>67</v>
      </c>
      <c r="Q31" s="672"/>
      <c r="R31" s="672"/>
      <c r="S31" s="803" t="s">
        <v>99</v>
      </c>
      <c r="T31" s="736">
        <v>7.8703703703703696E-3</v>
      </c>
      <c r="U31" s="752">
        <v>66</v>
      </c>
      <c r="V31" s="781"/>
      <c r="W31" s="776" t="s">
        <v>346</v>
      </c>
      <c r="X31" s="740">
        <v>67</v>
      </c>
      <c r="AB31" s="828">
        <f t="shared" si="5"/>
        <v>76</v>
      </c>
      <c r="AC31" s="829">
        <f t="shared" si="4"/>
        <v>1</v>
      </c>
    </row>
    <row r="32" spans="2:29" ht="21" customHeight="1" thickBot="1" x14ac:dyDescent="0.3">
      <c r="B32" s="16">
        <f t="shared" si="0"/>
        <v>23</v>
      </c>
      <c r="C32" s="106" t="s">
        <v>110</v>
      </c>
      <c r="D32" s="107" t="s">
        <v>111</v>
      </c>
      <c r="E32" s="599" t="str">
        <f t="shared" si="1"/>
        <v>Jan ErikKofoed</v>
      </c>
      <c r="F32" s="192">
        <f>YEAR(I$5)-_xlfn.XLOOKUP(E32,Deltakerliste!E$5:E$98,Deltakerliste!I$5:I$98)</f>
        <v>72</v>
      </c>
      <c r="G32" s="192">
        <f>_xlfn.XLOOKUP(E32,Deltakerliste!E$5:E$98,Deltakerliste!H$5:H$98)</f>
        <v>2</v>
      </c>
      <c r="H32" s="592">
        <f>VLOOKUP(F32,Deltakerliste!P$6:T$84,G32,FALSE)</f>
        <v>1.4969999999999999</v>
      </c>
      <c r="I32" s="86"/>
      <c r="J32" s="86">
        <v>2.1122685185185185E-2</v>
      </c>
      <c r="K32" s="13"/>
      <c r="L32" s="600">
        <f t="shared" si="2"/>
        <v>7.2836845466155813E-3</v>
      </c>
      <c r="M32" s="594">
        <f>IF(L32="Løype",Poengsammendrag!$F$2,IF(L32="Arr",Poengsammendrag!$F$3,IF(L32="Brutt",50,IF(L32="Disk",50,ROUND(MAXA(100*(MIN(L$10:L$94)/L32),50),0)))))</f>
        <v>71</v>
      </c>
      <c r="N32" s="724">
        <f t="shared" si="3"/>
        <v>4.8655207392221652E-3</v>
      </c>
      <c r="O32" s="596">
        <f>IF(N32="Løype",Poengsammendrag!$F$2,IF(N32="Arr",Poengsammendrag!$F$3,IF(N32="Brutt",50,IF(N32="Disk",50,ROUND(MAXA(100*(MIN(N$10:N$94)/N32),50),0)))))</f>
        <v>66</v>
      </c>
      <c r="S32" s="803" t="s">
        <v>94</v>
      </c>
      <c r="T32" s="736">
        <v>8.7062757201646097E-3</v>
      </c>
      <c r="U32" s="752">
        <v>59</v>
      </c>
      <c r="V32" s="781"/>
      <c r="W32" s="776" t="s">
        <v>110</v>
      </c>
      <c r="X32" s="740">
        <v>66</v>
      </c>
      <c r="AB32" s="828">
        <f t="shared" si="5"/>
        <v>77</v>
      </c>
      <c r="AC32" s="829">
        <f t="shared" si="4"/>
        <v>1</v>
      </c>
    </row>
    <row r="33" spans="2:29" ht="21" customHeight="1" thickBot="1" x14ac:dyDescent="0.3">
      <c r="B33" s="16">
        <f t="shared" si="0"/>
        <v>24</v>
      </c>
      <c r="C33" s="106" t="s">
        <v>94</v>
      </c>
      <c r="D33" s="107" t="s">
        <v>95</v>
      </c>
      <c r="E33" s="599" t="str">
        <f t="shared" si="1"/>
        <v>TerjeHanssen</v>
      </c>
      <c r="F33" s="192">
        <f>YEAR(I$5)-_xlfn.XLOOKUP(E33,Deltakerliste!E$5:E$98,Deltakerliste!I$5:I$98)</f>
        <v>78</v>
      </c>
      <c r="G33" s="192">
        <f>_xlfn.XLOOKUP(E33,Deltakerliste!E$5:E$98,Deltakerliste!H$5:H$98)</f>
        <v>2</v>
      </c>
      <c r="H33" s="592">
        <f>VLOOKUP(F33,Deltakerliste!P$6:T$84,G33,FALSE)</f>
        <v>1.7550000000000001</v>
      </c>
      <c r="I33" s="86">
        <v>1.5671296296296298E-2</v>
      </c>
      <c r="J33" s="86"/>
      <c r="K33" s="17"/>
      <c r="L33" s="600">
        <f t="shared" si="2"/>
        <v>8.7062757201646097E-3</v>
      </c>
      <c r="M33" s="594">
        <f>IF(L33="Løype",Poengsammendrag!$F$2,IF(L33="Arr",Poengsammendrag!$F$3,IF(L33="Brutt",50,IF(L33="Disk",50,ROUND(MAXA(100*(MIN(L$10:L$94)/L33),50),0)))))</f>
        <v>59</v>
      </c>
      <c r="N33" s="724">
        <f t="shared" si="3"/>
        <v>4.9608408661906602E-3</v>
      </c>
      <c r="O33" s="596">
        <f>IF(N33="Løype",Poengsammendrag!$F$2,IF(N33="Arr",Poengsammendrag!$F$3,IF(N33="Brutt",50,IF(N33="Disk",50,ROUND(MAXA(100*(MIN(N$10:N$94)/N33),50),0)))))</f>
        <v>65</v>
      </c>
      <c r="S33" s="803" t="s">
        <v>114</v>
      </c>
      <c r="T33" s="736">
        <v>8.8801085568326957E-3</v>
      </c>
      <c r="U33" s="752">
        <v>58</v>
      </c>
      <c r="V33" s="781"/>
      <c r="W33" s="776" t="s">
        <v>94</v>
      </c>
      <c r="X33" s="740">
        <v>65</v>
      </c>
      <c r="AB33" s="828">
        <f t="shared" si="5"/>
        <v>78</v>
      </c>
      <c r="AC33" s="829">
        <f t="shared" si="4"/>
        <v>3</v>
      </c>
    </row>
    <row r="34" spans="2:29" ht="21" customHeight="1" thickBot="1" x14ac:dyDescent="0.3">
      <c r="B34" s="16">
        <f t="shared" si="0"/>
        <v>25</v>
      </c>
      <c r="C34" s="106" t="s">
        <v>142</v>
      </c>
      <c r="D34" s="107" t="s">
        <v>143</v>
      </c>
      <c r="E34" s="599" t="str">
        <f t="shared" si="1"/>
        <v>EgilRepvik</v>
      </c>
      <c r="F34" s="192">
        <f>YEAR(I$5)-_xlfn.XLOOKUP(E34,Deltakerliste!E$5:E$98,Deltakerliste!I$5:I$98)</f>
        <v>80</v>
      </c>
      <c r="G34" s="192">
        <f>_xlfn.XLOOKUP(E34,Deltakerliste!E$5:E$98,Deltakerliste!H$5:H$98)</f>
        <v>2</v>
      </c>
      <c r="H34" s="592">
        <f>VLOOKUP(F34,Deltakerliste!P$6:T$84,G34,FALSE)</f>
        <v>1.8550000000000002</v>
      </c>
      <c r="I34" s="132">
        <v>1.6574074074074074E-2</v>
      </c>
      <c r="J34" s="18"/>
      <c r="K34" s="18"/>
      <c r="L34" s="600">
        <f t="shared" si="2"/>
        <v>9.207818930041153E-3</v>
      </c>
      <c r="M34" s="594">
        <f>IF(L34="Løype",Poengsammendrag!$F$2,IF(L34="Arr",Poengsammendrag!$F$3,IF(L34="Brutt",50,IF(L34="Disk",50,ROUND(MAXA(100*(MIN(L$10:L$94)/L34),50),0)))))</f>
        <v>56</v>
      </c>
      <c r="N34" s="724">
        <f t="shared" si="3"/>
        <v>4.963783789779597E-3</v>
      </c>
      <c r="O34" s="596">
        <f>IF(N34="Løype",Poengsammendrag!$F$2,IF(N34="Arr",Poengsammendrag!$F$3,IF(N34="Brutt",50,IF(N34="Disk",50,ROUND(MAXA(100*(MIN(N$10:N$94)/N34),50),0)))))</f>
        <v>65</v>
      </c>
      <c r="S34" s="803" t="s">
        <v>356</v>
      </c>
      <c r="T34" s="736">
        <v>9.207818930041153E-3</v>
      </c>
      <c r="U34" s="752">
        <v>56</v>
      </c>
      <c r="V34" s="781"/>
      <c r="W34" s="776" t="s">
        <v>356</v>
      </c>
      <c r="X34" s="740">
        <v>65</v>
      </c>
      <c r="AB34" s="828">
        <f t="shared" si="5"/>
        <v>79</v>
      </c>
      <c r="AC34" s="829">
        <f t="shared" si="4"/>
        <v>5</v>
      </c>
    </row>
    <row r="35" spans="2:29" ht="21" customHeight="1" thickBot="1" x14ac:dyDescent="0.3">
      <c r="B35" s="16">
        <f t="shared" si="0"/>
        <v>26</v>
      </c>
      <c r="C35" s="106" t="s">
        <v>99</v>
      </c>
      <c r="D35" s="107" t="s">
        <v>100</v>
      </c>
      <c r="E35" s="599" t="str">
        <f t="shared" si="1"/>
        <v>RobertHirsch</v>
      </c>
      <c r="F35" s="192">
        <f>YEAR(I$5)-_xlfn.XLOOKUP(E35,Deltakerliste!E$5:E$98,Deltakerliste!I$5:I$98)</f>
        <v>69</v>
      </c>
      <c r="G35" s="192">
        <f>_xlfn.XLOOKUP(E35,Deltakerliste!E$5:E$98,Deltakerliste!H$5:H$98)</f>
        <v>2</v>
      </c>
      <c r="H35" s="592">
        <f>VLOOKUP(F35,Deltakerliste!P$6:T$84,G35,FALSE)</f>
        <v>1.3989999999999998</v>
      </c>
      <c r="I35" s="86"/>
      <c r="J35" s="86">
        <v>2.2824074074074073E-2</v>
      </c>
      <c r="K35" s="13"/>
      <c r="L35" s="600">
        <f t="shared" si="2"/>
        <v>7.8703703703703696E-3</v>
      </c>
      <c r="M35" s="594">
        <f>IF(L35="Løype",Poengsammendrag!$F$2,IF(L35="Arr",Poengsammendrag!$F$3,IF(L35="Brutt",50,IF(L35="Disk",50,ROUND(MAXA(100*(MIN(L$10:L$94)/L35),50),0)))))</f>
        <v>66</v>
      </c>
      <c r="N35" s="724">
        <f t="shared" si="3"/>
        <v>5.6257114870410085E-3</v>
      </c>
      <c r="O35" s="596">
        <f>IF(N35="Løype",Poengsammendrag!$F$2,IF(N35="Arr",Poengsammendrag!$F$3,IF(N35="Brutt",50,IF(N35="Disk",50,ROUND(MAXA(100*(MIN(N$10:N$94)/N35),50),0)))))</f>
        <v>57</v>
      </c>
      <c r="S35" s="803" t="s">
        <v>357</v>
      </c>
      <c r="T35" s="736">
        <v>9.4907407407407406E-3</v>
      </c>
      <c r="U35" s="752">
        <v>55</v>
      </c>
      <c r="V35" s="781"/>
      <c r="W35" s="776" t="s">
        <v>99</v>
      </c>
      <c r="X35" s="740">
        <v>57</v>
      </c>
      <c r="AB35" s="828">
        <f t="shared" si="5"/>
        <v>80</v>
      </c>
      <c r="AC35" s="829">
        <f t="shared" si="4"/>
        <v>2</v>
      </c>
    </row>
    <row r="36" spans="2:29" ht="21" thickBot="1" x14ac:dyDescent="0.3">
      <c r="B36" s="16">
        <f t="shared" si="0"/>
        <v>27</v>
      </c>
      <c r="C36" s="106" t="s">
        <v>248</v>
      </c>
      <c r="D36" s="107" t="s">
        <v>249</v>
      </c>
      <c r="E36" s="599" t="str">
        <f t="shared" si="1"/>
        <v>ErikLund</v>
      </c>
      <c r="F36" s="192">
        <f>YEAR(I$5)-_xlfn.XLOOKUP(E36,Deltakerliste!E$5:E$98,Deltakerliste!I$5:I$98)</f>
        <v>79</v>
      </c>
      <c r="G36" s="192">
        <f>_xlfn.XLOOKUP(E36,Deltakerliste!E$5:E$98,Deltakerliste!H$5:H$98)</f>
        <v>2</v>
      </c>
      <c r="H36" s="592">
        <f>VLOOKUP(F36,Deltakerliste!P$6:T$84,G36,FALSE)</f>
        <v>1.8050000000000002</v>
      </c>
      <c r="I36" s="855">
        <v>1.8356481481481481E-2</v>
      </c>
      <c r="J36" s="13"/>
      <c r="K36" s="17"/>
      <c r="L36" s="600">
        <f t="shared" si="2"/>
        <v>1.0198045267489712E-2</v>
      </c>
      <c r="M36" s="594">
        <f>IF(L36="Løype",Poengsammendrag!$F$2,IF(L36="Arr",Poengsammendrag!$F$3,IF(L36="Brutt",50,IF(L36="Disk",50,ROUND(MAXA(100*(MIN(L$10:L$94)/L36),50),0)))))</f>
        <v>51</v>
      </c>
      <c r="N36" s="724">
        <f t="shared" si="3"/>
        <v>5.6498865747865437E-3</v>
      </c>
      <c r="O36" s="596">
        <f>IF(N36="Løype",Poengsammendrag!$F$2,IF(N36="Arr",Poengsammendrag!$F$3,IF(N36="Brutt",50,IF(N36="Disk",50,ROUND(MAXA(100*(MIN(N$10:N$94)/N36),50),0)))))</f>
        <v>57</v>
      </c>
      <c r="S36" s="803" t="s">
        <v>248</v>
      </c>
      <c r="T36" s="736">
        <v>1.0198045267489712E-2</v>
      </c>
      <c r="U36" s="752">
        <v>51</v>
      </c>
      <c r="V36" s="781"/>
      <c r="W36" s="776" t="s">
        <v>248</v>
      </c>
      <c r="X36" s="740">
        <v>57</v>
      </c>
      <c r="AB36" s="828">
        <f t="shared" si="5"/>
        <v>81</v>
      </c>
      <c r="AC36" s="829">
        <f t="shared" si="4"/>
        <v>2</v>
      </c>
    </row>
    <row r="37" spans="2:29" ht="21" customHeight="1" thickBot="1" x14ac:dyDescent="0.3">
      <c r="B37" s="16">
        <f t="shared" si="0"/>
        <v>28</v>
      </c>
      <c r="C37" s="106" t="s">
        <v>103</v>
      </c>
      <c r="D37" s="107" t="s">
        <v>104</v>
      </c>
      <c r="E37" s="599" t="str">
        <f t="shared" si="1"/>
        <v>SveinHove</v>
      </c>
      <c r="F37" s="192">
        <f>YEAR(I$5)-_xlfn.XLOOKUP(E37,Deltakerliste!E$5:E$98,Deltakerliste!I$5:I$98)</f>
        <v>79</v>
      </c>
      <c r="G37" s="192">
        <f>_xlfn.XLOOKUP(E37,Deltakerliste!E$5:E$98,Deltakerliste!H$5:H$98)</f>
        <v>2</v>
      </c>
      <c r="H37" s="592">
        <f>VLOOKUP(F37,Deltakerliste!P$6:T$84,G37,FALSE)</f>
        <v>1.8050000000000002</v>
      </c>
      <c r="I37" s="86">
        <v>1.861111111111111E-2</v>
      </c>
      <c r="J37" s="86"/>
      <c r="K37" s="17"/>
      <c r="L37" s="600">
        <f t="shared" si="2"/>
        <v>1.0339506172839505E-2</v>
      </c>
      <c r="M37" s="594">
        <f>IF(L37="Løype",Poengsammendrag!$F$2,IF(L37="Arr",Poengsammendrag!$F$3,IF(L37="Brutt",50,IF(L37="Disk",50,ROUND(MAXA(100*(MIN(L$10:L$94)/L37),50),0)))))</f>
        <v>50</v>
      </c>
      <c r="N37" s="724">
        <f t="shared" si="3"/>
        <v>5.7282582675011106E-3</v>
      </c>
      <c r="O37" s="596">
        <f>IF(N37="Løype",Poengsammendrag!$F$2,IF(N37="Arr",Poengsammendrag!$F$3,IF(N37="Brutt",50,IF(N37="Disk",50,ROUND(MAXA(100*(MIN(N$10:N$94)/N37),50),0)))))</f>
        <v>56</v>
      </c>
      <c r="S37" s="803" t="s">
        <v>103</v>
      </c>
      <c r="T37" s="736">
        <v>1.0339506172839505E-2</v>
      </c>
      <c r="U37" s="752">
        <v>50</v>
      </c>
      <c r="V37" s="781"/>
      <c r="W37" s="776" t="s">
        <v>103</v>
      </c>
      <c r="X37" s="740">
        <v>56</v>
      </c>
      <c r="AB37" s="828">
        <f t="shared" si="5"/>
        <v>82</v>
      </c>
      <c r="AC37" s="829">
        <f t="shared" si="4"/>
        <v>2</v>
      </c>
    </row>
    <row r="38" spans="2:29" ht="21" customHeight="1" thickBot="1" x14ac:dyDescent="0.3">
      <c r="B38" s="16">
        <f t="shared" si="0"/>
        <v>29</v>
      </c>
      <c r="C38" s="106" t="s">
        <v>64</v>
      </c>
      <c r="D38" s="107" t="s">
        <v>366</v>
      </c>
      <c r="E38" s="599" t="str">
        <f t="shared" si="1"/>
        <v>BjørnHafskjold</v>
      </c>
      <c r="F38" s="192">
        <f>YEAR(I$5)-_xlfn.XLOOKUP(E38,Deltakerliste!E$5:E$98,Deltakerliste!I$5:I$98)</f>
        <v>79</v>
      </c>
      <c r="G38" s="192">
        <f>_xlfn.XLOOKUP(E38,Deltakerliste!E$5:E$98,Deltakerliste!H$5:H$98)</f>
        <v>2</v>
      </c>
      <c r="H38" s="592">
        <f>VLOOKUP(F38,Deltakerliste!P$6:T$84,G38,FALSE)</f>
        <v>1.8050000000000002</v>
      </c>
      <c r="I38" s="14">
        <v>1.8645833333333334E-2</v>
      </c>
      <c r="J38" s="14"/>
      <c r="K38" s="18"/>
      <c r="L38" s="600">
        <f t="shared" si="2"/>
        <v>1.0358796296296297E-2</v>
      </c>
      <c r="M38" s="594">
        <f>IF(L38="Løype",Poengsammendrag!$F$2,IF(L38="Arr",Poengsammendrag!$F$3,IF(L38="Brutt",50,IF(L38="Disk",50,ROUND(MAXA(100*(MIN(L$10:L$94)/L38),50),0)))))</f>
        <v>50</v>
      </c>
      <c r="N38" s="724">
        <f t="shared" si="3"/>
        <v>5.7389453165076426E-3</v>
      </c>
      <c r="O38" s="596">
        <f>IF(N38="Løype",Poengsammendrag!$F$2,IF(N38="Arr",Poengsammendrag!$F$3,IF(N38="Brutt",50,IF(N38="Disk",50,ROUND(MAXA(100*(MIN(N$10:N$94)/N38),50),0)))))</f>
        <v>56</v>
      </c>
      <c r="S38" s="803" t="s">
        <v>367</v>
      </c>
      <c r="T38" s="736">
        <v>1.0358796296296297E-2</v>
      </c>
      <c r="U38" s="752">
        <v>50</v>
      </c>
      <c r="V38" s="781"/>
      <c r="W38" s="776" t="s">
        <v>367</v>
      </c>
      <c r="X38" s="740">
        <v>56</v>
      </c>
      <c r="AB38" s="828">
        <f t="shared" si="5"/>
        <v>83</v>
      </c>
      <c r="AC38" s="829">
        <f t="shared" si="4"/>
        <v>1</v>
      </c>
    </row>
    <row r="39" spans="2:29" ht="21" customHeight="1" thickBot="1" x14ac:dyDescent="0.3">
      <c r="B39" s="16">
        <f t="shared" si="0"/>
        <v>30</v>
      </c>
      <c r="C39" s="106" t="s">
        <v>170</v>
      </c>
      <c r="D39" s="107" t="s">
        <v>171</v>
      </c>
      <c r="E39" s="599" t="str">
        <f t="shared" si="1"/>
        <v>ØisteinÅsmul</v>
      </c>
      <c r="F39" s="192">
        <f>YEAR(I$5)-_xlfn.XLOOKUP(E39,Deltakerliste!E$5:E$98,Deltakerliste!I$5:I$98)</f>
        <v>81</v>
      </c>
      <c r="G39" s="192">
        <f>_xlfn.XLOOKUP(E39,Deltakerliste!E$5:E$98,Deltakerliste!H$5:H$98)</f>
        <v>2</v>
      </c>
      <c r="H39" s="592">
        <f>VLOOKUP(F39,Deltakerliste!P$6:T$84,G39,FALSE)</f>
        <v>1.9290000000000003</v>
      </c>
      <c r="I39" s="132">
        <v>1.9965277777777776E-2</v>
      </c>
      <c r="J39" s="132"/>
      <c r="K39" s="18"/>
      <c r="L39" s="600">
        <f t="shared" si="2"/>
        <v>1.109182098765432E-2</v>
      </c>
      <c r="M39" s="594">
        <f>IF(L39="Løype",Poengsammendrag!$F$2,IF(L39="Arr",Poengsammendrag!$F$3,IF(L39="Brutt",50,IF(L39="Disk",50,ROUND(MAXA(100*(MIN(L$10:L$94)/L39),50),0)))))</f>
        <v>50</v>
      </c>
      <c r="N39" s="724">
        <f t="shared" si="3"/>
        <v>5.7500368002355202E-3</v>
      </c>
      <c r="O39" s="596">
        <f>IF(N39="Løype",Poengsammendrag!$F$2,IF(N39="Arr",Poengsammendrag!$F$3,IF(N39="Brutt",50,IF(N39="Disk",50,ROUND(MAXA(100*(MIN(N$10:N$94)/N39),50),0)))))</f>
        <v>56</v>
      </c>
      <c r="S39" s="803" t="s">
        <v>263</v>
      </c>
      <c r="T39" s="736">
        <v>1.1085390946502056E-2</v>
      </c>
      <c r="U39" s="752">
        <v>50</v>
      </c>
      <c r="V39" s="781"/>
      <c r="W39" s="776" t="s">
        <v>347</v>
      </c>
      <c r="X39" s="740">
        <v>56</v>
      </c>
      <c r="AB39" s="828">
        <f t="shared" si="5"/>
        <v>84</v>
      </c>
      <c r="AC39" s="829">
        <f t="shared" si="4"/>
        <v>0</v>
      </c>
    </row>
    <row r="40" spans="2:29" ht="21" thickBot="1" x14ac:dyDescent="0.3">
      <c r="B40" s="16">
        <f t="shared" si="0"/>
        <v>31</v>
      </c>
      <c r="C40" s="106" t="s">
        <v>161</v>
      </c>
      <c r="D40" s="107" t="s">
        <v>162</v>
      </c>
      <c r="E40" s="599" t="str">
        <f t="shared" si="1"/>
        <v>Nils OlavVennevik</v>
      </c>
      <c r="F40" s="192">
        <f>YEAR(I$5)-_xlfn.XLOOKUP(E40,Deltakerliste!E$5:E$98,Deltakerliste!I$5:I$98)</f>
        <v>78</v>
      </c>
      <c r="G40" s="192">
        <f>_xlfn.XLOOKUP(E40,Deltakerliste!E$5:E$98,Deltakerliste!H$5:H$98)</f>
        <v>2</v>
      </c>
      <c r="H40" s="592">
        <f>VLOOKUP(F40,Deltakerliste!P$6:T$84,G40,FALSE)</f>
        <v>1.7550000000000001</v>
      </c>
      <c r="I40" s="132">
        <v>2.0046296296296295E-2</v>
      </c>
      <c r="J40" s="18"/>
      <c r="K40" s="18"/>
      <c r="L40" s="600">
        <f t="shared" si="2"/>
        <v>1.1136831275720164E-2</v>
      </c>
      <c r="M40" s="594">
        <f>IF(L40="Løype",Poengsammendrag!$F$2,IF(L40="Arr",Poengsammendrag!$F$3,IF(L40="Brutt",50,IF(L40="Disk",50,ROUND(MAXA(100*(MIN(L$10:L$94)/L40),50),0)))))</f>
        <v>50</v>
      </c>
      <c r="N40" s="724">
        <f t="shared" si="3"/>
        <v>6.3457728066781552E-3</v>
      </c>
      <c r="O40" s="596">
        <f>IF(N40="Løype",Poengsammendrag!$F$2,IF(N40="Arr",Poengsammendrag!$F$3,IF(N40="Brutt",50,IF(N40="Disk",50,ROUND(MAXA(100*(MIN(N$10:N$94)/N40),50),0)))))</f>
        <v>51</v>
      </c>
      <c r="S40" s="803" t="s">
        <v>347</v>
      </c>
      <c r="T40" s="736">
        <v>1.109182098765432E-2</v>
      </c>
      <c r="U40" s="752">
        <v>50</v>
      </c>
      <c r="V40" s="781"/>
      <c r="W40" s="776" t="s">
        <v>161</v>
      </c>
      <c r="X40" s="740">
        <v>51</v>
      </c>
      <c r="AB40" s="828">
        <f t="shared" si="5"/>
        <v>85</v>
      </c>
      <c r="AC40" s="829">
        <f t="shared" si="4"/>
        <v>1</v>
      </c>
    </row>
    <row r="41" spans="2:29" ht="21" thickBot="1" x14ac:dyDescent="0.3">
      <c r="B41" s="16">
        <f t="shared" si="0"/>
        <v>32</v>
      </c>
      <c r="C41" s="106" t="s">
        <v>153</v>
      </c>
      <c r="D41" s="107" t="s">
        <v>154</v>
      </c>
      <c r="E41" s="599" t="str">
        <f t="shared" si="1"/>
        <v>ReidunSmaavik</v>
      </c>
      <c r="F41" s="192">
        <f>YEAR(I$5)-_xlfn.XLOOKUP(E41,Deltakerliste!E$5:E$98,Deltakerliste!I$5:I$98)</f>
        <v>71</v>
      </c>
      <c r="G41" s="192">
        <f>_xlfn.XLOOKUP(E41,Deltakerliste!E$5:E$98,Deltakerliste!H$5:H$98)</f>
        <v>4</v>
      </c>
      <c r="H41" s="592">
        <f>VLOOKUP(F41,Deltakerliste!P$6:T$84,G41,FALSE)</f>
        <v>1.9926000000000013</v>
      </c>
      <c r="I41" s="132">
        <v>2.5451388888888888E-2</v>
      </c>
      <c r="J41" s="18"/>
      <c r="K41" s="18"/>
      <c r="L41" s="600">
        <f t="shared" si="2"/>
        <v>1.413966049382716E-2</v>
      </c>
      <c r="M41" s="594">
        <f>IF(L41="Løype",Poengsammendrag!$F$2,IF(L41="Arr",Poengsammendrag!$F$3,IF(L41="Brutt",50,IF(L41="Disk",50,ROUND(MAXA(100*(MIN(L$10:L$94)/L41),50),0)))))</f>
        <v>50</v>
      </c>
      <c r="N41" s="724">
        <f t="shared" si="3"/>
        <v>7.0960857642412677E-3</v>
      </c>
      <c r="O41" s="596">
        <f>IF(N41="Løype",Poengsammendrag!$F$2,IF(N41="Arr",Poengsammendrag!$F$3,IF(N41="Brutt",50,IF(N41="Disk",50,ROUND(MAXA(100*(MIN(N$10:N$94)/N41),50),0)))))</f>
        <v>50</v>
      </c>
      <c r="S41" s="803" t="s">
        <v>161</v>
      </c>
      <c r="T41" s="736">
        <v>1.1136831275720164E-2</v>
      </c>
      <c r="U41" s="752">
        <v>50</v>
      </c>
      <c r="V41" s="781"/>
      <c r="W41" s="776" t="s">
        <v>153</v>
      </c>
      <c r="X41" s="740">
        <v>50</v>
      </c>
      <c r="AB41" s="828">
        <f t="shared" si="5"/>
        <v>86</v>
      </c>
      <c r="AC41" s="829">
        <f t="shared" si="4"/>
        <v>1</v>
      </c>
    </row>
    <row r="42" spans="2:29" ht="21" customHeight="1" thickBot="1" x14ac:dyDescent="0.3">
      <c r="B42" s="16">
        <f t="shared" si="0"/>
        <v>33</v>
      </c>
      <c r="C42" s="106" t="s">
        <v>263</v>
      </c>
      <c r="D42" s="107" t="s">
        <v>264</v>
      </c>
      <c r="E42" s="599" t="str">
        <f t="shared" ref="E42:E73" si="6">_xlfn.CONCAT(C42:D42)</f>
        <v>RuneHolt</v>
      </c>
      <c r="F42" s="192">
        <f>YEAR(I$5)-_xlfn.XLOOKUP(E42,Deltakerliste!E$5:E$98,Deltakerliste!I$5:I$98)</f>
        <v>73</v>
      </c>
      <c r="G42" s="192">
        <f>_xlfn.XLOOKUP(E42,Deltakerliste!E$5:E$98,Deltakerliste!H$5:H$98)</f>
        <v>2</v>
      </c>
      <c r="H42" s="592">
        <f>VLOOKUP(F42,Deltakerliste!P$6:T$84,G42,FALSE)</f>
        <v>1.5329999999999999</v>
      </c>
      <c r="I42" s="86">
        <v>1.9953703703703703E-2</v>
      </c>
      <c r="J42" s="134"/>
      <c r="K42" s="17"/>
      <c r="L42" s="600">
        <f t="shared" si="2"/>
        <v>1.1085390946502056E-2</v>
      </c>
      <c r="M42" s="594">
        <f>IF(L42="Løype",Poengsammendrag!$F$2,IF(L42="Arr",Poengsammendrag!$F$3,IF(L42="Brutt",50,IF(L42="Disk",50,ROUND(MAXA(100*(MIN(L$10:L$94)/L42),50),0)))))</f>
        <v>50</v>
      </c>
      <c r="N42" s="724">
        <f t="shared" si="3"/>
        <v>7.231174785715627E-3</v>
      </c>
      <c r="O42" s="596">
        <f>IF(N42="Løype",Poengsammendrag!$F$2,IF(N42="Arr",Poengsammendrag!$F$3,IF(N42="Brutt",50,IF(N42="Disk",50,ROUND(MAXA(100*(MIN(N$10:N$94)/N42),50),0)))))</f>
        <v>50</v>
      </c>
      <c r="S42" s="803" t="s">
        <v>90</v>
      </c>
      <c r="T42" s="796">
        <v>1.2101337448559671E-2</v>
      </c>
      <c r="U42" s="765">
        <v>50</v>
      </c>
      <c r="V42" s="782"/>
      <c r="W42" s="777" t="s">
        <v>263</v>
      </c>
      <c r="X42" s="762">
        <v>50</v>
      </c>
      <c r="AB42" s="828">
        <f t="shared" si="5"/>
        <v>87</v>
      </c>
      <c r="AC42" s="829">
        <f t="shared" si="4"/>
        <v>0</v>
      </c>
    </row>
    <row r="43" spans="2:29" ht="21" thickBot="1" x14ac:dyDescent="0.3">
      <c r="B43" s="16">
        <f t="shared" si="0"/>
        <v>34</v>
      </c>
      <c r="C43" s="106" t="s">
        <v>90</v>
      </c>
      <c r="D43" s="107" t="s">
        <v>91</v>
      </c>
      <c r="E43" s="599" t="str">
        <f t="shared" si="6"/>
        <v>TorGjermstad</v>
      </c>
      <c r="F43" s="192">
        <f>YEAR(I$5)-_xlfn.XLOOKUP(E43,Deltakerliste!E$5:E$98,Deltakerliste!I$5:I$98)</f>
        <v>76</v>
      </c>
      <c r="G43" s="192">
        <f>_xlfn.XLOOKUP(E43,Deltakerliste!E$5:E$98,Deltakerliste!H$5:H$98)</f>
        <v>2</v>
      </c>
      <c r="H43" s="592">
        <f>VLOOKUP(F43,Deltakerliste!P$6:T$84,G43,FALSE)</f>
        <v>1.655</v>
      </c>
      <c r="I43" s="86">
        <v>2.1782407407407407E-2</v>
      </c>
      <c r="J43" s="86"/>
      <c r="K43" s="13"/>
      <c r="L43" s="600">
        <f t="shared" si="2"/>
        <v>1.2101337448559671E-2</v>
      </c>
      <c r="M43" s="594">
        <f>IF(L43="Løype",Poengsammendrag!$F$2,IF(L43="Arr",Poengsammendrag!$F$3,IF(L43="Brutt",50,IF(L43="Disk",50,ROUND(MAXA(100*(MIN(L$10:L$94)/L43),50),0)))))</f>
        <v>50</v>
      </c>
      <c r="N43" s="724">
        <f t="shared" si="3"/>
        <v>7.311986373752067E-3</v>
      </c>
      <c r="O43" s="596">
        <f>IF(N43="Løype",Poengsammendrag!$F$2,IF(N43="Arr",Poengsammendrag!$F$3,IF(N43="Brutt",50,IF(N43="Disk",50,ROUND(MAXA(100*(MIN(N$10:N$94)/N43),50),0)))))</f>
        <v>50</v>
      </c>
      <c r="S43" s="803" t="s">
        <v>269</v>
      </c>
      <c r="T43" s="797">
        <v>1.305298353909465E-2</v>
      </c>
      <c r="U43" s="770">
        <v>50</v>
      </c>
      <c r="V43" s="778"/>
      <c r="W43" s="783" t="s">
        <v>90</v>
      </c>
      <c r="X43" s="740">
        <v>50</v>
      </c>
      <c r="AB43" s="828">
        <f t="shared" si="5"/>
        <v>88</v>
      </c>
      <c r="AC43" s="829">
        <f t="shared" si="4"/>
        <v>0</v>
      </c>
    </row>
    <row r="44" spans="2:29" ht="21" customHeight="1" thickBot="1" x14ac:dyDescent="0.3">
      <c r="B44" s="16">
        <f t="shared" si="0"/>
        <v>35</v>
      </c>
      <c r="C44" s="106" t="s">
        <v>269</v>
      </c>
      <c r="D44" s="107" t="s">
        <v>270</v>
      </c>
      <c r="E44" s="599" t="str">
        <f t="shared" si="6"/>
        <v>Per OlavJohansen</v>
      </c>
      <c r="F44" s="192">
        <f>YEAR(I$5)-_xlfn.XLOOKUP(E44,Deltakerliste!E$5:E$98,Deltakerliste!I$5:I$98)</f>
        <v>68</v>
      </c>
      <c r="G44" s="192">
        <f>_xlfn.XLOOKUP(E44,Deltakerliste!E$5:E$98,Deltakerliste!H$5:H$98)</f>
        <v>2</v>
      </c>
      <c r="H44" s="592">
        <f>VLOOKUP(F44,Deltakerliste!P$6:T$84,G44,FALSE)</f>
        <v>1.3729999999999998</v>
      </c>
      <c r="I44" s="132">
        <v>2.3495370370370371E-2</v>
      </c>
      <c r="J44" s="132"/>
      <c r="K44" s="134"/>
      <c r="L44" s="600">
        <f t="shared" si="2"/>
        <v>1.305298353909465E-2</v>
      </c>
      <c r="M44" s="594">
        <f>IF(L44="Løype",Poengsammendrag!$F$2,IF(L44="Arr",Poengsammendrag!$F$3,IF(L44="Brutt",50,IF(L44="Disk",50,ROUND(MAXA(100*(MIN(L$10:L$94)/L44),50),0)))))</f>
        <v>50</v>
      </c>
      <c r="N44" s="724">
        <f t="shared" si="3"/>
        <v>9.5069071661286614E-3</v>
      </c>
      <c r="O44" s="596">
        <f>IF(N44="Løype",Poengsammendrag!$F$2,IF(N44="Arr",Poengsammendrag!$F$3,IF(N44="Brutt",50,IF(N44="Disk",50,ROUND(MAXA(100*(MIN(N$10:N$94)/N44),50),0)))))</f>
        <v>50</v>
      </c>
      <c r="S44" s="803" t="s">
        <v>153</v>
      </c>
      <c r="T44" s="797">
        <v>1.413966049382716E-2</v>
      </c>
      <c r="U44" s="770">
        <v>50</v>
      </c>
      <c r="V44" s="772"/>
      <c r="W44" s="783" t="s">
        <v>269</v>
      </c>
      <c r="X44" s="740">
        <v>50</v>
      </c>
      <c r="AB44" s="828">
        <f t="shared" si="5"/>
        <v>89</v>
      </c>
      <c r="AC44" s="829">
        <f t="shared" si="4"/>
        <v>0</v>
      </c>
    </row>
    <row r="45" spans="2:29" ht="21" thickBot="1" x14ac:dyDescent="0.3">
      <c r="B45" s="16">
        <f t="shared" si="0"/>
        <v>36</v>
      </c>
      <c r="C45" s="106" t="s">
        <v>60</v>
      </c>
      <c r="D45" s="107" t="s">
        <v>372</v>
      </c>
      <c r="E45" s="599" t="str">
        <f t="shared" si="6"/>
        <v>JosteinGrepstad</v>
      </c>
      <c r="F45" s="192">
        <f>YEAR(I$5)-_xlfn.XLOOKUP(E45,Deltakerliste!E$5:E$98,Deltakerliste!I$5:I$98)</f>
        <v>75</v>
      </c>
      <c r="G45" s="192">
        <f>_xlfn.XLOOKUP(E45,Deltakerliste!E$5:E$98,Deltakerliste!H$5:H$98)</f>
        <v>2</v>
      </c>
      <c r="H45" s="592">
        <f>VLOOKUP(F45,Deltakerliste!P$6:T$84,G45,FALSE)</f>
        <v>1.605</v>
      </c>
      <c r="I45" s="14">
        <v>3.5208333333333335E-2</v>
      </c>
      <c r="J45" s="14"/>
      <c r="K45" s="18"/>
      <c r="L45" s="600">
        <f t="shared" si="2"/>
        <v>1.9560185185185184E-2</v>
      </c>
      <c r="M45" s="594">
        <f>IF(L45="Løype",Poengsammendrag!$F$2,IF(L45="Arr",Poengsammendrag!$F$3,IF(L45="Brutt",50,IF(L45="Disk",50,ROUND(MAXA(100*(MIN(L$10:L$94)/L45),50),0)))))</f>
        <v>50</v>
      </c>
      <c r="N45" s="724">
        <f t="shared" si="3"/>
        <v>1.2187031268028153E-2</v>
      </c>
      <c r="O45" s="596">
        <f>IF(N45="Løype",Poengsammendrag!$F$2,IF(N45="Arr",Poengsammendrag!$F$3,IF(N45="Brutt",50,IF(N45="Disk",50,ROUND(MAXA(100*(MIN(N$10:N$94)/N45),50),0)))))</f>
        <v>50</v>
      </c>
      <c r="S45" s="803" t="s">
        <v>60</v>
      </c>
      <c r="T45" s="797">
        <v>1.9560185185185184E-2</v>
      </c>
      <c r="U45" s="770">
        <v>50</v>
      </c>
      <c r="V45" s="772"/>
      <c r="W45" s="783" t="s">
        <v>60</v>
      </c>
      <c r="X45" s="740">
        <v>50</v>
      </c>
      <c r="AB45" s="828">
        <f t="shared" si="5"/>
        <v>90</v>
      </c>
      <c r="AC45" s="829">
        <f t="shared" si="4"/>
        <v>0</v>
      </c>
    </row>
    <row r="46" spans="2:29" ht="21" thickBot="1" x14ac:dyDescent="0.3">
      <c r="B46" s="16">
        <f t="shared" si="0"/>
        <v>37</v>
      </c>
      <c r="C46" s="106" t="s">
        <v>80</v>
      </c>
      <c r="D46" s="107" t="s">
        <v>81</v>
      </c>
      <c r="E46" s="599" t="str">
        <f t="shared" si="6"/>
        <v>HalvorFlatberg</v>
      </c>
      <c r="F46" s="192">
        <f>YEAR(I$5)-_xlfn.XLOOKUP(E46,Deltakerliste!E$5:E$98,Deltakerliste!I$5:I$98)</f>
        <v>80</v>
      </c>
      <c r="G46" s="192">
        <f>_xlfn.XLOOKUP(E46,Deltakerliste!E$5:E$98,Deltakerliste!H$5:H$98)</f>
        <v>2</v>
      </c>
      <c r="H46" s="592">
        <f>VLOOKUP(F46,Deltakerliste!P$6:T$84,G46,FALSE)</f>
        <v>1.8550000000000002</v>
      </c>
      <c r="I46" s="86"/>
      <c r="J46" s="853" t="s">
        <v>7</v>
      </c>
      <c r="K46" s="13"/>
      <c r="L46" s="600" t="str">
        <f t="shared" si="2"/>
        <v>Arr</v>
      </c>
      <c r="M46" s="594">
        <f>IF(L46="Løype",Poengsammendrag!$F$2,IF(L46="Arr",Poengsammendrag!$F$3,IF(L46="Brutt",50,IF(L46="Disk",50,ROUND(MAXA(100*(MIN(L$10:L$94)/L46),50),0)))))</f>
        <v>94</v>
      </c>
      <c r="N46" s="724" t="str">
        <f t="shared" si="3"/>
        <v>Arr</v>
      </c>
      <c r="O46" s="596">
        <f>IF(N46="Løype",Poengsammendrag!$F$2,IF(N46="Arr",Poengsammendrag!$F$3,IF(N46="Brutt",50,IF(N46="Disk",50,ROUND(MAXA(100*(MIN(N$10:N$94)/N46),50),0)))))</f>
        <v>94</v>
      </c>
      <c r="S46" s="803" t="s">
        <v>80</v>
      </c>
      <c r="T46" s="797" t="s">
        <v>7</v>
      </c>
      <c r="U46" s="770">
        <v>94</v>
      </c>
      <c r="V46" s="772"/>
      <c r="W46" s="783" t="s">
        <v>80</v>
      </c>
      <c r="X46" s="740">
        <v>94</v>
      </c>
      <c r="AB46" s="828">
        <f t="shared" si="5"/>
        <v>91</v>
      </c>
      <c r="AC46" s="829">
        <f t="shared" si="4"/>
        <v>0</v>
      </c>
    </row>
    <row r="47" spans="2:29" ht="21" customHeight="1" thickBot="1" x14ac:dyDescent="0.3">
      <c r="B47" s="16">
        <f t="shared" si="0"/>
        <v>38</v>
      </c>
      <c r="C47" s="106" t="s">
        <v>63</v>
      </c>
      <c r="D47" s="107" t="s">
        <v>105</v>
      </c>
      <c r="E47" s="599" t="str">
        <f t="shared" si="6"/>
        <v>ToreKiste</v>
      </c>
      <c r="F47" s="192">
        <f>YEAR(I$5)-_xlfn.XLOOKUP(E47,Deltakerliste!E$5:E$98,Deltakerliste!I$5:I$98)</f>
        <v>81</v>
      </c>
      <c r="G47" s="192">
        <f>_xlfn.XLOOKUP(E47,Deltakerliste!E$5:E$98,Deltakerliste!H$5:H$98)</f>
        <v>2</v>
      </c>
      <c r="H47" s="592">
        <f>VLOOKUP(F47,Deltakerliste!P$6:T$84,G47,FALSE)</f>
        <v>1.9290000000000003</v>
      </c>
      <c r="I47" s="86"/>
      <c r="J47" s="86" t="s">
        <v>7</v>
      </c>
      <c r="K47" s="13"/>
      <c r="L47" s="600" t="str">
        <f t="shared" si="2"/>
        <v>Arr</v>
      </c>
      <c r="M47" s="594">
        <f>IF(L47="Løype",Poengsammendrag!$F$2,IF(L47="Arr",Poengsammendrag!$F$3,IF(L47="Brutt",50,IF(L47="Disk",50,ROUND(MAXA(100*(MIN(L$10:L$94)/L47),50),0)))))</f>
        <v>94</v>
      </c>
      <c r="N47" s="724" t="str">
        <f t="shared" si="3"/>
        <v>Arr</v>
      </c>
      <c r="O47" s="596">
        <f>IF(N47="Løype",Poengsammendrag!$F$2,IF(N47="Arr",Poengsammendrag!$F$3,IF(N47="Brutt",50,IF(N47="Disk",50,ROUND(MAXA(100*(MIN(N$10:N$94)/N47),50),0)))))</f>
        <v>94</v>
      </c>
      <c r="S47" s="803" t="s">
        <v>339</v>
      </c>
      <c r="T47" s="797" t="s">
        <v>7</v>
      </c>
      <c r="U47" s="770">
        <v>94</v>
      </c>
      <c r="V47" s="772"/>
      <c r="W47" s="783" t="s">
        <v>339</v>
      </c>
      <c r="X47" s="740">
        <v>94</v>
      </c>
      <c r="AB47" s="828">
        <f t="shared" si="5"/>
        <v>92</v>
      </c>
      <c r="AC47" s="829">
        <f t="shared" si="4"/>
        <v>0</v>
      </c>
    </row>
    <row r="48" spans="2:29" ht="21" customHeight="1" thickBot="1" x14ac:dyDescent="0.3">
      <c r="B48" s="16">
        <f t="shared" si="0"/>
        <v>39</v>
      </c>
      <c r="C48" s="106" t="s">
        <v>122</v>
      </c>
      <c r="D48" s="107" t="s">
        <v>123</v>
      </c>
      <c r="E48" s="599" t="str">
        <f t="shared" si="6"/>
        <v>MartinMelhuus</v>
      </c>
      <c r="F48" s="192">
        <f>YEAR(I$5)-_xlfn.XLOOKUP(E48,Deltakerliste!E$5:E$98,Deltakerliste!I$5:I$98)</f>
        <v>82</v>
      </c>
      <c r="G48" s="192">
        <f>_xlfn.XLOOKUP(E48,Deltakerliste!E$5:E$98,Deltakerliste!H$5:H$98)</f>
        <v>2</v>
      </c>
      <c r="H48" s="592">
        <f>VLOOKUP(F48,Deltakerliste!P$6:T$84,G48,FALSE)</f>
        <v>2.0030000000000001</v>
      </c>
      <c r="I48" s="13" t="s">
        <v>319</v>
      </c>
      <c r="J48" s="13"/>
      <c r="K48" s="13"/>
      <c r="L48" s="600" t="str">
        <f t="shared" si="2"/>
        <v>Disk</v>
      </c>
      <c r="M48" s="594">
        <f>IF(L48="Løype",Poengsammendrag!$F$2,IF(L48="Arr",Poengsammendrag!$F$3,IF(L48="Brutt",50,IF(L48="Disk",50,ROUND(MAXA(100*(MIN(L$10:L$94)/L48),50),0)))))</f>
        <v>50</v>
      </c>
      <c r="N48" s="724" t="str">
        <f t="shared" si="3"/>
        <v>Disk</v>
      </c>
      <c r="O48" s="596">
        <f>IF(N48="Løype",Poengsammendrag!$F$2,IF(N48="Arr",Poengsammendrag!$F$3,IF(N48="Brutt",50,IF(N48="Disk",50,ROUND(MAXA(100*(MIN(N$10:N$94)/N48),50),0)))))</f>
        <v>50</v>
      </c>
      <c r="S48" s="803" t="s">
        <v>122</v>
      </c>
      <c r="T48" s="797" t="s">
        <v>319</v>
      </c>
      <c r="U48" s="770">
        <v>50</v>
      </c>
      <c r="V48" s="772"/>
      <c r="W48" s="783" t="s">
        <v>122</v>
      </c>
      <c r="X48" s="740">
        <v>50</v>
      </c>
      <c r="AB48" s="828">
        <f t="shared" si="5"/>
        <v>93</v>
      </c>
      <c r="AC48" s="829">
        <f t="shared" si="4"/>
        <v>0</v>
      </c>
    </row>
    <row r="49" spans="2:29" ht="21" customHeight="1" thickBot="1" x14ac:dyDescent="0.3">
      <c r="B49" s="16">
        <f t="shared" si="0"/>
        <v>40</v>
      </c>
      <c r="C49" s="106" t="s">
        <v>78</v>
      </c>
      <c r="D49" s="107" t="s">
        <v>146</v>
      </c>
      <c r="E49" s="599" t="str">
        <f t="shared" si="6"/>
        <v>LeifRøhjell</v>
      </c>
      <c r="F49" s="192">
        <f>YEAR(I$5)-_xlfn.XLOOKUP(E49,Deltakerliste!E$5:E$98,Deltakerliste!I$5:I$98)</f>
        <v>82</v>
      </c>
      <c r="G49" s="192">
        <f>_xlfn.XLOOKUP(E49,Deltakerliste!E$5:E$98,Deltakerliste!H$5:H$98)</f>
        <v>2</v>
      </c>
      <c r="H49" s="592">
        <f>VLOOKUP(F49,Deltakerliste!P$6:T$84,G49,FALSE)</f>
        <v>2.0030000000000001</v>
      </c>
      <c r="I49" s="132" t="s">
        <v>319</v>
      </c>
      <c r="J49" s="18"/>
      <c r="K49" s="18"/>
      <c r="L49" s="600" t="str">
        <f t="shared" si="2"/>
        <v>Disk</v>
      </c>
      <c r="M49" s="594">
        <f>IF(L49="Løype",Poengsammendrag!$F$2,IF(L49="Arr",Poengsammendrag!$F$3,IF(L49="Brutt",50,IF(L49="Disk",50,ROUND(MAXA(100*(MIN(L$10:L$94)/L49),50),0)))))</f>
        <v>50</v>
      </c>
      <c r="N49" s="724" t="str">
        <f t="shared" si="3"/>
        <v>Disk</v>
      </c>
      <c r="O49" s="596">
        <f>IF(N49="Løype",Poengsammendrag!$F$2,IF(N49="Arr",Poengsammendrag!$F$3,IF(N49="Brutt",50,IF(N49="Disk",50,ROUND(MAXA(100*(MIN(N$10:N$94)/N49),50),0)))))</f>
        <v>50</v>
      </c>
      <c r="S49" s="803" t="s">
        <v>337</v>
      </c>
      <c r="T49" s="796" t="s">
        <v>319</v>
      </c>
      <c r="U49" s="793">
        <v>50</v>
      </c>
      <c r="V49" s="794"/>
      <c r="W49" s="795" t="s">
        <v>337</v>
      </c>
      <c r="X49" s="762">
        <v>50</v>
      </c>
      <c r="AB49" s="828">
        <f t="shared" si="5"/>
        <v>94</v>
      </c>
      <c r="AC49" s="829">
        <f t="shared" si="4"/>
        <v>0</v>
      </c>
    </row>
    <row r="50" spans="2:29" ht="21" thickBot="1" x14ac:dyDescent="0.3">
      <c r="B50" s="16">
        <f t="shared" si="0"/>
        <v>41</v>
      </c>
      <c r="C50" s="106" t="s">
        <v>207</v>
      </c>
      <c r="D50" s="107" t="s">
        <v>89</v>
      </c>
      <c r="E50" s="599" t="str">
        <f t="shared" si="6"/>
        <v>AnneFuruholt</v>
      </c>
      <c r="F50" s="192">
        <f>YEAR(I$5)-_xlfn.XLOOKUP(E50,Deltakerliste!E$5:E$98,Deltakerliste!I$5:I$98)</f>
        <v>79</v>
      </c>
      <c r="G50" s="192">
        <f>_xlfn.XLOOKUP(E50,Deltakerliste!E$5:E$98,Deltakerliste!H$5:H$98)</f>
        <v>4</v>
      </c>
      <c r="H50" s="592">
        <f>VLOOKUP(F50,Deltakerliste!P$6:T$84,G50,FALSE)</f>
        <v>2.3974000000000011</v>
      </c>
      <c r="I50" s="13" t="s">
        <v>319</v>
      </c>
      <c r="J50" s="13"/>
      <c r="K50" s="13"/>
      <c r="L50" s="600" t="str">
        <f t="shared" si="2"/>
        <v>Disk</v>
      </c>
      <c r="M50" s="594">
        <f>IF(L50="Løype",Poengsammendrag!$F$2,IF(L50="Arr",Poengsammendrag!$F$3,IF(L50="Brutt",50,IF(L50="Disk",50,ROUND(MAXA(100*(MIN(L$10:L$94)/L50),50),0)))))</f>
        <v>50</v>
      </c>
      <c r="N50" s="724" t="str">
        <f t="shared" si="3"/>
        <v>Disk</v>
      </c>
      <c r="O50" s="596">
        <f>IF(N50="Løype",Poengsammendrag!$F$2,IF(N50="Arr",Poengsammendrag!$F$3,IF(N50="Brutt",50,IF(N50="Disk",50,ROUND(MAXA(100*(MIN(N$10:N$94)/N50),50),0)))))</f>
        <v>50</v>
      </c>
      <c r="S50" s="803" t="s">
        <v>207</v>
      </c>
      <c r="T50" s="851" t="s">
        <v>319</v>
      </c>
      <c r="U50" s="770">
        <v>50</v>
      </c>
      <c r="V50" s="772"/>
      <c r="W50" s="783" t="s">
        <v>207</v>
      </c>
      <c r="X50" s="740">
        <v>50</v>
      </c>
      <c r="AB50" s="830">
        <f t="shared" si="5"/>
        <v>95</v>
      </c>
      <c r="AC50" s="831">
        <f t="shared" si="4"/>
        <v>0</v>
      </c>
    </row>
    <row r="51" spans="2:29" ht="21" customHeight="1" thickBot="1" x14ac:dyDescent="0.3">
      <c r="B51" s="16">
        <f t="shared" si="0"/>
        <v>42</v>
      </c>
      <c r="C51" s="106" t="s">
        <v>78</v>
      </c>
      <c r="D51" s="107" t="s">
        <v>79</v>
      </c>
      <c r="E51" s="599" t="str">
        <f t="shared" si="6"/>
        <v>LeifEngen</v>
      </c>
      <c r="F51" s="192">
        <f>YEAR(I$5)-_xlfn.XLOOKUP(E51,Deltakerliste!E$5:E$98,Deltakerliste!I$5:I$98)</f>
        <v>85</v>
      </c>
      <c r="G51" s="192">
        <f>_xlfn.XLOOKUP(E51,Deltakerliste!E$5:E$98,Deltakerliste!H$5:H$98)</f>
        <v>2</v>
      </c>
      <c r="H51" s="592">
        <f>VLOOKUP(F51,Deltakerliste!P$6:T$84,G51,FALSE)</f>
        <v>2.2249999999999996</v>
      </c>
      <c r="I51" s="86"/>
      <c r="J51" s="86" t="s">
        <v>62</v>
      </c>
      <c r="K51" s="13"/>
      <c r="L51" s="600" t="str">
        <f t="shared" si="2"/>
        <v>Løype</v>
      </c>
      <c r="M51" s="594">
        <f>IF(L51="Løype",Poengsammendrag!$F$2,IF(L51="Arr",Poengsammendrag!$F$3,IF(L51="Brutt",50,IF(L51="Disk",50,ROUND(MAXA(100*(MIN(L$10:L$94)/L51),50),0)))))</f>
        <v>100</v>
      </c>
      <c r="N51" s="724" t="str">
        <f t="shared" si="3"/>
        <v>Løype</v>
      </c>
      <c r="O51" s="596">
        <f>IF(N51="Løype",Poengsammendrag!$F$2,IF(N51="Arr",Poengsammendrag!$F$3,IF(N51="Brutt",50,IF(N51="Disk",50,ROUND(MAXA(100*(MIN(N$10:N$94)/N51),50),0)))))</f>
        <v>100</v>
      </c>
      <c r="S51" s="803" t="s">
        <v>338</v>
      </c>
      <c r="T51" s="797" t="s">
        <v>62</v>
      </c>
      <c r="U51" s="770">
        <v>100</v>
      </c>
      <c r="V51" s="772"/>
      <c r="W51" s="783" t="s">
        <v>338</v>
      </c>
      <c r="X51" s="740">
        <v>100</v>
      </c>
    </row>
    <row r="52" spans="2:29" ht="21" thickBot="1" x14ac:dyDescent="0.3">
      <c r="B52" s="16">
        <f t="shared" si="0"/>
        <v>43</v>
      </c>
      <c r="C52" s="106" t="s">
        <v>60</v>
      </c>
      <c r="D52" s="107" t="s">
        <v>61</v>
      </c>
      <c r="E52" s="599" t="str">
        <f t="shared" si="6"/>
        <v>JosteinAlvestad</v>
      </c>
      <c r="F52" s="192">
        <f>YEAR(I$5)-_xlfn.XLOOKUP(E52,Deltakerliste!E$5:E$98,Deltakerliste!I$5:I$98)</f>
        <v>71</v>
      </c>
      <c r="G52" s="192">
        <f>_xlfn.XLOOKUP(E52,Deltakerliste!E$5:E$98,Deltakerliste!H$5:H$98)</f>
        <v>2</v>
      </c>
      <c r="H52" s="592">
        <f>VLOOKUP(F52,Deltakerliste!P$6:T$84,G52,FALSE)</f>
        <v>1.4609999999999999</v>
      </c>
      <c r="I52" s="13"/>
      <c r="J52" s="13"/>
      <c r="K52" s="17"/>
      <c r="L52" s="600"/>
      <c r="M52" s="594"/>
      <c r="N52" s="724"/>
      <c r="O52" s="596"/>
      <c r="S52" s="803"/>
      <c r="T52" s="798"/>
      <c r="U52" s="770"/>
      <c r="V52" s="772"/>
      <c r="W52" s="783"/>
      <c r="X52" s="740"/>
      <c r="AC52" s="651">
        <f>SUM(AC10:AC50)</f>
        <v>42</v>
      </c>
    </row>
    <row r="53" spans="2:29" ht="21" thickBot="1" x14ac:dyDescent="0.3">
      <c r="B53" s="16">
        <f t="shared" si="0"/>
        <v>44</v>
      </c>
      <c r="C53" s="106" t="s">
        <v>66</v>
      </c>
      <c r="D53" s="107" t="s">
        <v>67</v>
      </c>
      <c r="E53" s="599" t="str">
        <f t="shared" si="6"/>
        <v>FrankBjarkø</v>
      </c>
      <c r="F53" s="192">
        <f>YEAR(I$5)-_xlfn.XLOOKUP(E53,Deltakerliste!E$5:E$98,Deltakerliste!I$5:I$98)</f>
        <v>74</v>
      </c>
      <c r="G53" s="192">
        <f>_xlfn.XLOOKUP(E53,Deltakerliste!E$5:E$98,Deltakerliste!H$5:H$98)</f>
        <v>2</v>
      </c>
      <c r="H53" s="592">
        <f>VLOOKUP(F53,Deltakerliste!P$6:T$84,G53,FALSE)</f>
        <v>1.569</v>
      </c>
      <c r="I53" s="13"/>
      <c r="J53" s="13"/>
      <c r="K53" s="13"/>
      <c r="L53" s="600"/>
      <c r="M53" s="594"/>
      <c r="N53" s="724"/>
      <c r="O53" s="596"/>
      <c r="S53" s="803"/>
      <c r="T53" s="798"/>
      <c r="U53" s="770"/>
      <c r="V53" s="772"/>
      <c r="W53" s="783"/>
      <c r="X53" s="740"/>
    </row>
    <row r="54" spans="2:29" ht="21" thickBot="1" x14ac:dyDescent="0.3">
      <c r="B54" s="16">
        <f t="shared" si="0"/>
        <v>45</v>
      </c>
      <c r="C54" s="106" t="s">
        <v>64</v>
      </c>
      <c r="D54" s="107" t="s">
        <v>267</v>
      </c>
      <c r="E54" s="599" t="str">
        <f t="shared" si="6"/>
        <v>BjørnBrenne</v>
      </c>
      <c r="F54" s="192">
        <f>YEAR(I$5)-_xlfn.XLOOKUP(E54,Deltakerliste!E$5:E$98,Deltakerliste!I$5:I$98)</f>
        <v>81</v>
      </c>
      <c r="G54" s="192">
        <f>_xlfn.XLOOKUP(E54,Deltakerliste!E$5:E$98,Deltakerliste!H$5:H$98)</f>
        <v>2</v>
      </c>
      <c r="H54" s="592">
        <f>VLOOKUP(F54,Deltakerliste!P$6:T$84,G54,FALSE)</f>
        <v>1.9290000000000003</v>
      </c>
      <c r="I54" s="86"/>
      <c r="J54" s="86"/>
      <c r="K54" s="13"/>
      <c r="L54" s="600"/>
      <c r="M54" s="594"/>
      <c r="N54" s="724"/>
      <c r="O54" s="596"/>
      <c r="S54" s="846"/>
      <c r="T54" s="847"/>
      <c r="U54" s="848"/>
      <c r="V54" s="778"/>
      <c r="W54" s="849"/>
      <c r="X54" s="850"/>
    </row>
    <row r="55" spans="2:29" ht="21" customHeight="1" thickBot="1" x14ac:dyDescent="0.3">
      <c r="B55" s="16">
        <f t="shared" si="0"/>
        <v>46</v>
      </c>
      <c r="C55" s="106" t="s">
        <v>68</v>
      </c>
      <c r="D55" s="107" t="s">
        <v>69</v>
      </c>
      <c r="E55" s="599" t="str">
        <f t="shared" si="6"/>
        <v>JanBøhle</v>
      </c>
      <c r="F55" s="192">
        <f>YEAR(I$5)-_xlfn.XLOOKUP(E55,Deltakerliste!E$5:E$98,Deltakerliste!I$5:I$98)</f>
        <v>74</v>
      </c>
      <c r="G55" s="192">
        <f>_xlfn.XLOOKUP(E55,Deltakerliste!E$5:E$98,Deltakerliste!H$5:H$98)</f>
        <v>2</v>
      </c>
      <c r="H55" s="592">
        <f>VLOOKUP(F55,Deltakerliste!P$6:T$84,G55,FALSE)</f>
        <v>1.569</v>
      </c>
      <c r="I55" s="86"/>
      <c r="J55" s="86"/>
      <c r="K55" s="13"/>
      <c r="L55" s="600"/>
      <c r="M55" s="594"/>
      <c r="N55" s="724"/>
      <c r="O55" s="596"/>
      <c r="S55" s="803"/>
      <c r="T55" s="798"/>
      <c r="U55" s="770"/>
      <c r="V55" s="772"/>
      <c r="W55" s="783"/>
      <c r="X55" s="740"/>
    </row>
    <row r="56" spans="2:29" ht="21" thickBot="1" x14ac:dyDescent="0.3">
      <c r="B56" s="16">
        <f t="shared" si="0"/>
        <v>47</v>
      </c>
      <c r="C56" s="106" t="s">
        <v>342</v>
      </c>
      <c r="D56" s="107" t="s">
        <v>388</v>
      </c>
      <c r="E56" s="599" t="str">
        <f t="shared" si="6"/>
        <v>ArildClausen</v>
      </c>
      <c r="F56" s="192">
        <f>YEAR(I$5)-_xlfn.XLOOKUP(E56,Deltakerliste!E$5:E$98,Deltakerliste!I$5:I$98)</f>
        <v>58</v>
      </c>
      <c r="G56" s="192">
        <f>_xlfn.XLOOKUP(E56,Deltakerliste!E$5:E$98,Deltakerliste!H$5:H$98)</f>
        <v>2</v>
      </c>
      <c r="H56" s="592">
        <f>VLOOKUP(F56,Deltakerliste!P$6:T$84,G56,FALSE)</f>
        <v>1.1720000000000002</v>
      </c>
      <c r="I56" s="86"/>
      <c r="J56" s="86"/>
      <c r="K56" s="13"/>
      <c r="L56" s="600"/>
      <c r="M56" s="594"/>
      <c r="N56" s="724"/>
      <c r="O56" s="596"/>
      <c r="S56" s="803"/>
      <c r="T56" s="798"/>
      <c r="U56" s="770"/>
      <c r="V56" s="772"/>
      <c r="W56" s="783"/>
      <c r="X56" s="740"/>
    </row>
    <row r="57" spans="2:29" ht="21" thickBot="1" x14ac:dyDescent="0.3">
      <c r="B57" s="16">
        <f t="shared" si="0"/>
        <v>48</v>
      </c>
      <c r="C57" s="106" t="s">
        <v>70</v>
      </c>
      <c r="D57" s="107" t="s">
        <v>71</v>
      </c>
      <c r="E57" s="599" t="str">
        <f t="shared" si="6"/>
        <v>TrondDamås</v>
      </c>
      <c r="F57" s="192">
        <f>YEAR(I$5)-_xlfn.XLOOKUP(E57,Deltakerliste!E$5:E$98,Deltakerliste!I$5:I$98)</f>
        <v>76</v>
      </c>
      <c r="G57" s="192">
        <f>_xlfn.XLOOKUP(E57,Deltakerliste!E$5:E$98,Deltakerliste!H$5:H$98)</f>
        <v>2</v>
      </c>
      <c r="H57" s="592">
        <f>VLOOKUP(F57,Deltakerliste!P$6:T$84,G57,FALSE)</f>
        <v>1.655</v>
      </c>
      <c r="I57" s="13"/>
      <c r="J57" s="13"/>
      <c r="K57" s="13"/>
      <c r="L57" s="600"/>
      <c r="M57" s="594"/>
      <c r="N57" s="724"/>
      <c r="O57" s="596"/>
      <c r="S57" s="804"/>
      <c r="T57" s="801"/>
      <c r="U57" s="771"/>
      <c r="V57" s="773"/>
      <c r="W57" s="784"/>
      <c r="X57" s="741"/>
    </row>
    <row r="58" spans="2:29" ht="20" customHeight="1" thickBot="1" x14ac:dyDescent="0.3">
      <c r="B58" s="16">
        <f t="shared" si="0"/>
        <v>49</v>
      </c>
      <c r="C58" s="106" t="s">
        <v>74</v>
      </c>
      <c r="D58" s="107" t="s">
        <v>75</v>
      </c>
      <c r="E58" s="599" t="str">
        <f t="shared" si="6"/>
        <v>StinaElfving</v>
      </c>
      <c r="F58" s="192">
        <f>YEAR(I$5)-_xlfn.XLOOKUP(E58,Deltakerliste!E$5:E$98,Deltakerliste!I$5:I$98)</f>
        <v>76</v>
      </c>
      <c r="G58" s="192">
        <f>_xlfn.XLOOKUP(E58,Deltakerliste!E$5:E$98,Deltakerliste!H$5:H$98)</f>
        <v>4</v>
      </c>
      <c r="H58" s="592">
        <f>VLOOKUP(F58,Deltakerliste!P$6:T$84,G58,FALSE)</f>
        <v>2.2246000000000015</v>
      </c>
      <c r="I58" s="13"/>
      <c r="J58" s="13"/>
      <c r="K58" s="17"/>
      <c r="L58" s="600"/>
      <c r="M58" s="594"/>
      <c r="N58" s="724"/>
      <c r="O58" s="596"/>
    </row>
    <row r="59" spans="2:29" ht="21" thickBot="1" x14ac:dyDescent="0.3">
      <c r="B59" s="16">
        <f t="shared" si="0"/>
        <v>50</v>
      </c>
      <c r="C59" s="106" t="s">
        <v>76</v>
      </c>
      <c r="D59" s="107" t="s">
        <v>77</v>
      </c>
      <c r="E59" s="599" t="str">
        <f t="shared" si="6"/>
        <v>ReinoldEllingsen</v>
      </c>
      <c r="F59" s="192">
        <f>YEAR(I$5)-_xlfn.XLOOKUP(E59,Deltakerliste!E$5:E$98,Deltakerliste!I$5:I$98)</f>
        <v>75</v>
      </c>
      <c r="G59" s="192">
        <f>_xlfn.XLOOKUP(E59,Deltakerliste!E$5:E$98,Deltakerliste!H$5:H$98)</f>
        <v>2</v>
      </c>
      <c r="H59" s="592">
        <f>VLOOKUP(F59,Deltakerliste!P$6:T$84,G59,FALSE)</f>
        <v>1.605</v>
      </c>
      <c r="I59" s="13"/>
      <c r="J59" s="13"/>
      <c r="K59" s="13"/>
      <c r="L59" s="600"/>
      <c r="M59" s="594"/>
      <c r="N59" s="724"/>
      <c r="O59" s="596"/>
    </row>
    <row r="60" spans="2:29" ht="21" customHeight="1" thickBot="1" x14ac:dyDescent="0.3">
      <c r="B60" s="16">
        <f t="shared" si="0"/>
        <v>51</v>
      </c>
      <c r="C60" s="106" t="s">
        <v>216</v>
      </c>
      <c r="D60" s="107" t="s">
        <v>77</v>
      </c>
      <c r="E60" s="599" t="str">
        <f t="shared" si="6"/>
        <v>Åse RitaEllingsen</v>
      </c>
      <c r="F60" s="192">
        <f>YEAR(I$5)-_xlfn.XLOOKUP(E60,Deltakerliste!E$5:E$98,Deltakerliste!I$5:I$98)</f>
        <v>62</v>
      </c>
      <c r="G60" s="192">
        <f>_xlfn.XLOOKUP(E60,Deltakerliste!E$5:E$98,Deltakerliste!H$5:H$98)</f>
        <v>4</v>
      </c>
      <c r="H60" s="592">
        <f>VLOOKUP(F60,Deltakerliste!P$6:T$84,G60,FALSE)</f>
        <v>1.6834000000000005</v>
      </c>
      <c r="I60" s="86"/>
      <c r="J60" s="14"/>
      <c r="K60" s="13"/>
      <c r="L60" s="600"/>
      <c r="M60" s="594"/>
      <c r="N60" s="724"/>
      <c r="O60" s="596"/>
    </row>
    <row r="61" spans="2:29" ht="21" customHeight="1" thickBot="1" x14ac:dyDescent="0.3">
      <c r="B61" s="16">
        <f t="shared" si="0"/>
        <v>52</v>
      </c>
      <c r="C61" s="106" t="s">
        <v>271</v>
      </c>
      <c r="D61" s="107" t="s">
        <v>272</v>
      </c>
      <c r="E61" s="599" t="str">
        <f t="shared" si="6"/>
        <v>Arne KjellFoldvik</v>
      </c>
      <c r="F61" s="192">
        <f>YEAR(I$5)-_xlfn.XLOOKUP(E61,Deltakerliste!E$5:E$98,Deltakerliste!I$5:I$98)</f>
        <v>92</v>
      </c>
      <c r="G61" s="192">
        <f>_xlfn.XLOOKUP(E61,Deltakerliste!E$5:E$98,Deltakerliste!H$5:H$98)</f>
        <v>2</v>
      </c>
      <c r="H61" s="592">
        <f>VLOOKUP(F61,Deltakerliste!P$6:T$84,G61,FALSE)</f>
        <v>2.8130000000000002</v>
      </c>
      <c r="I61" s="14"/>
      <c r="J61" s="14"/>
      <c r="K61" s="13"/>
      <c r="L61" s="600"/>
      <c r="M61" s="594"/>
      <c r="N61" s="724"/>
      <c r="O61" s="596"/>
    </row>
    <row r="62" spans="2:29" ht="21" customHeight="1" thickBot="1" x14ac:dyDescent="0.3">
      <c r="B62" s="16">
        <f t="shared" si="0"/>
        <v>53</v>
      </c>
      <c r="C62" s="106" t="s">
        <v>82</v>
      </c>
      <c r="D62" s="107" t="s">
        <v>83</v>
      </c>
      <c r="E62" s="599" t="str">
        <f t="shared" si="6"/>
        <v>RoarForbord</v>
      </c>
      <c r="F62" s="192">
        <f>YEAR(I$5)-_xlfn.XLOOKUP(E62,Deltakerliste!E$5:E$98,Deltakerliste!I$5:I$98)</f>
        <v>83</v>
      </c>
      <c r="G62" s="192">
        <f>_xlfn.XLOOKUP(E62,Deltakerliste!E$5:E$98,Deltakerliste!H$5:H$98)</f>
        <v>2</v>
      </c>
      <c r="H62" s="592">
        <f>VLOOKUP(F62,Deltakerliste!P$6:T$84,G62,FALSE)</f>
        <v>2.077</v>
      </c>
      <c r="I62" s="86"/>
      <c r="J62" s="86"/>
      <c r="K62" s="13"/>
      <c r="L62" s="600"/>
      <c r="M62" s="594"/>
      <c r="N62" s="724"/>
      <c r="O62" s="596"/>
    </row>
    <row r="63" spans="2:29" ht="21" thickBot="1" x14ac:dyDescent="0.3">
      <c r="B63" s="16">
        <f t="shared" si="0"/>
        <v>54</v>
      </c>
      <c r="C63" s="106" t="s">
        <v>84</v>
      </c>
      <c r="D63" s="107" t="s">
        <v>85</v>
      </c>
      <c r="E63" s="599" t="str">
        <f t="shared" si="6"/>
        <v>PaulForseth</v>
      </c>
      <c r="F63" s="192">
        <f>YEAR(I$5)-_xlfn.XLOOKUP(E63,Deltakerliste!E$5:E$98,Deltakerliste!I$5:I$98)</f>
        <v>94</v>
      </c>
      <c r="G63" s="192">
        <f>_xlfn.XLOOKUP(E63,Deltakerliste!E$5:E$98,Deltakerliste!H$5:H$98)</f>
        <v>2</v>
      </c>
      <c r="H63" s="592">
        <f>VLOOKUP(F63,Deltakerliste!P$6:T$84,G63,FALSE)</f>
        <v>2.9810000000000003</v>
      </c>
      <c r="I63" s="86"/>
      <c r="J63" s="86"/>
      <c r="K63" s="17"/>
      <c r="L63" s="600"/>
      <c r="M63" s="594"/>
      <c r="N63" s="724"/>
      <c r="O63" s="596"/>
    </row>
    <row r="64" spans="2:29" ht="21" thickBot="1" x14ac:dyDescent="0.3">
      <c r="B64" s="16">
        <f t="shared" si="0"/>
        <v>55</v>
      </c>
      <c r="C64" s="106" t="s">
        <v>86</v>
      </c>
      <c r="D64" s="107" t="s">
        <v>87</v>
      </c>
      <c r="E64" s="599" t="str">
        <f t="shared" si="6"/>
        <v>KristianFougner</v>
      </c>
      <c r="F64" s="192">
        <f>YEAR(I$5)-_xlfn.XLOOKUP(E64,Deltakerliste!E$5:E$98,Deltakerliste!I$5:I$98)</f>
        <v>76</v>
      </c>
      <c r="G64" s="192">
        <f>_xlfn.XLOOKUP(E64,Deltakerliste!E$5:E$98,Deltakerliste!H$5:H$98)</f>
        <v>2</v>
      </c>
      <c r="H64" s="592">
        <f>VLOOKUP(F64,Deltakerliste!P$6:T$84,G64,FALSE)</f>
        <v>1.655</v>
      </c>
      <c r="I64" s="86"/>
      <c r="J64" s="86"/>
      <c r="K64" s="13"/>
      <c r="L64" s="600"/>
      <c r="M64" s="594"/>
      <c r="N64" s="724"/>
      <c r="O64" s="596"/>
    </row>
    <row r="65" spans="2:17" ht="21" thickBot="1" x14ac:dyDescent="0.3">
      <c r="B65" s="16">
        <f t="shared" si="0"/>
        <v>56</v>
      </c>
      <c r="C65" s="106" t="s">
        <v>116</v>
      </c>
      <c r="D65" s="107" t="s">
        <v>353</v>
      </c>
      <c r="E65" s="599" t="str">
        <f t="shared" si="6"/>
        <v>AndersGjermo</v>
      </c>
      <c r="F65" s="192">
        <f>YEAR(I$5)-_xlfn.XLOOKUP(E65,Deltakerliste!E$5:E$98,Deltakerliste!I$5:I$98)</f>
        <v>68</v>
      </c>
      <c r="G65" s="192">
        <f>_xlfn.XLOOKUP(E65,Deltakerliste!E$5:E$98,Deltakerliste!H$5:H$98)</f>
        <v>2</v>
      </c>
      <c r="H65" s="592">
        <f>VLOOKUP(F65,Deltakerliste!P$6:T$84,G65,FALSE)</f>
        <v>1.3729999999999998</v>
      </c>
      <c r="I65" s="132"/>
      <c r="J65" s="132"/>
      <c r="K65" s="18"/>
      <c r="L65" s="600"/>
      <c r="M65" s="594"/>
      <c r="N65" s="724"/>
      <c r="O65" s="596"/>
    </row>
    <row r="66" spans="2:17" ht="21" thickBot="1" x14ac:dyDescent="0.3">
      <c r="B66" s="16">
        <f t="shared" si="0"/>
        <v>57</v>
      </c>
      <c r="C66" s="106" t="s">
        <v>92</v>
      </c>
      <c r="D66" s="107" t="s">
        <v>93</v>
      </c>
      <c r="E66" s="599" t="str">
        <f t="shared" si="6"/>
        <v>Jens ØysteinGjersvold</v>
      </c>
      <c r="F66" s="192">
        <f>YEAR(I$5)-_xlfn.XLOOKUP(E66,Deltakerliste!E$5:E$98,Deltakerliste!I$5:I$98)</f>
        <v>74</v>
      </c>
      <c r="G66" s="192">
        <f>_xlfn.XLOOKUP(E66,Deltakerliste!E$5:E$98,Deltakerliste!H$5:H$98)</f>
        <v>2</v>
      </c>
      <c r="H66" s="592">
        <f>VLOOKUP(F66,Deltakerliste!P$6:T$84,G66,FALSE)</f>
        <v>1.569</v>
      </c>
      <c r="I66" s="14"/>
      <c r="J66" s="14"/>
      <c r="K66" s="18"/>
      <c r="L66" s="600"/>
      <c r="M66" s="594"/>
      <c r="N66" s="724"/>
      <c r="O66" s="596"/>
    </row>
    <row r="67" spans="2:17" ht="21" thickBot="1" x14ac:dyDescent="0.3">
      <c r="B67" s="16">
        <f t="shared" si="0"/>
        <v>58</v>
      </c>
      <c r="C67" s="106" t="s">
        <v>96</v>
      </c>
      <c r="D67" s="107" t="s">
        <v>97</v>
      </c>
      <c r="E67" s="599" t="str">
        <f t="shared" si="6"/>
        <v>StigHaugskott</v>
      </c>
      <c r="F67" s="192">
        <f>YEAR(I$5)-_xlfn.XLOOKUP(E67,Deltakerliste!E$5:E$98,Deltakerliste!I$5:I$98)</f>
        <v>87</v>
      </c>
      <c r="G67" s="192">
        <f>_xlfn.XLOOKUP(E67,Deltakerliste!E$5:E$98,Deltakerliste!H$5:H$98)</f>
        <v>2</v>
      </c>
      <c r="H67" s="592">
        <f>VLOOKUP(F67,Deltakerliste!P$6:T$84,G67,FALSE)</f>
        <v>2.3929999999999998</v>
      </c>
      <c r="I67" s="86"/>
      <c r="J67" s="86"/>
      <c r="K67" s="86"/>
      <c r="L67" s="600"/>
      <c r="M67" s="594"/>
      <c r="N67" s="724"/>
      <c r="O67" s="596"/>
    </row>
    <row r="68" spans="2:17" ht="21" thickBot="1" x14ac:dyDescent="0.3">
      <c r="B68" s="16">
        <f t="shared" si="0"/>
        <v>59</v>
      </c>
      <c r="C68" s="106" t="s">
        <v>342</v>
      </c>
      <c r="D68" s="107" t="s">
        <v>343</v>
      </c>
      <c r="E68" s="599" t="str">
        <f t="shared" si="6"/>
        <v>ArildHeggeset</v>
      </c>
      <c r="F68" s="192">
        <f>YEAR(I$5)-_xlfn.XLOOKUP(E68,Deltakerliste!E$5:E$98,Deltakerliste!I$5:I$98)</f>
        <v>59</v>
      </c>
      <c r="G68" s="192">
        <f>_xlfn.XLOOKUP(E68,Deltakerliste!E$5:E$98,Deltakerliste!H$5:H$98)</f>
        <v>2</v>
      </c>
      <c r="H68" s="592">
        <f>VLOOKUP(F68,Deltakerliste!P$6:T$84,G68,FALSE)</f>
        <v>1.1860000000000002</v>
      </c>
      <c r="I68" s="86"/>
      <c r="J68" s="86"/>
      <c r="K68" s="13"/>
      <c r="L68" s="600"/>
      <c r="M68" s="594"/>
      <c r="N68" s="724"/>
      <c r="O68" s="596"/>
    </row>
    <row r="69" spans="2:17" ht="21" thickBot="1" x14ac:dyDescent="0.3">
      <c r="B69" s="16">
        <f t="shared" si="0"/>
        <v>60</v>
      </c>
      <c r="C69" s="106" t="s">
        <v>309</v>
      </c>
      <c r="D69" s="107" t="s">
        <v>310</v>
      </c>
      <c r="E69" s="599" t="str">
        <f t="shared" si="6"/>
        <v>VigdisHeimly</v>
      </c>
      <c r="F69" s="192">
        <f>YEAR(I$5)-_xlfn.XLOOKUP(E69,Deltakerliste!E$5:E$98,Deltakerliste!I$5:I$98)</f>
        <v>67</v>
      </c>
      <c r="G69" s="192">
        <f>_xlfn.XLOOKUP(E69,Deltakerliste!E$5:E$98,Deltakerliste!H$5:H$98)</f>
        <v>4</v>
      </c>
      <c r="H69" s="592">
        <f>VLOOKUP(F69,Deltakerliste!P$6:T$84,G69,FALSE)</f>
        <v>1.8422000000000009</v>
      </c>
      <c r="I69" s="86"/>
      <c r="J69" s="86"/>
      <c r="K69" s="17"/>
      <c r="L69" s="600"/>
      <c r="M69" s="594"/>
      <c r="N69" s="724"/>
      <c r="O69" s="596"/>
    </row>
    <row r="70" spans="2:17" ht="21" thickBot="1" x14ac:dyDescent="0.3">
      <c r="B70" s="16">
        <f t="shared" si="0"/>
        <v>61</v>
      </c>
      <c r="C70" s="106" t="s">
        <v>118</v>
      </c>
      <c r="D70" s="107" t="s">
        <v>383</v>
      </c>
      <c r="E70" s="599" t="str">
        <f t="shared" si="6"/>
        <v>KnutHelland</v>
      </c>
      <c r="F70" s="192">
        <f>YEAR(I$5)-_xlfn.XLOOKUP(E70,Deltakerliste!E$5:E$98,Deltakerliste!I$5:I$98)</f>
        <v>64</v>
      </c>
      <c r="G70" s="192">
        <f>_xlfn.XLOOKUP(E70,Deltakerliste!E$5:E$98,Deltakerliste!H$5:H$98)</f>
        <v>2</v>
      </c>
      <c r="H70" s="592">
        <f>VLOOKUP(F70,Deltakerliste!P$6:T$84,G70,FALSE)</f>
        <v>1.2759999999999998</v>
      </c>
      <c r="I70" s="86"/>
      <c r="J70" s="86"/>
      <c r="K70" s="17"/>
      <c r="L70" s="600"/>
      <c r="M70" s="594"/>
      <c r="N70" s="724"/>
      <c r="O70" s="596"/>
    </row>
    <row r="71" spans="2:17" ht="21" thickBot="1" x14ac:dyDescent="0.3">
      <c r="B71" s="16">
        <f t="shared" si="0"/>
        <v>62</v>
      </c>
      <c r="C71" s="106" t="s">
        <v>108</v>
      </c>
      <c r="D71" s="107" t="s">
        <v>109</v>
      </c>
      <c r="E71" s="599" t="str">
        <f t="shared" si="6"/>
        <v>Finn FayeKnudsen</v>
      </c>
      <c r="F71" s="192">
        <f>YEAR(I$5)-_xlfn.XLOOKUP(E71,Deltakerliste!E$5:E$98,Deltakerliste!I$5:I$98)</f>
        <v>84</v>
      </c>
      <c r="G71" s="192">
        <f>_xlfn.XLOOKUP(E71,Deltakerliste!E$5:E$98,Deltakerliste!H$5:H$98)</f>
        <v>2</v>
      </c>
      <c r="H71" s="592">
        <f>VLOOKUP(F71,Deltakerliste!P$6:T$84,G71,FALSE)</f>
        <v>2.1509999999999998</v>
      </c>
      <c r="I71" s="86"/>
      <c r="J71" s="86"/>
      <c r="K71" s="13"/>
      <c r="L71" s="600"/>
      <c r="M71" s="594"/>
      <c r="N71" s="724"/>
      <c r="O71" s="596"/>
    </row>
    <row r="72" spans="2:17" ht="21" thickBot="1" x14ac:dyDescent="0.3">
      <c r="B72" s="16">
        <f t="shared" si="0"/>
        <v>63</v>
      </c>
      <c r="C72" s="106" t="s">
        <v>251</v>
      </c>
      <c r="D72" s="107" t="s">
        <v>252</v>
      </c>
      <c r="E72" s="599" t="str">
        <f t="shared" si="6"/>
        <v>OttarKristiansen</v>
      </c>
      <c r="F72" s="192">
        <f>YEAR(I$5)-_xlfn.XLOOKUP(E72,Deltakerliste!E$5:E$98,Deltakerliste!I$5:I$98)</f>
        <v>77</v>
      </c>
      <c r="G72" s="192">
        <f>_xlfn.XLOOKUP(E72,Deltakerliste!E$5:E$98,Deltakerliste!H$5:H$98)</f>
        <v>2</v>
      </c>
      <c r="H72" s="592">
        <f>VLOOKUP(F72,Deltakerliste!P$6:T$84,G72,FALSE)</f>
        <v>1.7050000000000001</v>
      </c>
      <c r="I72" s="86"/>
      <c r="J72" s="86"/>
      <c r="K72" s="17"/>
      <c r="L72" s="600"/>
      <c r="M72" s="594"/>
      <c r="N72" s="724"/>
      <c r="O72" s="596"/>
    </row>
    <row r="73" spans="2:17" ht="21" thickBot="1" x14ac:dyDescent="0.3">
      <c r="B73" s="16">
        <f t="shared" si="0"/>
        <v>64</v>
      </c>
      <c r="C73" s="106" t="s">
        <v>299</v>
      </c>
      <c r="D73" s="107" t="s">
        <v>300</v>
      </c>
      <c r="E73" s="599" t="str">
        <f t="shared" si="6"/>
        <v>OlavKvittem</v>
      </c>
      <c r="F73" s="192">
        <f>YEAR(I$5)-_xlfn.XLOOKUP(E73,Deltakerliste!E$5:E$98,Deltakerliste!I$5:I$98)</f>
        <v>71</v>
      </c>
      <c r="G73" s="192">
        <f>_xlfn.XLOOKUP(E73,Deltakerliste!E$5:E$98,Deltakerliste!H$5:H$98)</f>
        <v>2</v>
      </c>
      <c r="H73" s="592">
        <f>VLOOKUP(F73,Deltakerliste!P$6:T$84,G73,FALSE)</f>
        <v>1.4609999999999999</v>
      </c>
      <c r="I73" s="86"/>
      <c r="J73" s="86"/>
      <c r="K73" s="13"/>
      <c r="L73" s="600"/>
      <c r="M73" s="594"/>
      <c r="N73" s="724"/>
      <c r="O73" s="596"/>
    </row>
    <row r="74" spans="2:17" ht="21" thickBot="1" x14ac:dyDescent="0.3">
      <c r="B74" s="16">
        <f t="shared" ref="B74:B96" si="7">B73+1</f>
        <v>65</v>
      </c>
      <c r="C74" s="106" t="s">
        <v>112</v>
      </c>
      <c r="D74" s="107" t="s">
        <v>113</v>
      </c>
      <c r="E74" s="599" t="str">
        <f t="shared" ref="E74:E96" si="8">_xlfn.CONCAT(C74:D74)</f>
        <v>ToridKvaal</v>
      </c>
      <c r="F74" s="192">
        <f>YEAR(I$5)-_xlfn.XLOOKUP(E74,Deltakerliste!E$5:E$98,Deltakerliste!I$5:I$98)</f>
        <v>84</v>
      </c>
      <c r="G74" s="192">
        <f>_xlfn.XLOOKUP(E74,Deltakerliste!E$5:E$98,Deltakerliste!H$5:H$98)</f>
        <v>4</v>
      </c>
      <c r="H74" s="592">
        <f>VLOOKUP(F74,Deltakerliste!P$6:T$84,G74,FALSE)</f>
        <v>2.7814000000000005</v>
      </c>
      <c r="I74" s="86"/>
      <c r="J74" s="86"/>
      <c r="K74" s="13"/>
      <c r="L74" s="600"/>
      <c r="M74" s="594"/>
      <c r="N74" s="724"/>
      <c r="O74" s="596"/>
    </row>
    <row r="75" spans="2:17" ht="21" thickBot="1" x14ac:dyDescent="0.3">
      <c r="B75" s="16">
        <f t="shared" si="7"/>
        <v>66</v>
      </c>
      <c r="C75" s="106" t="s">
        <v>254</v>
      </c>
      <c r="D75" s="107" t="s">
        <v>255</v>
      </c>
      <c r="E75" s="599" t="str">
        <f t="shared" si="8"/>
        <v>ArnfinnLangeland</v>
      </c>
      <c r="F75" s="192">
        <f>YEAR(I$5)-_xlfn.XLOOKUP(E75,Deltakerliste!E$5:E$98,Deltakerliste!I$5:I$98)</f>
        <v>90</v>
      </c>
      <c r="G75" s="192">
        <f>_xlfn.XLOOKUP(E75,Deltakerliste!E$5:E$98,Deltakerliste!H$5:H$98)</f>
        <v>2</v>
      </c>
      <c r="H75" s="592">
        <f>VLOOKUP(F75,Deltakerliste!P$6:T$84,G75,FALSE)</f>
        <v>2.645</v>
      </c>
      <c r="I75" s="86"/>
      <c r="J75" s="86"/>
      <c r="K75" s="13"/>
      <c r="L75" s="600"/>
      <c r="M75" s="594"/>
      <c r="N75" s="724"/>
      <c r="O75" s="596"/>
      <c r="Q75" s="112"/>
    </row>
    <row r="76" spans="2:17" ht="21" thickBot="1" x14ac:dyDescent="0.3">
      <c r="B76" s="16">
        <f t="shared" si="7"/>
        <v>67</v>
      </c>
      <c r="C76" s="106" t="s">
        <v>116</v>
      </c>
      <c r="D76" s="107" t="s">
        <v>117</v>
      </c>
      <c r="E76" s="599" t="str">
        <f t="shared" si="8"/>
        <v>AndersLauglo</v>
      </c>
      <c r="F76" s="192">
        <f>YEAR(I$5)-_xlfn.XLOOKUP(E76,Deltakerliste!E$5:E$98,Deltakerliste!I$5:I$98)</f>
        <v>87</v>
      </c>
      <c r="G76" s="192">
        <f>_xlfn.XLOOKUP(E76,Deltakerliste!E$5:E$98,Deltakerliste!H$5:H$98)</f>
        <v>2</v>
      </c>
      <c r="H76" s="592">
        <f>VLOOKUP(F76,Deltakerliste!P$6:T$84,G76,FALSE)</f>
        <v>2.3929999999999998</v>
      </c>
      <c r="I76" s="13"/>
      <c r="J76" s="13"/>
      <c r="K76" s="86"/>
      <c r="L76" s="600"/>
      <c r="M76" s="594"/>
      <c r="N76" s="724"/>
      <c r="O76" s="596"/>
    </row>
    <row r="77" spans="2:17" ht="21" thickBot="1" x14ac:dyDescent="0.3">
      <c r="B77" s="16">
        <f t="shared" si="7"/>
        <v>68</v>
      </c>
      <c r="C77" s="106" t="s">
        <v>118</v>
      </c>
      <c r="D77" s="107" t="s">
        <v>119</v>
      </c>
      <c r="E77" s="599" t="str">
        <f t="shared" si="8"/>
        <v>KnutLillealtern</v>
      </c>
      <c r="F77" s="192">
        <f>YEAR(I$5)-_xlfn.XLOOKUP(E77,Deltakerliste!E$5:E$98,Deltakerliste!I$5:I$98)</f>
        <v>77</v>
      </c>
      <c r="G77" s="192">
        <f>_xlfn.XLOOKUP(E77,Deltakerliste!E$5:E$98,Deltakerliste!H$5:H$98)</f>
        <v>2</v>
      </c>
      <c r="H77" s="592">
        <f>VLOOKUP(F77,Deltakerliste!P$6:T$84,G77,FALSE)</f>
        <v>1.7050000000000001</v>
      </c>
      <c r="I77" s="13"/>
      <c r="J77" s="13"/>
      <c r="K77" s="17"/>
      <c r="L77" s="600"/>
      <c r="M77" s="594"/>
      <c r="N77" s="724"/>
      <c r="O77" s="596"/>
    </row>
    <row r="78" spans="2:17" ht="21" thickBot="1" x14ac:dyDescent="0.3">
      <c r="B78" s="16">
        <f t="shared" si="7"/>
        <v>69</v>
      </c>
      <c r="C78" s="106" t="s">
        <v>222</v>
      </c>
      <c r="D78" s="107" t="s">
        <v>221</v>
      </c>
      <c r="E78" s="599" t="str">
        <f t="shared" si="8"/>
        <v>Kjell Maroni</v>
      </c>
      <c r="F78" s="192">
        <f>YEAR(I$5)-_xlfn.XLOOKUP(E78,Deltakerliste!E$5:E$98,Deltakerliste!I$5:I$98)</f>
        <v>70</v>
      </c>
      <c r="G78" s="192">
        <f>_xlfn.XLOOKUP(E78,Deltakerliste!E$5:E$98,Deltakerliste!H$5:H$98)</f>
        <v>2</v>
      </c>
      <c r="H78" s="592">
        <f>VLOOKUP(F78,Deltakerliste!P$6:T$84,G78,FALSE)</f>
        <v>1.4249999999999998</v>
      </c>
      <c r="I78" s="13"/>
      <c r="J78" s="13"/>
      <c r="K78" s="13"/>
      <c r="L78" s="600"/>
      <c r="M78" s="594"/>
      <c r="N78" s="724"/>
      <c r="O78" s="596"/>
    </row>
    <row r="79" spans="2:17" ht="21" thickBot="1" x14ac:dyDescent="0.3">
      <c r="B79" s="16">
        <f t="shared" si="7"/>
        <v>70</v>
      </c>
      <c r="C79" s="106" t="s">
        <v>128</v>
      </c>
      <c r="D79" s="107" t="s">
        <v>129</v>
      </c>
      <c r="E79" s="599" t="str">
        <f t="shared" si="8"/>
        <v>OddMusum</v>
      </c>
      <c r="F79" s="192">
        <f>YEAR(I$5)-_xlfn.XLOOKUP(E79,Deltakerliste!E$5:E$98,Deltakerliste!I$5:I$98)</f>
        <v>84</v>
      </c>
      <c r="G79" s="192">
        <f>_xlfn.XLOOKUP(E79,Deltakerliste!E$5:E$98,Deltakerliste!H$5:H$98)</f>
        <v>2</v>
      </c>
      <c r="H79" s="592">
        <f>VLOOKUP(F79,Deltakerliste!P$6:T$84,G79,FALSE)</f>
        <v>2.1509999999999998</v>
      </c>
      <c r="I79" s="13"/>
      <c r="J79" s="13"/>
      <c r="K79" s="13"/>
      <c r="L79" s="600"/>
      <c r="M79" s="594"/>
      <c r="N79" s="724"/>
      <c r="O79" s="596"/>
    </row>
    <row r="80" spans="2:17" ht="21" thickBot="1" x14ac:dyDescent="0.3">
      <c r="B80" s="16">
        <f t="shared" si="7"/>
        <v>71</v>
      </c>
      <c r="C80" s="106" t="s">
        <v>130</v>
      </c>
      <c r="D80" s="107" t="s">
        <v>131</v>
      </c>
      <c r="E80" s="599" t="str">
        <f t="shared" si="8"/>
        <v>AtleMørk</v>
      </c>
      <c r="F80" s="192">
        <f>YEAR(I$5)-_xlfn.XLOOKUP(E80,Deltakerliste!E$5:E$98,Deltakerliste!I$5:I$98)</f>
        <v>77</v>
      </c>
      <c r="G80" s="192">
        <f>_xlfn.XLOOKUP(E80,Deltakerliste!E$5:E$98,Deltakerliste!H$5:H$98)</f>
        <v>2</v>
      </c>
      <c r="H80" s="592">
        <f>VLOOKUP(F80,Deltakerliste!P$6:T$84,G80,FALSE)</f>
        <v>1.7050000000000001</v>
      </c>
      <c r="I80" s="132"/>
      <c r="J80" s="132"/>
      <c r="K80" s="132"/>
      <c r="L80" s="600"/>
      <c r="M80" s="594"/>
      <c r="N80" s="724"/>
      <c r="O80" s="596"/>
    </row>
    <row r="81" spans="2:15" ht="21" thickBot="1" x14ac:dyDescent="0.3">
      <c r="B81" s="16">
        <f t="shared" si="7"/>
        <v>72</v>
      </c>
      <c r="C81" s="106" t="s">
        <v>132</v>
      </c>
      <c r="D81" s="107" t="s">
        <v>133</v>
      </c>
      <c r="E81" s="599" t="str">
        <f t="shared" si="8"/>
        <v>JarleNestvold</v>
      </c>
      <c r="F81" s="192">
        <f>YEAR(I$5)-_xlfn.XLOOKUP(E81,Deltakerliste!E$5:E$98,Deltakerliste!I$5:I$98)</f>
        <v>89</v>
      </c>
      <c r="G81" s="192">
        <f>_xlfn.XLOOKUP(E81,Deltakerliste!E$5:E$98,Deltakerliste!H$5:H$98)</f>
        <v>2</v>
      </c>
      <c r="H81" s="592">
        <f>VLOOKUP(F81,Deltakerliste!P$6:T$84,G81,FALSE)</f>
        <v>2.5609999999999999</v>
      </c>
      <c r="I81" s="132"/>
      <c r="J81" s="18"/>
      <c r="K81" s="18"/>
      <c r="L81" s="600"/>
      <c r="M81" s="594"/>
      <c r="N81" s="724"/>
      <c r="O81" s="596"/>
    </row>
    <row r="82" spans="2:15" ht="21" thickBot="1" x14ac:dyDescent="0.3">
      <c r="B82" s="16">
        <f t="shared" si="7"/>
        <v>73</v>
      </c>
      <c r="C82" s="106" t="s">
        <v>402</v>
      </c>
      <c r="D82" s="107" t="s">
        <v>403</v>
      </c>
      <c r="E82" s="599" t="str">
        <f t="shared" si="8"/>
        <v>BørgeNordli</v>
      </c>
      <c r="F82" s="192">
        <f>YEAR(I$5)-_xlfn.XLOOKUP(E82,Deltakerliste!E$5:E$98,Deltakerliste!I$5:I$98)</f>
        <v>44</v>
      </c>
      <c r="G82" s="192">
        <f>_xlfn.XLOOKUP(E82,Deltakerliste!E$5:E$98,Deltakerliste!H$5:H$98)</f>
        <v>2</v>
      </c>
      <c r="H82" s="592">
        <f>VLOOKUP(F82,Deltakerliste!P$6:T$84,G82,FALSE)</f>
        <v>1.0399999999999996</v>
      </c>
      <c r="I82" s="132"/>
      <c r="J82" s="132"/>
      <c r="K82" s="18"/>
      <c r="L82" s="600"/>
      <c r="M82" s="594"/>
      <c r="N82" s="724"/>
      <c r="O82" s="596"/>
    </row>
    <row r="83" spans="2:15" ht="21" thickBot="1" x14ac:dyDescent="0.3">
      <c r="B83" s="16">
        <f t="shared" si="7"/>
        <v>74</v>
      </c>
      <c r="C83" s="106" t="s">
        <v>265</v>
      </c>
      <c r="D83" s="107" t="s">
        <v>344</v>
      </c>
      <c r="E83" s="599" t="str">
        <f t="shared" si="8"/>
        <v>ØysteinNytrø</v>
      </c>
      <c r="F83" s="192">
        <f>YEAR(I$5)-_xlfn.XLOOKUP(E83,Deltakerliste!E$5:E$98,Deltakerliste!I$5:I$98)</f>
        <v>66</v>
      </c>
      <c r="G83" s="192">
        <f>_xlfn.XLOOKUP(E83,Deltakerliste!E$5:E$98,Deltakerliste!H$5:H$98)</f>
        <v>2</v>
      </c>
      <c r="H83" s="592">
        <f>VLOOKUP(F83,Deltakerliste!P$6:T$84,G83,FALSE)</f>
        <v>1.3209999999999997</v>
      </c>
      <c r="I83" s="18"/>
      <c r="J83" s="132"/>
      <c r="K83" s="18"/>
      <c r="L83" s="600"/>
      <c r="M83" s="594"/>
      <c r="N83" s="724"/>
      <c r="O83" s="596"/>
    </row>
    <row r="84" spans="2:15" ht="21" thickBot="1" x14ac:dyDescent="0.3">
      <c r="B84" s="16">
        <f t="shared" si="7"/>
        <v>75</v>
      </c>
      <c r="C84" s="106" t="s">
        <v>134</v>
      </c>
      <c r="D84" s="107" t="s">
        <v>135</v>
      </c>
      <c r="E84" s="599" t="str">
        <f t="shared" si="8"/>
        <v>IngeNørstebø</v>
      </c>
      <c r="F84" s="192">
        <f>YEAR(I$5)-_xlfn.XLOOKUP(E84,Deltakerliste!E$5:E$98,Deltakerliste!I$5:I$98)</f>
        <v>70</v>
      </c>
      <c r="G84" s="192">
        <f>_xlfn.XLOOKUP(E84,Deltakerliste!E$5:E$98,Deltakerliste!H$5:H$98)</f>
        <v>2</v>
      </c>
      <c r="H84" s="592">
        <f>VLOOKUP(F84,Deltakerliste!P$6:T$84,G84,FALSE)</f>
        <v>1.4249999999999998</v>
      </c>
      <c r="I84" s="13"/>
      <c r="J84" s="13"/>
      <c r="K84" s="13"/>
      <c r="L84" s="600"/>
      <c r="M84" s="594"/>
      <c r="N84" s="724"/>
      <c r="O84" s="596"/>
    </row>
    <row r="85" spans="2:15" ht="21" thickBot="1" x14ac:dyDescent="0.3">
      <c r="B85" s="16">
        <f t="shared" si="7"/>
        <v>76</v>
      </c>
      <c r="C85" s="111" t="s">
        <v>72</v>
      </c>
      <c r="D85" s="193" t="s">
        <v>139</v>
      </c>
      <c r="E85" s="599" t="str">
        <f t="shared" si="8"/>
        <v>KåreOnsøyen</v>
      </c>
      <c r="F85" s="192">
        <f>YEAR(I$5)-_xlfn.XLOOKUP(E85,Deltakerliste!E$5:E$98,Deltakerliste!I$5:I$98)</f>
        <v>78</v>
      </c>
      <c r="G85" s="192">
        <f>_xlfn.XLOOKUP(E85,Deltakerliste!E$5:E$98,Deltakerliste!H$5:H$98)</f>
        <v>2</v>
      </c>
      <c r="H85" s="592">
        <f>VLOOKUP(F85,Deltakerliste!P$6:T$84,G85,FALSE)</f>
        <v>1.7550000000000001</v>
      </c>
      <c r="I85" s="13"/>
      <c r="J85" s="13"/>
      <c r="K85" s="13"/>
      <c r="L85" s="600"/>
      <c r="M85" s="594"/>
      <c r="N85" s="724"/>
      <c r="O85" s="596"/>
    </row>
    <row r="86" spans="2:15" ht="21" thickBot="1" x14ac:dyDescent="0.3">
      <c r="B86" s="16">
        <f t="shared" si="7"/>
        <v>77</v>
      </c>
      <c r="C86" s="111" t="s">
        <v>140</v>
      </c>
      <c r="D86" s="193" t="s">
        <v>141</v>
      </c>
      <c r="E86" s="599" t="str">
        <f t="shared" si="8"/>
        <v>Grete BergeOwren</v>
      </c>
      <c r="F86" s="192">
        <f>YEAR(I$5)-_xlfn.XLOOKUP(E86,Deltakerliste!E$5:E$98,Deltakerliste!I$5:I$98)</f>
        <v>68</v>
      </c>
      <c r="G86" s="192">
        <f>_xlfn.XLOOKUP(E86,Deltakerliste!E$5:E$98,Deltakerliste!H$5:H$98)</f>
        <v>4</v>
      </c>
      <c r="H86" s="592">
        <f>VLOOKUP(F86,Deltakerliste!P$6:T$84,G86,FALSE)</f>
        <v>1.877800000000001</v>
      </c>
      <c r="I86" s="18"/>
      <c r="J86" s="18"/>
      <c r="K86" s="18"/>
      <c r="L86" s="600"/>
      <c r="M86" s="594"/>
      <c r="N86" s="724"/>
      <c r="O86" s="596"/>
    </row>
    <row r="87" spans="2:15" ht="21" thickBot="1" x14ac:dyDescent="0.3">
      <c r="B87" s="16">
        <f t="shared" si="7"/>
        <v>78</v>
      </c>
      <c r="C87" s="111" t="s">
        <v>144</v>
      </c>
      <c r="D87" s="108" t="s">
        <v>145</v>
      </c>
      <c r="E87" s="599" t="str">
        <f t="shared" si="8"/>
        <v>Bjørn Rindstad</v>
      </c>
      <c r="F87" s="192">
        <f>YEAR(I$5)-_xlfn.XLOOKUP(E87,Deltakerliste!E$5:E$98,Deltakerliste!I$5:I$98)</f>
        <v>75</v>
      </c>
      <c r="G87" s="192">
        <f>_xlfn.XLOOKUP(E87,Deltakerliste!E$5:E$98,Deltakerliste!H$5:H$98)</f>
        <v>2</v>
      </c>
      <c r="H87" s="592">
        <f>VLOOKUP(F87,Deltakerliste!P$6:T$84,G87,FALSE)</f>
        <v>1.605</v>
      </c>
      <c r="I87" s="18"/>
      <c r="J87" s="18"/>
      <c r="K87" s="18"/>
      <c r="L87" s="600"/>
      <c r="M87" s="594"/>
      <c r="N87" s="724"/>
      <c r="O87" s="596"/>
    </row>
    <row r="88" spans="2:15" ht="21" thickBot="1" x14ac:dyDescent="0.3">
      <c r="B88" s="16">
        <f t="shared" si="7"/>
        <v>79</v>
      </c>
      <c r="C88" s="111" t="s">
        <v>298</v>
      </c>
      <c r="D88" s="193" t="s">
        <v>405</v>
      </c>
      <c r="E88" s="599" t="str">
        <f t="shared" si="8"/>
        <v>ØyvindRogndalen</v>
      </c>
      <c r="F88" s="192">
        <f>YEAR(I$5)-_xlfn.XLOOKUP(E88,Deltakerliste!E$5:E$98,Deltakerliste!I$5:I$98)</f>
        <v>81</v>
      </c>
      <c r="G88" s="192">
        <f>_xlfn.XLOOKUP(E88,Deltakerliste!E$5:E$98,Deltakerliste!H$5:H$98)</f>
        <v>2</v>
      </c>
      <c r="H88" s="592">
        <f>VLOOKUP(F88,Deltakerliste!P$6:T$84,G88,FALSE)</f>
        <v>1.9290000000000003</v>
      </c>
      <c r="I88" s="132"/>
      <c r="J88" s="18"/>
      <c r="K88" s="18"/>
      <c r="L88" s="600"/>
      <c r="M88" s="594"/>
      <c r="N88" s="724"/>
      <c r="O88" s="596"/>
    </row>
    <row r="89" spans="2:15" ht="21" thickBot="1" x14ac:dyDescent="0.3">
      <c r="B89" s="16">
        <f t="shared" si="7"/>
        <v>80</v>
      </c>
      <c r="C89" s="111" t="s">
        <v>228</v>
      </c>
      <c r="D89" s="193" t="s">
        <v>229</v>
      </c>
      <c r="E89" s="599" t="str">
        <f t="shared" si="8"/>
        <v>May-LisRønning</v>
      </c>
      <c r="F89" s="192">
        <f>YEAR(I$5)-_xlfn.XLOOKUP(E89,Deltakerliste!E$5:E$98,Deltakerliste!I$5:I$98)</f>
        <v>56</v>
      </c>
      <c r="G89" s="192">
        <f>_xlfn.XLOOKUP(E89,Deltakerliste!E$5:E$98,Deltakerliste!H$5:H$98)</f>
        <v>4</v>
      </c>
      <c r="H89" s="592">
        <f>VLOOKUP(F89,Deltakerliste!P$6:T$84,G89,FALSE)</f>
        <v>1.5329999999999997</v>
      </c>
      <c r="I89" s="18"/>
      <c r="J89" s="18"/>
      <c r="K89" s="18"/>
      <c r="L89" s="600"/>
      <c r="M89" s="594"/>
      <c r="N89" s="724"/>
      <c r="O89" s="596"/>
    </row>
    <row r="90" spans="2:15" ht="21" thickBot="1" x14ac:dyDescent="0.3">
      <c r="B90" s="16">
        <f t="shared" si="7"/>
        <v>81</v>
      </c>
      <c r="C90" s="111" t="s">
        <v>147</v>
      </c>
      <c r="D90" s="108" t="s">
        <v>148</v>
      </c>
      <c r="E90" s="599" t="str">
        <f t="shared" si="8"/>
        <v>ViggoSchei</v>
      </c>
      <c r="F90" s="192">
        <f>YEAR(I$5)-_xlfn.XLOOKUP(E90,Deltakerliste!E$5:E$98,Deltakerliste!I$5:I$98)</f>
        <v>75</v>
      </c>
      <c r="G90" s="192">
        <f>_xlfn.XLOOKUP(E90,Deltakerliste!E$5:E$98,Deltakerliste!H$5:H$98)</f>
        <v>2</v>
      </c>
      <c r="H90" s="592">
        <f>VLOOKUP(F90,Deltakerliste!P$6:T$84,G90,FALSE)</f>
        <v>1.605</v>
      </c>
      <c r="I90" s="18"/>
      <c r="J90" s="132"/>
      <c r="K90" s="18"/>
      <c r="L90" s="600"/>
      <c r="M90" s="594"/>
      <c r="N90" s="724"/>
      <c r="O90" s="596"/>
    </row>
    <row r="91" spans="2:15" ht="21" thickBot="1" x14ac:dyDescent="0.3">
      <c r="B91" s="16">
        <f t="shared" si="7"/>
        <v>82</v>
      </c>
      <c r="C91" s="111" t="s">
        <v>298</v>
      </c>
      <c r="D91" s="108" t="s">
        <v>297</v>
      </c>
      <c r="E91" s="599" t="str">
        <f t="shared" si="8"/>
        <v>ØyvindSchjelderup</v>
      </c>
      <c r="F91" s="192">
        <f>YEAR(I$5)-_xlfn.XLOOKUP(E91,Deltakerliste!E$5:E$98,Deltakerliste!I$5:I$98)</f>
        <v>61</v>
      </c>
      <c r="G91" s="192">
        <f>_xlfn.XLOOKUP(E91,Deltakerliste!E$5:E$98,Deltakerliste!H$5:H$98)</f>
        <v>2</v>
      </c>
      <c r="H91" s="592">
        <f>VLOOKUP(F91,Deltakerliste!P$6:T$84,G91,FALSE)</f>
        <v>1.2190000000000001</v>
      </c>
      <c r="I91" s="18"/>
      <c r="J91" s="18"/>
      <c r="K91" s="18"/>
      <c r="L91" s="600"/>
      <c r="M91" s="594"/>
      <c r="N91" s="724"/>
      <c r="O91" s="596"/>
    </row>
    <row r="92" spans="2:15" ht="21" thickBot="1" x14ac:dyDescent="0.3">
      <c r="B92" s="16">
        <f t="shared" si="7"/>
        <v>83</v>
      </c>
      <c r="C92" s="193" t="s">
        <v>155</v>
      </c>
      <c r="D92" s="108" t="s">
        <v>156</v>
      </c>
      <c r="E92" s="599" t="str">
        <f t="shared" si="8"/>
        <v>KjellrunSporild</v>
      </c>
      <c r="F92" s="192">
        <f>YEAR(I$5)-_xlfn.XLOOKUP(E92,Deltakerliste!E$5:E$98,Deltakerliste!I$5:I$98)</f>
        <v>71</v>
      </c>
      <c r="G92" s="192">
        <f>_xlfn.XLOOKUP(E92,Deltakerliste!E$5:E$98,Deltakerliste!H$5:H$98)</f>
        <v>4</v>
      </c>
      <c r="H92" s="592">
        <f>VLOOKUP(F92,Deltakerliste!P$6:T$84,G92,FALSE)</f>
        <v>1.9926000000000013</v>
      </c>
      <c r="I92" s="18"/>
      <c r="J92" s="132"/>
      <c r="K92" s="18"/>
      <c r="L92" s="600"/>
      <c r="M92" s="594"/>
      <c r="N92" s="724"/>
      <c r="O92" s="596"/>
    </row>
    <row r="93" spans="2:15" ht="21" thickBot="1" x14ac:dyDescent="0.3">
      <c r="B93" s="16">
        <f t="shared" si="7"/>
        <v>84</v>
      </c>
      <c r="C93" s="193" t="s">
        <v>232</v>
      </c>
      <c r="D93" s="133" t="s">
        <v>231</v>
      </c>
      <c r="E93" s="599" t="str">
        <f t="shared" si="8"/>
        <v>BeritSunnset</v>
      </c>
      <c r="F93" s="192">
        <f>YEAR(I$5)-_xlfn.XLOOKUP(E93,Deltakerliste!E$5:E$98,Deltakerliste!I$5:I$98)</f>
        <v>63</v>
      </c>
      <c r="G93" s="192">
        <f>_xlfn.XLOOKUP(E93,Deltakerliste!E$5:E$98,Deltakerliste!H$5:H$98)</f>
        <v>4</v>
      </c>
      <c r="H93" s="592">
        <f>VLOOKUP(F93,Deltakerliste!P$6:T$84,G93,FALSE)</f>
        <v>1.7126000000000006</v>
      </c>
      <c r="I93" s="18"/>
      <c r="J93" s="18"/>
      <c r="K93" s="18"/>
      <c r="L93" s="600"/>
      <c r="M93" s="594"/>
      <c r="N93" s="724"/>
      <c r="O93" s="596"/>
    </row>
    <row r="94" spans="2:15" ht="21" thickBot="1" x14ac:dyDescent="0.3">
      <c r="B94" s="16">
        <f t="shared" si="7"/>
        <v>85</v>
      </c>
      <c r="C94" s="193" t="s">
        <v>230</v>
      </c>
      <c r="D94" s="108" t="s">
        <v>231</v>
      </c>
      <c r="E94" s="599" t="str">
        <f t="shared" si="8"/>
        <v>TrineSunnset</v>
      </c>
      <c r="F94" s="192">
        <f>YEAR(I$5)-_xlfn.XLOOKUP(E94,Deltakerliste!E$5:E$98,Deltakerliste!I$5:I$98)</f>
        <v>63</v>
      </c>
      <c r="G94" s="192">
        <f>_xlfn.XLOOKUP(E94,Deltakerliste!E$5:E$98,Deltakerliste!H$5:H$98)</f>
        <v>4</v>
      </c>
      <c r="H94" s="592">
        <f>VLOOKUP(F94,Deltakerliste!P$6:T$84,G94,FALSE)</f>
        <v>1.7126000000000006</v>
      </c>
      <c r="I94" s="18"/>
      <c r="J94" s="18"/>
      <c r="K94" s="18"/>
      <c r="L94" s="600"/>
      <c r="M94" s="594"/>
      <c r="N94" s="724"/>
      <c r="O94" s="596"/>
    </row>
    <row r="95" spans="2:15" ht="21" thickBot="1" x14ac:dyDescent="0.3">
      <c r="B95" s="16">
        <f t="shared" si="7"/>
        <v>86</v>
      </c>
      <c r="C95" s="193" t="s">
        <v>307</v>
      </c>
      <c r="D95" s="108" t="s">
        <v>308</v>
      </c>
      <c r="E95" s="599" t="str">
        <f t="shared" si="8"/>
        <v>RolfWærnes</v>
      </c>
      <c r="F95" s="192">
        <f>YEAR(I$5)-_xlfn.XLOOKUP(E95,Deltakerliste!E$5:E$98,Deltakerliste!I$5:I$98)</f>
        <v>75</v>
      </c>
      <c r="G95" s="192">
        <f>_xlfn.XLOOKUP(E95,Deltakerliste!E$5:E$98,Deltakerliste!H$5:H$98)</f>
        <v>2</v>
      </c>
      <c r="H95" s="592">
        <f>VLOOKUP(F95,Deltakerliste!P$6:T$84,G95,FALSE)</f>
        <v>1.605</v>
      </c>
      <c r="I95" s="18"/>
      <c r="J95" s="132"/>
      <c r="K95" s="18"/>
      <c r="L95" s="600"/>
      <c r="M95" s="594"/>
      <c r="N95" s="724"/>
      <c r="O95" s="596"/>
    </row>
    <row r="96" spans="2:15" ht="21" thickBot="1" x14ac:dyDescent="0.3">
      <c r="B96" s="16">
        <f t="shared" si="7"/>
        <v>87</v>
      </c>
      <c r="C96" s="193" t="s">
        <v>166</v>
      </c>
      <c r="D96" s="108" t="s">
        <v>167</v>
      </c>
      <c r="E96" s="599" t="str">
        <f t="shared" si="8"/>
        <v>GunnarØsterbø</v>
      </c>
      <c r="F96" s="192">
        <f>YEAR(I$5)-_xlfn.XLOOKUP(E96,Deltakerliste!E$5:E$98,Deltakerliste!I$5:I$98)</f>
        <v>87</v>
      </c>
      <c r="G96" s="192">
        <f>_xlfn.XLOOKUP(E96,Deltakerliste!E$5:E$98,Deltakerliste!H$5:H$98)</f>
        <v>2</v>
      </c>
      <c r="H96" s="592">
        <f>VLOOKUP(F96,Deltakerliste!P$6:T$84,G96,FALSE)</f>
        <v>2.3929999999999998</v>
      </c>
      <c r="I96" s="18"/>
      <c r="J96" s="132"/>
      <c r="K96" s="18"/>
      <c r="L96" s="725"/>
      <c r="M96" s="717"/>
      <c r="N96" s="726"/>
      <c r="O96" s="719"/>
    </row>
    <row r="100" spans="4:11" ht="17" thickBot="1" x14ac:dyDescent="0.25"/>
    <row r="101" spans="4:11" ht="21" thickTop="1" thickBot="1" x14ac:dyDescent="0.3">
      <c r="D101" s="646" t="s">
        <v>288</v>
      </c>
      <c r="E101" s="647"/>
      <c r="F101" s="666"/>
      <c r="G101" s="666"/>
      <c r="H101" s="666"/>
      <c r="I101" s="648" t="s">
        <v>195</v>
      </c>
      <c r="J101" s="648" t="s">
        <v>196</v>
      </c>
      <c r="K101" s="649" t="s">
        <v>197</v>
      </c>
    </row>
    <row r="102" spans="4:11" ht="20" x14ac:dyDescent="0.25">
      <c r="D102" s="634" t="s">
        <v>172</v>
      </c>
      <c r="E102" s="320"/>
      <c r="F102" s="208"/>
      <c r="G102" s="208"/>
      <c r="H102" s="208"/>
      <c r="I102" s="635">
        <f>COUNT(I10:I97)+COUNTIF(I10:I97,"Brutt")+COUNTIF(I10:I97,"Disk")+COUNTIF(I10:I97,"(*)")</f>
        <v>16</v>
      </c>
      <c r="J102" s="635">
        <f>COUNT(J10:J97)+COUNTIF(J10:J97,"Brutt")+COUNTIF(J10:J97,"Disk")+COUNTIF(J10:J97,"(*)")</f>
        <v>23</v>
      </c>
      <c r="K102" s="636">
        <f>I102+J102</f>
        <v>39</v>
      </c>
    </row>
    <row r="103" spans="4:11" ht="19" x14ac:dyDescent="0.25">
      <c r="D103" s="637" t="s">
        <v>174</v>
      </c>
      <c r="E103" s="320"/>
      <c r="F103" s="208"/>
      <c r="G103" s="208"/>
      <c r="H103" s="208"/>
      <c r="I103" s="635">
        <f>COUNT(I10:I97)</f>
        <v>13</v>
      </c>
      <c r="J103" s="635">
        <f>COUNT(J10:J97)</f>
        <v>23</v>
      </c>
      <c r="K103" s="636">
        <f t="shared" ref="K103" si="9">I103+J103</f>
        <v>36</v>
      </c>
    </row>
    <row r="104" spans="4:11" ht="19" x14ac:dyDescent="0.25">
      <c r="D104" s="637" t="s">
        <v>173</v>
      </c>
      <c r="E104" s="320"/>
      <c r="F104" s="208"/>
      <c r="G104" s="208"/>
      <c r="H104" s="208"/>
      <c r="I104" s="208"/>
      <c r="J104" s="208"/>
      <c r="K104" s="636">
        <f>K102+COUNTIF(L10:L97,"Arr")+COUNTIF(L10:L97,"Løype")</f>
        <v>42</v>
      </c>
    </row>
    <row r="105" spans="4:11" ht="19" x14ac:dyDescent="0.25">
      <c r="D105" s="637" t="s">
        <v>341</v>
      </c>
      <c r="E105" s="320"/>
      <c r="F105" s="208"/>
      <c r="G105" s="208"/>
      <c r="H105" s="208"/>
      <c r="I105" s="208"/>
      <c r="J105" s="208"/>
      <c r="K105" s="638">
        <f>IF(SUM(L10:L97)=0," ",AVERAGEIF(M10:M97,"&gt;0",F10:F97))</f>
        <v>74.833333333333329</v>
      </c>
    </row>
    <row r="106" spans="4:11" ht="19" x14ac:dyDescent="0.25">
      <c r="D106" s="637" t="s">
        <v>296</v>
      </c>
      <c r="E106" s="320"/>
      <c r="F106" s="208"/>
      <c r="G106" s="208"/>
      <c r="H106" s="208"/>
      <c r="I106" s="208"/>
      <c r="J106" s="208"/>
      <c r="K106" s="638">
        <f>AVERAGE(I8:J8)</f>
        <v>2.35</v>
      </c>
    </row>
    <row r="107" spans="4:11" ht="19" x14ac:dyDescent="0.25">
      <c r="D107" s="637" t="s">
        <v>176</v>
      </c>
      <c r="E107" s="320"/>
      <c r="F107" s="208"/>
      <c r="G107" s="208"/>
      <c r="H107" s="208"/>
      <c r="I107" s="112">
        <f>I8*I103</f>
        <v>23.400000000000002</v>
      </c>
      <c r="J107" s="112">
        <f>J8*J103</f>
        <v>66.7</v>
      </c>
      <c r="K107" s="638">
        <f>I107+J107</f>
        <v>90.100000000000009</v>
      </c>
    </row>
    <row r="108" spans="4:11" ht="19" x14ac:dyDescent="0.25">
      <c r="D108" s="639" t="s">
        <v>286</v>
      </c>
      <c r="E108" s="320"/>
      <c r="F108" s="208"/>
      <c r="G108" s="208"/>
      <c r="H108" s="208"/>
      <c r="I108" s="103">
        <f>IF(SUM(I10:I97)=0," ",AVERAGE(I10:I97))</f>
        <v>2.0834223646723646E-2</v>
      </c>
      <c r="J108" s="103">
        <f>IF(SUM(J10:J97)=0," ",AVERAGE(J10:J97))</f>
        <v>1.9415760869565216E-2</v>
      </c>
      <c r="K108" s="640">
        <f>IF(SUM(I10:J97)=0," ",AVERAGE(I10:J97))</f>
        <v>1.9927983539094651E-2</v>
      </c>
    </row>
    <row r="109" spans="4:11" ht="20" thickBot="1" x14ac:dyDescent="0.3">
      <c r="D109" s="641" t="s">
        <v>287</v>
      </c>
      <c r="E109" s="642"/>
      <c r="F109" s="644"/>
      <c r="G109" s="644"/>
      <c r="H109" s="644"/>
      <c r="I109" s="643"/>
      <c r="J109" s="644"/>
      <c r="K109" s="645">
        <f>MIN(L10:L97)</f>
        <v>5.1764048531289918E-3</v>
      </c>
    </row>
    <row r="110" spans="4:11" ht="17" thickTop="1" x14ac:dyDescent="0.2"/>
  </sheetData>
  <autoFilter ref="C9:O96" xr:uid="{FD10FCFD-F690-9940-AC81-7CA03BCDB77D}">
    <sortState xmlns:xlrd2="http://schemas.microsoft.com/office/spreadsheetml/2017/richdata2" ref="C10:O96">
      <sortCondition ref="N9:N96"/>
    </sortState>
  </autoFilter>
  <mergeCells count="3">
    <mergeCell ref="W7:X7"/>
    <mergeCell ref="S8:U8"/>
    <mergeCell ref="W8:X8"/>
  </mergeCells>
  <pageMargins left="0.7" right="0.7" top="0.75" bottom="0.75" header="0.3" footer="0.3"/>
  <pageSetup paperSize="9" orientation="portrait" horizontalDpi="0" verticalDpi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180F1-A5C2-4E45-BB34-925B9A631EC6}">
  <dimension ref="B1:AC110"/>
  <sheetViews>
    <sheetView topLeftCell="A85" workbookViewId="0">
      <selection sqref="A1:XFD1048576"/>
    </sheetView>
  </sheetViews>
  <sheetFormatPr baseColWidth="10" defaultColWidth="10.83203125" defaultRowHeight="16" x14ac:dyDescent="0.2"/>
  <cols>
    <col min="3" max="3" width="14.5" customWidth="1"/>
    <col min="4" max="4" width="20.1640625" customWidth="1"/>
    <col min="5" max="5" width="20.1640625" hidden="1" customWidth="1"/>
    <col min="6" max="6" width="14.5" style="15" customWidth="1"/>
    <col min="7" max="7" width="14.5" style="15" hidden="1" customWidth="1"/>
    <col min="8" max="8" width="14" style="15" customWidth="1"/>
    <col min="9" max="10" width="19.1640625" style="15" customWidth="1"/>
    <col min="11" max="11" width="17.6640625" style="15" customWidth="1"/>
    <col min="12" max="12" width="10.83203125" style="15"/>
    <col min="14" max="14" width="10.83203125" style="15"/>
    <col min="18" max="18" width="12.5" customWidth="1"/>
    <col min="19" max="19" width="13.5" customWidth="1"/>
    <col min="22" max="22" width="1.83203125" customWidth="1"/>
    <col min="23" max="23" width="15.83203125" customWidth="1"/>
    <col min="24" max="24" width="11" customWidth="1"/>
  </cols>
  <sheetData>
    <row r="1" spans="2:29" ht="8" customHeight="1" x14ac:dyDescent="0.2"/>
    <row r="2" spans="2:29" ht="8" customHeight="1" x14ac:dyDescent="0.2"/>
    <row r="5" spans="2:29" ht="26" x14ac:dyDescent="0.3">
      <c r="B5" s="21" t="s">
        <v>332</v>
      </c>
      <c r="C5" s="245" t="s">
        <v>409</v>
      </c>
      <c r="F5" s="667"/>
      <c r="G5" s="667"/>
      <c r="H5" s="671" t="s">
        <v>189</v>
      </c>
      <c r="I5" s="670">
        <f>'Løp 23'!I5+7</f>
        <v>46098</v>
      </c>
    </row>
    <row r="6" spans="2:29" ht="17" thickBot="1" x14ac:dyDescent="0.25">
      <c r="B6" s="15"/>
    </row>
    <row r="7" spans="2:29" ht="59" customHeight="1" thickBot="1" x14ac:dyDescent="0.35">
      <c r="B7" s="12" t="s">
        <v>194</v>
      </c>
      <c r="C7" s="662" t="s">
        <v>57</v>
      </c>
      <c r="D7" s="391" t="s">
        <v>58</v>
      </c>
      <c r="E7" s="663"/>
      <c r="F7" s="663" t="s">
        <v>234</v>
      </c>
      <c r="G7" s="391" t="s">
        <v>280</v>
      </c>
      <c r="H7" s="391" t="s">
        <v>235</v>
      </c>
      <c r="I7" s="391" t="s">
        <v>302</v>
      </c>
      <c r="J7" s="391" t="s">
        <v>303</v>
      </c>
      <c r="K7" s="391" t="s">
        <v>192</v>
      </c>
      <c r="L7" s="194" t="s">
        <v>209</v>
      </c>
      <c r="M7" s="392" t="s">
        <v>55</v>
      </c>
      <c r="N7" s="393" t="s">
        <v>242</v>
      </c>
      <c r="O7" s="393" t="s">
        <v>240</v>
      </c>
      <c r="Q7" s="319"/>
      <c r="R7" s="319"/>
      <c r="S7" s="755" t="str">
        <f>B5</f>
        <v>Løp 24</v>
      </c>
      <c r="T7" s="754" t="str">
        <f>C5</f>
        <v>Ranheim</v>
      </c>
      <c r="U7" s="730"/>
      <c r="V7" s="730"/>
      <c r="W7" s="941"/>
      <c r="X7" s="941"/>
    </row>
    <row r="8" spans="2:29" ht="23" customHeight="1" thickTop="1" thickBot="1" x14ac:dyDescent="0.35">
      <c r="B8" s="22"/>
      <c r="C8" s="394"/>
      <c r="D8" s="395"/>
      <c r="E8" s="597"/>
      <c r="F8" s="668"/>
      <c r="G8" s="668"/>
      <c r="H8" s="664"/>
      <c r="I8" s="789">
        <v>2.2000000000000002</v>
      </c>
      <c r="J8" s="789">
        <v>3.1</v>
      </c>
      <c r="K8" s="391"/>
      <c r="N8" s="720"/>
      <c r="O8" s="390"/>
      <c r="S8" s="942" t="s">
        <v>312</v>
      </c>
      <c r="T8" s="943"/>
      <c r="U8" s="944"/>
      <c r="V8" s="779"/>
      <c r="W8" s="945" t="s">
        <v>313</v>
      </c>
      <c r="X8" s="940"/>
      <c r="AB8" s="836" t="s">
        <v>361</v>
      </c>
      <c r="AC8" s="827"/>
    </row>
    <row r="9" spans="2:29" ht="21" thickBot="1" x14ac:dyDescent="0.3">
      <c r="B9" s="22"/>
      <c r="C9" s="109"/>
      <c r="D9" s="105"/>
      <c r="E9" s="598"/>
      <c r="F9" s="669"/>
      <c r="G9" s="669"/>
      <c r="H9" s="665"/>
      <c r="I9" s="12"/>
      <c r="J9" s="12"/>
      <c r="K9" s="12"/>
      <c r="N9" s="722"/>
      <c r="O9" s="200"/>
      <c r="Q9" s="110"/>
      <c r="S9" s="731"/>
      <c r="T9" s="727" t="s">
        <v>311</v>
      </c>
      <c r="U9" s="750" t="s">
        <v>55</v>
      </c>
      <c r="V9" s="780"/>
      <c r="W9" s="774"/>
      <c r="X9" s="732" t="s">
        <v>55</v>
      </c>
      <c r="AB9" s="834" t="s">
        <v>234</v>
      </c>
      <c r="AC9" s="835" t="s">
        <v>362</v>
      </c>
    </row>
    <row r="10" spans="2:29" ht="21" thickBot="1" x14ac:dyDescent="0.3">
      <c r="B10" s="16">
        <f t="shared" ref="B10:B73" si="0">B9+1</f>
        <v>1</v>
      </c>
      <c r="C10" s="106" t="s">
        <v>112</v>
      </c>
      <c r="D10" s="107" t="s">
        <v>113</v>
      </c>
      <c r="E10" s="599" t="str">
        <f t="shared" ref="E10:E41" si="1">_xlfn.CONCAT(C10:D10)</f>
        <v>ToridKvaal</v>
      </c>
      <c r="F10" s="192">
        <f>YEAR(I$5)-_xlfn.XLOOKUP(E10,Deltakerliste!E$5:E$98,Deltakerliste!I$5:I$98)</f>
        <v>84</v>
      </c>
      <c r="G10" s="192">
        <f>_xlfn.XLOOKUP(E10,Deltakerliste!E$5:E$98,Deltakerliste!H$5:H$98)</f>
        <v>4</v>
      </c>
      <c r="H10" s="592">
        <f>VLOOKUP(F10,Deltakerliste!P$6:T$84,G10,FALSE)</f>
        <v>2.7814000000000005</v>
      </c>
      <c r="I10" s="86"/>
      <c r="J10" s="86">
        <v>2.3958333333333335E-2</v>
      </c>
      <c r="K10" s="13"/>
      <c r="L10" s="600">
        <f t="shared" ref="L10:L41" si="2">IF(OR(I10="Arr",J10="Arr",K10="Arr"),"Arr",IF(OR(I10="Brutt",J10="Brutt",K10="Brutt"),"Brutt",IF(OR(I10="Disk",J10="Disk",K10="Disk"),"Disk",IF(OR(I10="Løype",J10="Løype",K10="Løype"),"Løype",IF(I10&gt;0,I10/I$8,J10/J$8)))))</f>
        <v>7.7284946236559141E-3</v>
      </c>
      <c r="M10" s="594">
        <f>IF(L10="Løype",Poengsammendrag!$F$2,IF(L10="Arr",Poengsammendrag!$F$3,IF(L10="Brutt",50,IF(L10="Disk",50,ROUND(MAXA(100*(MIN(L$10:L$94)/L10),50),0)))))</f>
        <v>69</v>
      </c>
      <c r="N10" s="724">
        <f t="shared" ref="N10:N41" si="3">IF(L10="Arr","Arr",IF(L10="Brutt","Brutt",IF(L10="Disk","Disk",IF(L10="Løype","Løype",L10/H10))))</f>
        <v>2.7786347248349437E-3</v>
      </c>
      <c r="O10" s="596">
        <f>IF(N10="Løype",Poengsammendrag!$F$2,IF(N10="Arr",Poengsammendrag!$F$3,IF(N10="Brutt",50,IF(N10="Disk",50,ROUND(MAXA(100*(MIN(N$10:N$94)/N10),50),0)))))</f>
        <v>100</v>
      </c>
      <c r="Q10" s="672"/>
      <c r="R10" s="672"/>
      <c r="S10" s="802" t="s">
        <v>298</v>
      </c>
      <c r="T10" s="734">
        <v>5.324074074074074E-3</v>
      </c>
      <c r="U10" s="751">
        <v>100</v>
      </c>
      <c r="V10" s="781"/>
      <c r="W10" s="775" t="s">
        <v>112</v>
      </c>
      <c r="X10" s="739">
        <v>100</v>
      </c>
      <c r="AB10" s="832">
        <v>55</v>
      </c>
      <c r="AC10" s="833">
        <f t="shared" ref="AC10:AC50" si="4">COUNTIFS(F$10:F$97,AB10,M$10:M$97,"&gt;0")</f>
        <v>0</v>
      </c>
    </row>
    <row r="11" spans="2:29" ht="21" customHeight="1" thickBot="1" x14ac:dyDescent="0.3">
      <c r="B11" s="16">
        <f t="shared" si="0"/>
        <v>2</v>
      </c>
      <c r="C11" s="106" t="s">
        <v>166</v>
      </c>
      <c r="D11" s="107" t="s">
        <v>167</v>
      </c>
      <c r="E11" s="599" t="str">
        <f t="shared" si="1"/>
        <v>GunnarØsterbø</v>
      </c>
      <c r="F11" s="192">
        <f>YEAR(I$5)-_xlfn.XLOOKUP(E11,Deltakerliste!E$5:E$98,Deltakerliste!I$5:I$98)</f>
        <v>87</v>
      </c>
      <c r="G11" s="192">
        <f>_xlfn.XLOOKUP(E11,Deltakerliste!E$5:E$98,Deltakerliste!H$5:H$98)</f>
        <v>2</v>
      </c>
      <c r="H11" s="592">
        <f>VLOOKUP(F11,Deltakerliste!P$6:T$84,G11,FALSE)</f>
        <v>2.3929999999999998</v>
      </c>
      <c r="I11" s="18"/>
      <c r="J11" s="132">
        <v>2.1250000000000002E-2</v>
      </c>
      <c r="K11" s="18"/>
      <c r="L11" s="600">
        <f t="shared" si="2"/>
        <v>6.8548387096774195E-3</v>
      </c>
      <c r="M11" s="594">
        <f>IF(L11="Løype",Poengsammendrag!$F$2,IF(L11="Arr",Poengsammendrag!$F$3,IF(L11="Brutt",50,IF(L11="Disk",50,ROUND(MAXA(100*(MIN(L$10:L$94)/L11),50),0)))))</f>
        <v>78</v>
      </c>
      <c r="N11" s="724">
        <f t="shared" si="3"/>
        <v>2.8645376973160971E-3</v>
      </c>
      <c r="O11" s="596">
        <f>IF(N11="Løype",Poengsammendrag!$F$2,IF(N11="Arr",Poengsammendrag!$F$3,IF(N11="Brutt",50,IF(N11="Disk",50,ROUND(MAXA(100*(MIN(N$10:N$94)/N11),50),0)))))</f>
        <v>97</v>
      </c>
      <c r="Q11" s="672"/>
      <c r="R11" s="672"/>
      <c r="S11" s="803" t="s">
        <v>386</v>
      </c>
      <c r="T11" s="736">
        <v>5.4696833930704897E-3</v>
      </c>
      <c r="U11" s="752">
        <v>97</v>
      </c>
      <c r="V11" s="781"/>
      <c r="W11" s="776" t="s">
        <v>166</v>
      </c>
      <c r="X11" s="740">
        <v>97</v>
      </c>
      <c r="AB11" s="828">
        <f>AB10+1</f>
        <v>56</v>
      </c>
      <c r="AC11" s="829">
        <f t="shared" si="4"/>
        <v>0</v>
      </c>
    </row>
    <row r="12" spans="2:29" ht="21" customHeight="1" thickBot="1" x14ac:dyDescent="0.3">
      <c r="B12" s="16">
        <f t="shared" si="0"/>
        <v>3</v>
      </c>
      <c r="C12" s="106" t="s">
        <v>138</v>
      </c>
      <c r="D12" s="107" t="s">
        <v>137</v>
      </c>
      <c r="E12" s="599" t="str">
        <f t="shared" si="1"/>
        <v>GunnhildOftedal</v>
      </c>
      <c r="F12" s="192">
        <f>YEAR(I$5)-_xlfn.XLOOKUP(E12,Deltakerliste!E$5:E$98,Deltakerliste!I$5:I$98)</f>
        <v>73</v>
      </c>
      <c r="G12" s="192">
        <f>_xlfn.XLOOKUP(E12,Deltakerliste!E$5:E$98,Deltakerliste!H$5:H$98)</f>
        <v>4</v>
      </c>
      <c r="H12" s="592">
        <f>VLOOKUP(F12,Deltakerliste!P$6:T$84,G12,FALSE)</f>
        <v>2.0798000000000014</v>
      </c>
      <c r="I12" s="13"/>
      <c r="J12" s="13">
        <v>2.1759259259259259E-2</v>
      </c>
      <c r="K12" s="13"/>
      <c r="L12" s="600">
        <f t="shared" si="2"/>
        <v>7.019115890083632E-3</v>
      </c>
      <c r="M12" s="594">
        <f>IF(L12="Løype",Poengsammendrag!$F$2,IF(L12="Arr",Poengsammendrag!$F$3,IF(L12="Brutt",50,IF(L12="Disk",50,ROUND(MAXA(100*(MIN(L$10:L$94)/L12),50),0)))))</f>
        <v>76</v>
      </c>
      <c r="N12" s="724">
        <f t="shared" si="3"/>
        <v>3.374899456718736E-3</v>
      </c>
      <c r="O12" s="596">
        <f>IF(N12="Løype",Poengsammendrag!$F$2,IF(N12="Arr",Poengsammendrag!$F$3,IF(N12="Brutt",50,IF(N12="Disk",50,ROUND(MAXA(100*(MIN(N$10:N$94)/N12),50),0)))))</f>
        <v>82</v>
      </c>
      <c r="Q12" s="672"/>
      <c r="R12" s="672"/>
      <c r="S12" s="803" t="s">
        <v>368</v>
      </c>
      <c r="T12" s="736">
        <v>5.4808841099163678E-3</v>
      </c>
      <c r="U12" s="752">
        <v>97</v>
      </c>
      <c r="V12" s="781"/>
      <c r="W12" s="776" t="s">
        <v>138</v>
      </c>
      <c r="X12" s="740">
        <v>82</v>
      </c>
      <c r="AB12" s="828">
        <f t="shared" ref="AB12:AB50" si="5">AB11+1</f>
        <v>57</v>
      </c>
      <c r="AC12" s="829">
        <f t="shared" si="4"/>
        <v>0</v>
      </c>
    </row>
    <row r="13" spans="2:29" ht="21" customHeight="1" thickBot="1" x14ac:dyDescent="0.3">
      <c r="B13" s="16">
        <f t="shared" si="0"/>
        <v>4</v>
      </c>
      <c r="C13" s="106" t="s">
        <v>116</v>
      </c>
      <c r="D13" s="107" t="s">
        <v>165</v>
      </c>
      <c r="E13" s="599" t="str">
        <f t="shared" si="1"/>
        <v>AndersWaage</v>
      </c>
      <c r="F13" s="192">
        <f>YEAR(I$5)-_xlfn.XLOOKUP(E13,Deltakerliste!E$5:E$98,Deltakerliste!I$5:I$98)</f>
        <v>78</v>
      </c>
      <c r="G13" s="192">
        <f>_xlfn.XLOOKUP(E13,Deltakerliste!E$5:E$98,Deltakerliste!H$5:H$98)</f>
        <v>2</v>
      </c>
      <c r="H13" s="592">
        <f>VLOOKUP(F13,Deltakerliste!P$6:T$84,G13,FALSE)</f>
        <v>1.7550000000000001</v>
      </c>
      <c r="I13" s="18"/>
      <c r="J13" s="132">
        <v>1.9004629629629628E-2</v>
      </c>
      <c r="K13" s="18"/>
      <c r="L13" s="600">
        <f t="shared" si="2"/>
        <v>6.1305256869772992E-3</v>
      </c>
      <c r="M13" s="594">
        <f>IF(L13="Løype",Poengsammendrag!$F$2,IF(L13="Arr",Poengsammendrag!$F$3,IF(L13="Brutt",50,IF(L13="Disk",50,ROUND(MAXA(100*(MIN(L$10:L$94)/L13),50),0)))))</f>
        <v>87</v>
      </c>
      <c r="N13" s="724">
        <f t="shared" si="3"/>
        <v>3.4931770296166946E-3</v>
      </c>
      <c r="O13" s="596">
        <f>IF(N13="Løype",Poengsammendrag!$F$2,IF(N13="Arr",Poengsammendrag!$F$3,IF(N13="Brutt",50,IF(N13="Disk",50,ROUND(MAXA(100*(MIN(N$10:N$94)/N13),50),0)))))</f>
        <v>80</v>
      </c>
      <c r="Q13" s="672"/>
      <c r="R13" s="672"/>
      <c r="S13" s="803" t="s">
        <v>222</v>
      </c>
      <c r="T13" s="736">
        <v>5.6190262843488657E-3</v>
      </c>
      <c r="U13" s="752">
        <v>95</v>
      </c>
      <c r="V13" s="781"/>
      <c r="W13" s="776" t="s">
        <v>314</v>
      </c>
      <c r="X13" s="740">
        <v>80</v>
      </c>
      <c r="AB13" s="828">
        <f t="shared" si="5"/>
        <v>58</v>
      </c>
      <c r="AC13" s="829">
        <f t="shared" si="4"/>
        <v>0</v>
      </c>
    </row>
    <row r="14" spans="2:29" ht="21" customHeight="1" thickBot="1" x14ac:dyDescent="0.3">
      <c r="B14" s="16">
        <f t="shared" si="0"/>
        <v>5</v>
      </c>
      <c r="C14" s="106" t="s">
        <v>126</v>
      </c>
      <c r="D14" s="107" t="s">
        <v>127</v>
      </c>
      <c r="E14" s="599" t="str">
        <f t="shared" si="1"/>
        <v>ArneMikkelsen</v>
      </c>
      <c r="F14" s="192">
        <f>YEAR(I$5)-_xlfn.XLOOKUP(E14,Deltakerliste!E$5:E$98,Deltakerliste!I$5:I$98)</f>
        <v>73</v>
      </c>
      <c r="G14" s="192">
        <f>_xlfn.XLOOKUP(E14,Deltakerliste!E$5:E$98,Deltakerliste!H$5:H$98)</f>
        <v>2</v>
      </c>
      <c r="H14" s="592">
        <f>VLOOKUP(F14,Deltakerliste!P$6:T$84,G14,FALSE)</f>
        <v>1.5329999999999999</v>
      </c>
      <c r="I14" s="13"/>
      <c r="J14" s="13">
        <v>1.695601851851852E-2</v>
      </c>
      <c r="K14" s="13"/>
      <c r="L14" s="600">
        <f t="shared" si="2"/>
        <v>5.4696833930704897E-3</v>
      </c>
      <c r="M14" s="594">
        <f>IF(L14="Løype",Poengsammendrag!$F$2,IF(L14="Arr",Poengsammendrag!$F$3,IF(L14="Brutt",50,IF(L14="Disk",50,ROUND(MAXA(100*(MIN(L$10:L$94)/L14),50),0)))))</f>
        <v>97</v>
      </c>
      <c r="N14" s="724">
        <f t="shared" si="3"/>
        <v>3.5679604651470908E-3</v>
      </c>
      <c r="O14" s="596">
        <f>IF(N14="Løype",Poengsammendrag!$F$2,IF(N14="Arr",Poengsammendrag!$F$3,IF(N14="Brutt",50,IF(N14="Disk",50,ROUND(MAXA(100*(MIN(N$10:N$94)/N14),50),0)))))</f>
        <v>78</v>
      </c>
      <c r="Q14" s="672"/>
      <c r="R14" s="672"/>
      <c r="S14" s="803" t="s">
        <v>136</v>
      </c>
      <c r="T14" s="736">
        <v>5.7982377538829148E-3</v>
      </c>
      <c r="U14" s="752">
        <v>92</v>
      </c>
      <c r="V14" s="781"/>
      <c r="W14" s="776" t="s">
        <v>386</v>
      </c>
      <c r="X14" s="740">
        <v>78</v>
      </c>
      <c r="AB14" s="828">
        <f t="shared" si="5"/>
        <v>59</v>
      </c>
      <c r="AC14" s="829">
        <f t="shared" si="4"/>
        <v>0</v>
      </c>
    </row>
    <row r="15" spans="2:29" ht="21" customHeight="1" thickBot="1" x14ac:dyDescent="0.3">
      <c r="B15" s="16">
        <f t="shared" si="0"/>
        <v>6</v>
      </c>
      <c r="C15" s="106" t="s">
        <v>78</v>
      </c>
      <c r="D15" s="107" t="s">
        <v>79</v>
      </c>
      <c r="E15" s="599" t="str">
        <f t="shared" si="1"/>
        <v>LeifEngen</v>
      </c>
      <c r="F15" s="192">
        <f>YEAR(I$5)-_xlfn.XLOOKUP(E15,Deltakerliste!E$5:E$98,Deltakerliste!I$5:I$98)</f>
        <v>85</v>
      </c>
      <c r="G15" s="192">
        <f>_xlfn.XLOOKUP(E15,Deltakerliste!E$5:E$98,Deltakerliste!H$5:H$98)</f>
        <v>2</v>
      </c>
      <c r="H15" s="592">
        <f>VLOOKUP(F15,Deltakerliste!P$6:T$84,G15,FALSE)</f>
        <v>2.2249999999999996</v>
      </c>
      <c r="I15" s="86">
        <v>1.7523148148148149E-2</v>
      </c>
      <c r="J15" s="86"/>
      <c r="K15" s="13"/>
      <c r="L15" s="600">
        <f t="shared" si="2"/>
        <v>7.9650673400673399E-3</v>
      </c>
      <c r="M15" s="594">
        <f>IF(L15="Løype",Poengsammendrag!$F$2,IF(L15="Arr",Poengsammendrag!$F$3,IF(L15="Brutt",50,IF(L15="Disk",50,ROUND(MAXA(100*(MIN(L$10:L$94)/L15),50),0)))))</f>
        <v>67</v>
      </c>
      <c r="N15" s="724">
        <f t="shared" si="3"/>
        <v>3.5798055460976815E-3</v>
      </c>
      <c r="O15" s="596">
        <f>IF(N15="Løype",Poengsammendrag!$F$2,IF(N15="Arr",Poengsammendrag!$F$3,IF(N15="Brutt",50,IF(N15="Disk",50,ROUND(MAXA(100*(MIN(N$10:N$94)/N15),50),0)))))</f>
        <v>78</v>
      </c>
      <c r="Q15" s="672"/>
      <c r="R15" s="672"/>
      <c r="S15" s="803" t="s">
        <v>120</v>
      </c>
      <c r="T15" s="736">
        <v>6.1081242532855439E-3</v>
      </c>
      <c r="U15" s="752">
        <v>87</v>
      </c>
      <c r="V15" s="781"/>
      <c r="W15" s="776" t="s">
        <v>338</v>
      </c>
      <c r="X15" s="740">
        <v>78</v>
      </c>
      <c r="AB15" s="828">
        <f t="shared" si="5"/>
        <v>60</v>
      </c>
      <c r="AC15" s="829">
        <f t="shared" si="4"/>
        <v>2</v>
      </c>
    </row>
    <row r="16" spans="2:29" ht="21" customHeight="1" thickBot="1" x14ac:dyDescent="0.3">
      <c r="B16" s="16">
        <f t="shared" si="0"/>
        <v>7</v>
      </c>
      <c r="C16" s="106" t="s">
        <v>149</v>
      </c>
      <c r="D16" s="107" t="s">
        <v>150</v>
      </c>
      <c r="E16" s="599" t="str">
        <f t="shared" si="1"/>
        <v>BenteSkorge</v>
      </c>
      <c r="F16" s="192">
        <f>YEAR(I$5)-_xlfn.XLOOKUP(E16,Deltakerliste!E$5:E$98,Deltakerliste!I$5:I$98)</f>
        <v>67</v>
      </c>
      <c r="G16" s="192">
        <f>_xlfn.XLOOKUP(E16,Deltakerliste!E$5:E$98,Deltakerliste!H$5:H$98)</f>
        <v>4</v>
      </c>
      <c r="H16" s="592">
        <f>VLOOKUP(F16,Deltakerliste!P$6:T$84,G16,FALSE)</f>
        <v>1.8422000000000009</v>
      </c>
      <c r="I16" s="132"/>
      <c r="J16" s="132">
        <v>2.0474537037037038E-2</v>
      </c>
      <c r="K16" s="18"/>
      <c r="L16" s="600">
        <f t="shared" si="2"/>
        <v>6.6046893667861409E-3</v>
      </c>
      <c r="M16" s="594">
        <f>IF(L16="Løype",Poengsammendrag!$F$2,IF(L16="Arr",Poengsammendrag!$F$3,IF(L16="Brutt",50,IF(L16="Disk",50,ROUND(MAXA(100*(MIN(L$10:L$94)/L16),50),0)))))</f>
        <v>81</v>
      </c>
      <c r="N16" s="724">
        <f t="shared" si="3"/>
        <v>3.5852184164510571E-3</v>
      </c>
      <c r="O16" s="596">
        <f>IF(N16="Løype",Poengsammendrag!$F$2,IF(N16="Arr",Poengsammendrag!$F$3,IF(N16="Brutt",50,IF(N16="Disk",50,ROUND(MAXA(100*(MIN(N$10:N$94)/N16),50),0)))))</f>
        <v>78</v>
      </c>
      <c r="Q16" s="672"/>
      <c r="R16" s="672"/>
      <c r="S16" s="803" t="s">
        <v>314</v>
      </c>
      <c r="T16" s="736">
        <v>6.1305256869772992E-3</v>
      </c>
      <c r="U16" s="752">
        <v>87</v>
      </c>
      <c r="V16" s="781"/>
      <c r="W16" s="776" t="s">
        <v>149</v>
      </c>
      <c r="X16" s="740">
        <v>78</v>
      </c>
      <c r="AB16" s="828">
        <f t="shared" si="5"/>
        <v>61</v>
      </c>
      <c r="AC16" s="829">
        <f t="shared" si="4"/>
        <v>1</v>
      </c>
    </row>
    <row r="17" spans="2:29" ht="21" customHeight="1" thickBot="1" x14ac:dyDescent="0.3">
      <c r="B17" s="16">
        <f t="shared" si="0"/>
        <v>8</v>
      </c>
      <c r="C17" s="106" t="s">
        <v>136</v>
      </c>
      <c r="D17" s="107" t="s">
        <v>137</v>
      </c>
      <c r="E17" s="599" t="str">
        <f t="shared" si="1"/>
        <v>HaraldOftedal</v>
      </c>
      <c r="F17" s="192">
        <f>YEAR(I$5)-_xlfn.XLOOKUP(E17,Deltakerliste!E$5:E$98,Deltakerliste!I$5:I$98)</f>
        <v>74</v>
      </c>
      <c r="G17" s="192">
        <f>_xlfn.XLOOKUP(E17,Deltakerliste!E$5:E$98,Deltakerliste!H$5:H$98)</f>
        <v>2</v>
      </c>
      <c r="H17" s="592">
        <f>VLOOKUP(F17,Deltakerliste!P$6:T$84,G17,FALSE)</f>
        <v>1.569</v>
      </c>
      <c r="I17" s="132"/>
      <c r="J17" s="132">
        <v>1.7974537037037035E-2</v>
      </c>
      <c r="K17" s="134"/>
      <c r="L17" s="600">
        <f t="shared" si="2"/>
        <v>5.7982377538829148E-3</v>
      </c>
      <c r="M17" s="594">
        <f>IF(L17="Løype",Poengsammendrag!$F$2,IF(L17="Arr",Poengsammendrag!$F$3,IF(L17="Brutt",50,IF(L17="Disk",50,ROUND(MAXA(100*(MIN(L$10:L$94)/L17),50),0)))))</f>
        <v>92</v>
      </c>
      <c r="N17" s="724">
        <f t="shared" si="3"/>
        <v>3.6954988871146684E-3</v>
      </c>
      <c r="O17" s="596">
        <f>IF(N17="Løype",Poengsammendrag!$F$2,IF(N17="Arr",Poengsammendrag!$F$3,IF(N17="Brutt",50,IF(N17="Disk",50,ROUND(MAXA(100*(MIN(N$10:N$94)/N17),50),0)))))</f>
        <v>75</v>
      </c>
      <c r="Q17" s="672"/>
      <c r="R17" s="672"/>
      <c r="S17" s="803" t="s">
        <v>377</v>
      </c>
      <c r="T17" s="736">
        <v>6.2126642771804068E-3</v>
      </c>
      <c r="U17" s="752">
        <v>86</v>
      </c>
      <c r="V17" s="781"/>
      <c r="W17" s="776" t="s">
        <v>136</v>
      </c>
      <c r="X17" s="740">
        <v>75</v>
      </c>
      <c r="AB17" s="828">
        <f t="shared" si="5"/>
        <v>62</v>
      </c>
      <c r="AC17" s="829">
        <f t="shared" si="4"/>
        <v>0</v>
      </c>
    </row>
    <row r="18" spans="2:29" ht="21" customHeight="1" thickBot="1" x14ac:dyDescent="0.3">
      <c r="B18" s="16">
        <f t="shared" si="0"/>
        <v>9</v>
      </c>
      <c r="C18" s="106" t="s">
        <v>114</v>
      </c>
      <c r="D18" s="107" t="s">
        <v>115</v>
      </c>
      <c r="E18" s="599" t="str">
        <f t="shared" si="1"/>
        <v>MagnusLandstad</v>
      </c>
      <c r="F18" s="192">
        <f>YEAR(I$5)-_xlfn.XLOOKUP(E18,Deltakerliste!E$5:E$98,Deltakerliste!I$5:I$98)</f>
        <v>83</v>
      </c>
      <c r="G18" s="192">
        <f>_xlfn.XLOOKUP(E18,Deltakerliste!E$5:E$98,Deltakerliste!H$5:H$98)</f>
        <v>2</v>
      </c>
      <c r="H18" s="592">
        <f>VLOOKUP(F18,Deltakerliste!P$6:T$84,G18,FALSE)</f>
        <v>2.077</v>
      </c>
      <c r="I18" s="86"/>
      <c r="J18" s="86">
        <v>2.4479166666666666E-2</v>
      </c>
      <c r="K18" s="13"/>
      <c r="L18" s="600">
        <f t="shared" si="2"/>
        <v>7.8965053763440859E-3</v>
      </c>
      <c r="M18" s="594">
        <f>IF(L18="Løype",Poengsammendrag!$F$2,IF(L18="Arr",Poengsammendrag!$F$3,IF(L18="Brutt",50,IF(L18="Disk",50,ROUND(MAXA(100*(MIN(L$10:L$94)/L18),50),0)))))</f>
        <v>67</v>
      </c>
      <c r="N18" s="724">
        <f t="shared" si="3"/>
        <v>3.8018802967472731E-3</v>
      </c>
      <c r="O18" s="596">
        <f>IF(N18="Løype",Poengsammendrag!$F$2,IF(N18="Arr",Poengsammendrag!$F$3,IF(N18="Brutt",50,IF(N18="Disk",50,ROUND(MAXA(100*(MIN(N$10:N$94)/N18),50),0)))))</f>
        <v>73</v>
      </c>
      <c r="Q18" s="672"/>
      <c r="R18" s="672"/>
      <c r="S18" s="803" t="s">
        <v>134</v>
      </c>
      <c r="T18" s="736">
        <v>6.2126642771804068E-3</v>
      </c>
      <c r="U18" s="752">
        <v>86</v>
      </c>
      <c r="V18" s="781"/>
      <c r="W18" s="776" t="s">
        <v>114</v>
      </c>
      <c r="X18" s="740">
        <v>73</v>
      </c>
      <c r="AB18" s="828">
        <f t="shared" si="5"/>
        <v>63</v>
      </c>
      <c r="AC18" s="829">
        <f t="shared" si="4"/>
        <v>0</v>
      </c>
    </row>
    <row r="19" spans="2:29" ht="21" thickBot="1" x14ac:dyDescent="0.3">
      <c r="B19" s="16">
        <f t="shared" si="0"/>
        <v>10</v>
      </c>
      <c r="C19" s="106" t="s">
        <v>88</v>
      </c>
      <c r="D19" s="107" t="s">
        <v>89</v>
      </c>
      <c r="E19" s="599" t="str">
        <f t="shared" si="1"/>
        <v>EdgarFuruholt</v>
      </c>
      <c r="F19" s="192">
        <f>YEAR(I$5)-_xlfn.XLOOKUP(E19,Deltakerliste!E$5:E$98,Deltakerliste!I$5:I$98)</f>
        <v>79</v>
      </c>
      <c r="G19" s="192">
        <f>_xlfn.XLOOKUP(E19,Deltakerliste!E$5:E$98,Deltakerliste!H$5:H$98)</f>
        <v>2</v>
      </c>
      <c r="H19" s="592">
        <f>VLOOKUP(F19,Deltakerliste!P$6:T$84,G19,FALSE)</f>
        <v>1.8050000000000002</v>
      </c>
      <c r="I19" s="132"/>
      <c r="J19" s="132">
        <v>2.1319444444444443E-2</v>
      </c>
      <c r="K19" s="18"/>
      <c r="L19" s="600">
        <f t="shared" si="2"/>
        <v>6.8772401433691748E-3</v>
      </c>
      <c r="M19" s="594">
        <f>IF(L19="Løype",Poengsammendrag!$F$2,IF(L19="Arr",Poengsammendrag!$F$3,IF(L19="Brutt",50,IF(L19="Disk",50,ROUND(MAXA(100*(MIN(L$10:L$94)/L19),50),0)))))</f>
        <v>77</v>
      </c>
      <c r="N19" s="724">
        <f t="shared" si="3"/>
        <v>3.8101053425867999E-3</v>
      </c>
      <c r="O19" s="596">
        <f>IF(N19="Løype",Poengsammendrag!$F$2,IF(N19="Arr",Poengsammendrag!$F$3,IF(N19="Brutt",50,IF(N19="Disk",50,ROUND(MAXA(100*(MIN(N$10:N$94)/N19),50),0)))))</f>
        <v>73</v>
      </c>
      <c r="Q19" s="672"/>
      <c r="R19" s="672"/>
      <c r="S19" s="803" t="s">
        <v>307</v>
      </c>
      <c r="T19" s="736">
        <v>6.5561529271206693E-3</v>
      </c>
      <c r="U19" s="752">
        <v>81</v>
      </c>
      <c r="V19" s="781"/>
      <c r="W19" s="776" t="s">
        <v>88</v>
      </c>
      <c r="X19" s="740">
        <v>73</v>
      </c>
      <c r="AB19" s="828">
        <f t="shared" si="5"/>
        <v>64</v>
      </c>
      <c r="AC19" s="829">
        <f t="shared" si="4"/>
        <v>0</v>
      </c>
    </row>
    <row r="20" spans="2:29" ht="21" thickBot="1" x14ac:dyDescent="0.3">
      <c r="B20" s="16">
        <f t="shared" si="0"/>
        <v>11</v>
      </c>
      <c r="C20" s="106" t="s">
        <v>377</v>
      </c>
      <c r="D20" s="107" t="s">
        <v>83</v>
      </c>
      <c r="E20" s="599" t="str">
        <f t="shared" si="1"/>
        <v>HildeForbord</v>
      </c>
      <c r="F20" s="192">
        <f>YEAR(I$5)-_xlfn.XLOOKUP(E20,Deltakerliste!E$5:E$98,Deltakerliste!I$5:I$98)</f>
        <v>60</v>
      </c>
      <c r="G20" s="192">
        <f>_xlfn.XLOOKUP(E20,Deltakerliste!E$5:E$98,Deltakerliste!H$5:H$98)</f>
        <v>4</v>
      </c>
      <c r="H20" s="592">
        <f>VLOOKUP(F20,Deltakerliste!P$6:T$84,G20,FALSE)</f>
        <v>1.6250000000000002</v>
      </c>
      <c r="I20" s="14"/>
      <c r="J20" s="14">
        <v>1.9259259259259261E-2</v>
      </c>
      <c r="K20" s="13"/>
      <c r="L20" s="600">
        <f t="shared" si="2"/>
        <v>6.2126642771804068E-3</v>
      </c>
      <c r="M20" s="594">
        <f>IF(L20="Løype",Poengsammendrag!$F$2,IF(L20="Arr",Poengsammendrag!$F$3,IF(L20="Brutt",50,IF(L20="Disk",50,ROUND(MAXA(100*(MIN(L$10:L$94)/L20),50),0)))))</f>
        <v>86</v>
      </c>
      <c r="N20" s="724">
        <f t="shared" si="3"/>
        <v>3.8231780167264037E-3</v>
      </c>
      <c r="O20" s="596">
        <f>IF(N20="Løype",Poengsammendrag!$F$2,IF(N20="Arr",Poengsammendrag!$F$3,IF(N20="Brutt",50,IF(N20="Disk",50,ROUND(MAXA(100*(MIN(N$10:N$94)/N20),50),0)))))</f>
        <v>73</v>
      </c>
      <c r="Q20" s="672"/>
      <c r="R20" s="672"/>
      <c r="S20" s="803" t="s">
        <v>149</v>
      </c>
      <c r="T20" s="736">
        <v>6.6046893667861409E-3</v>
      </c>
      <c r="U20" s="752">
        <v>81</v>
      </c>
      <c r="V20" s="781"/>
      <c r="W20" s="776" t="s">
        <v>377</v>
      </c>
      <c r="X20" s="740">
        <v>73</v>
      </c>
      <c r="AB20" s="828">
        <f t="shared" si="5"/>
        <v>65</v>
      </c>
      <c r="AC20" s="829">
        <f t="shared" si="4"/>
        <v>0</v>
      </c>
    </row>
    <row r="21" spans="2:29" ht="21" customHeight="1" thickBot="1" x14ac:dyDescent="0.3">
      <c r="B21" s="16">
        <f t="shared" si="0"/>
        <v>12</v>
      </c>
      <c r="C21" s="106" t="s">
        <v>222</v>
      </c>
      <c r="D21" s="107" t="s">
        <v>221</v>
      </c>
      <c r="E21" s="599" t="str">
        <f t="shared" si="1"/>
        <v>Kjell Maroni</v>
      </c>
      <c r="F21" s="192">
        <f>YEAR(I$5)-_xlfn.XLOOKUP(E21,Deltakerliste!E$5:E$98,Deltakerliste!I$5:I$98)</f>
        <v>70</v>
      </c>
      <c r="G21" s="192">
        <f>_xlfn.XLOOKUP(E21,Deltakerliste!E$5:E$98,Deltakerliste!H$5:H$98)</f>
        <v>2</v>
      </c>
      <c r="H21" s="592">
        <f>VLOOKUP(F21,Deltakerliste!P$6:T$84,G21,FALSE)</f>
        <v>1.4249999999999998</v>
      </c>
      <c r="I21" s="13"/>
      <c r="J21" s="13">
        <v>1.7418981481481483E-2</v>
      </c>
      <c r="K21" s="13"/>
      <c r="L21" s="600">
        <f t="shared" si="2"/>
        <v>5.6190262843488657E-3</v>
      </c>
      <c r="M21" s="594">
        <f>IF(L21="Løype",Poengsammendrag!$F$2,IF(L21="Arr",Poengsammendrag!$F$3,IF(L21="Brutt",50,IF(L21="Disk",50,ROUND(MAXA(100*(MIN(L$10:L$94)/L21),50),0)))))</f>
        <v>95</v>
      </c>
      <c r="N21" s="724">
        <f t="shared" si="3"/>
        <v>3.9431763398939416E-3</v>
      </c>
      <c r="O21" s="596">
        <f>IF(N21="Løype",Poengsammendrag!$F$2,IF(N21="Arr",Poengsammendrag!$F$3,IF(N21="Brutt",50,IF(N21="Disk",50,ROUND(MAXA(100*(MIN(N$10:N$94)/N21),50),0)))))</f>
        <v>70</v>
      </c>
      <c r="Q21" s="672"/>
      <c r="R21" s="672"/>
      <c r="S21" s="803" t="s">
        <v>99</v>
      </c>
      <c r="T21" s="736">
        <v>6.6196236559139775E-3</v>
      </c>
      <c r="U21" s="752">
        <v>80</v>
      </c>
      <c r="V21" s="781"/>
      <c r="W21" s="776" t="s">
        <v>222</v>
      </c>
      <c r="X21" s="740">
        <v>70</v>
      </c>
      <c r="AB21" s="828">
        <f t="shared" si="5"/>
        <v>66</v>
      </c>
      <c r="AC21" s="829">
        <f t="shared" si="4"/>
        <v>0</v>
      </c>
    </row>
    <row r="22" spans="2:29" ht="21" customHeight="1" thickBot="1" x14ac:dyDescent="0.3">
      <c r="B22" s="16">
        <f t="shared" si="0"/>
        <v>13</v>
      </c>
      <c r="C22" s="106" t="s">
        <v>118</v>
      </c>
      <c r="D22" s="107" t="s">
        <v>119</v>
      </c>
      <c r="E22" s="599" t="str">
        <f t="shared" si="1"/>
        <v>KnutLillealtern</v>
      </c>
      <c r="F22" s="192">
        <f>YEAR(I$5)-_xlfn.XLOOKUP(E22,Deltakerliste!E$5:E$98,Deltakerliste!I$5:I$98)</f>
        <v>77</v>
      </c>
      <c r="G22" s="192">
        <f>_xlfn.XLOOKUP(E22,Deltakerliste!E$5:E$98,Deltakerliste!H$5:H$98)</f>
        <v>2</v>
      </c>
      <c r="H22" s="592">
        <f>VLOOKUP(F22,Deltakerliste!P$6:T$84,G22,FALSE)</f>
        <v>1.7050000000000001</v>
      </c>
      <c r="I22" s="13"/>
      <c r="J22" s="13">
        <v>2.0902777777777777E-2</v>
      </c>
      <c r="K22" s="17"/>
      <c r="L22" s="600">
        <f t="shared" si="2"/>
        <v>6.742831541218638E-3</v>
      </c>
      <c r="M22" s="594">
        <f>IF(L22="Løype",Poengsammendrag!$F$2,IF(L22="Arr",Poengsammendrag!$F$3,IF(L22="Brutt",50,IF(L22="Disk",50,ROUND(MAXA(100*(MIN(L$10:L$94)/L22),50),0)))))</f>
        <v>79</v>
      </c>
      <c r="N22" s="724">
        <f t="shared" si="3"/>
        <v>3.9547399068731014E-3</v>
      </c>
      <c r="O22" s="596">
        <f>IF(N22="Løype",Poengsammendrag!$F$2,IF(N22="Arr",Poengsammendrag!$F$3,IF(N22="Brutt",50,IF(N22="Disk",50,ROUND(MAXA(100*(MIN(N$10:N$94)/N22),50),0)))))</f>
        <v>70</v>
      </c>
      <c r="Q22" s="672"/>
      <c r="R22" s="672"/>
      <c r="S22" s="803" t="s">
        <v>346</v>
      </c>
      <c r="T22" s="736">
        <v>6.6718936678614093E-3</v>
      </c>
      <c r="U22" s="752">
        <v>80</v>
      </c>
      <c r="V22" s="781"/>
      <c r="W22" s="776" t="s">
        <v>118</v>
      </c>
      <c r="X22" s="740">
        <v>70</v>
      </c>
      <c r="AB22" s="828">
        <f t="shared" si="5"/>
        <v>67</v>
      </c>
      <c r="AC22" s="829">
        <f t="shared" si="4"/>
        <v>2</v>
      </c>
    </row>
    <row r="23" spans="2:29" ht="21" customHeight="1" thickBot="1" x14ac:dyDescent="0.3">
      <c r="B23" s="16">
        <f t="shared" si="0"/>
        <v>14</v>
      </c>
      <c r="C23" s="106" t="s">
        <v>120</v>
      </c>
      <c r="D23" s="107" t="s">
        <v>121</v>
      </c>
      <c r="E23" s="599" t="str">
        <f t="shared" si="1"/>
        <v>KlausLivik</v>
      </c>
      <c r="F23" s="192">
        <f>YEAR(I$5)-_xlfn.XLOOKUP(E23,Deltakerliste!E$5:E$98,Deltakerliste!I$5:I$98)</f>
        <v>72</v>
      </c>
      <c r="G23" s="192">
        <f>_xlfn.XLOOKUP(E23,Deltakerliste!E$5:E$98,Deltakerliste!H$5:H$98)</f>
        <v>2</v>
      </c>
      <c r="H23" s="592">
        <f>VLOOKUP(F23,Deltakerliste!P$6:T$84,G23,FALSE)</f>
        <v>1.4969999999999999</v>
      </c>
      <c r="I23" s="13"/>
      <c r="J23" s="13">
        <v>1.8935185185185187E-2</v>
      </c>
      <c r="K23" s="17"/>
      <c r="L23" s="600">
        <f t="shared" si="2"/>
        <v>6.1081242532855439E-3</v>
      </c>
      <c r="M23" s="594">
        <f>IF(L23="Løype",Poengsammendrag!$F$2,IF(L23="Arr",Poengsammendrag!$F$3,IF(L23="Brutt",50,IF(L23="Disk",50,ROUND(MAXA(100*(MIN(L$10:L$94)/L23),50),0)))))</f>
        <v>87</v>
      </c>
      <c r="N23" s="724">
        <f t="shared" si="3"/>
        <v>4.0802433221680326E-3</v>
      </c>
      <c r="O23" s="596">
        <f>IF(N23="Løype",Poengsammendrag!$F$2,IF(N23="Arr",Poengsammendrag!$F$3,IF(N23="Brutt",50,IF(N23="Disk",50,ROUND(MAXA(100*(MIN(N$10:N$94)/N23),50),0)))))</f>
        <v>68</v>
      </c>
      <c r="Q23" s="672"/>
      <c r="R23" s="672"/>
      <c r="S23" s="803" t="s">
        <v>299</v>
      </c>
      <c r="T23" s="736">
        <v>6.7129629629629631E-3</v>
      </c>
      <c r="U23" s="752">
        <v>79</v>
      </c>
      <c r="V23" s="781"/>
      <c r="W23" s="776" t="s">
        <v>120</v>
      </c>
      <c r="X23" s="740">
        <v>68</v>
      </c>
      <c r="AB23" s="828">
        <f t="shared" si="5"/>
        <v>68</v>
      </c>
      <c r="AC23" s="829">
        <f t="shared" si="4"/>
        <v>0</v>
      </c>
    </row>
    <row r="24" spans="2:29" ht="21" thickBot="1" x14ac:dyDescent="0.3">
      <c r="B24" s="16">
        <f t="shared" si="0"/>
        <v>15</v>
      </c>
      <c r="C24" s="106" t="s">
        <v>307</v>
      </c>
      <c r="D24" s="107" t="s">
        <v>308</v>
      </c>
      <c r="E24" s="599" t="str">
        <f t="shared" si="1"/>
        <v>RolfWærnes</v>
      </c>
      <c r="F24" s="192">
        <f>YEAR(I$5)-_xlfn.XLOOKUP(E24,Deltakerliste!E$5:E$98,Deltakerliste!I$5:I$98)</f>
        <v>75</v>
      </c>
      <c r="G24" s="192">
        <f>_xlfn.XLOOKUP(E24,Deltakerliste!E$5:E$98,Deltakerliste!H$5:H$98)</f>
        <v>2</v>
      </c>
      <c r="H24" s="592">
        <f>VLOOKUP(F24,Deltakerliste!P$6:T$84,G24,FALSE)</f>
        <v>1.605</v>
      </c>
      <c r="I24" s="18"/>
      <c r="J24" s="132">
        <v>2.0324074074074074E-2</v>
      </c>
      <c r="K24" s="18"/>
      <c r="L24" s="600">
        <f t="shared" si="2"/>
        <v>6.5561529271206693E-3</v>
      </c>
      <c r="M24" s="594">
        <f>IF(L24="Løype",Poengsammendrag!$F$2,IF(L24="Arr",Poengsammendrag!$F$3,IF(L24="Brutt",50,IF(L24="Disk",50,ROUND(MAXA(100*(MIN(L$10:L$94)/L24),50),0)))))</f>
        <v>81</v>
      </c>
      <c r="N24" s="724">
        <f t="shared" si="3"/>
        <v>4.0848304841873328E-3</v>
      </c>
      <c r="O24" s="596">
        <f>IF(N24="Løype",Poengsammendrag!$F$2,IF(N24="Arr",Poengsammendrag!$F$3,IF(N24="Brutt",50,IF(N24="Disk",50,ROUND(MAXA(100*(MIN(N$10:N$94)/N24),50),0)))))</f>
        <v>68</v>
      </c>
      <c r="Q24" s="672"/>
      <c r="R24" s="672"/>
      <c r="S24" s="803" t="s">
        <v>118</v>
      </c>
      <c r="T24" s="736">
        <v>6.742831541218638E-3</v>
      </c>
      <c r="U24" s="752">
        <v>79</v>
      </c>
      <c r="V24" s="781"/>
      <c r="W24" s="776" t="s">
        <v>307</v>
      </c>
      <c r="X24" s="740">
        <v>68</v>
      </c>
      <c r="AB24" s="828">
        <f t="shared" si="5"/>
        <v>69</v>
      </c>
      <c r="AC24" s="829">
        <f t="shared" si="4"/>
        <v>1</v>
      </c>
    </row>
    <row r="25" spans="2:29" ht="21" thickBot="1" x14ac:dyDescent="0.3">
      <c r="B25" s="16">
        <f t="shared" si="0"/>
        <v>16</v>
      </c>
      <c r="C25" s="106" t="s">
        <v>124</v>
      </c>
      <c r="D25" s="107" t="s">
        <v>125</v>
      </c>
      <c r="E25" s="599" t="str">
        <f t="shared" si="1"/>
        <v>Heidi Midttun</v>
      </c>
      <c r="F25" s="192">
        <f>YEAR(I$5)-_xlfn.XLOOKUP(E25,Deltakerliste!E$5:E$98,Deltakerliste!I$5:I$98)</f>
        <v>71</v>
      </c>
      <c r="G25" s="192">
        <f>_xlfn.XLOOKUP(E25,Deltakerliste!E$5:E$98,Deltakerliste!H$5:H$98)</f>
        <v>4</v>
      </c>
      <c r="H25" s="592">
        <f>VLOOKUP(F25,Deltakerliste!P$6:T$84,G25,FALSE)</f>
        <v>1.9926000000000013</v>
      </c>
      <c r="I25" s="13">
        <v>1.7951388888888888E-2</v>
      </c>
      <c r="J25" s="13"/>
      <c r="K25" s="13"/>
      <c r="L25" s="600">
        <f t="shared" si="2"/>
        <v>8.159722222222221E-3</v>
      </c>
      <c r="M25" s="594">
        <f>IF(L25="Løype",Poengsammendrag!$F$2,IF(L25="Arr",Poengsammendrag!$F$3,IF(L25="Brutt",50,IF(L25="Disk",50,ROUND(MAXA(100*(MIN(L$10:L$94)/L25),50),0)))))</f>
        <v>65</v>
      </c>
      <c r="N25" s="724">
        <f t="shared" si="3"/>
        <v>4.0950126579455065E-3</v>
      </c>
      <c r="O25" s="596">
        <f>IF(N25="Løype",Poengsammendrag!$F$2,IF(N25="Arr",Poengsammendrag!$F$3,IF(N25="Brutt",50,IF(N25="Disk",50,ROUND(MAXA(100*(MIN(N$10:N$94)/N25),50),0)))))</f>
        <v>68</v>
      </c>
      <c r="Q25" s="672"/>
      <c r="R25" s="672"/>
      <c r="S25" s="803" t="s">
        <v>166</v>
      </c>
      <c r="T25" s="736">
        <v>6.8548387096774195E-3</v>
      </c>
      <c r="U25" s="752">
        <v>78</v>
      </c>
      <c r="V25" s="781"/>
      <c r="W25" s="776" t="s">
        <v>124</v>
      </c>
      <c r="X25" s="740">
        <v>68</v>
      </c>
      <c r="AB25" s="828">
        <f t="shared" si="5"/>
        <v>70</v>
      </c>
      <c r="AC25" s="829">
        <f t="shared" si="4"/>
        <v>2</v>
      </c>
    </row>
    <row r="26" spans="2:29" ht="21" customHeight="1" thickBot="1" x14ac:dyDescent="0.3">
      <c r="B26" s="16">
        <f t="shared" si="0"/>
        <v>17</v>
      </c>
      <c r="C26" s="106" t="s">
        <v>106</v>
      </c>
      <c r="D26" s="107" t="s">
        <v>107</v>
      </c>
      <c r="E26" s="599" t="str">
        <f t="shared" si="1"/>
        <v>Jon ArneKlemetsaune</v>
      </c>
      <c r="F26" s="192">
        <f>YEAR(I$5)-_xlfn.XLOOKUP(E26,Deltakerliste!E$5:E$98,Deltakerliste!I$5:I$98)</f>
        <v>77</v>
      </c>
      <c r="G26" s="192">
        <f>_xlfn.XLOOKUP(E26,Deltakerliste!E$5:E$98,Deltakerliste!H$5:H$98)</f>
        <v>2</v>
      </c>
      <c r="H26" s="592">
        <f>VLOOKUP(F26,Deltakerliste!P$6:T$84,G26,FALSE)</f>
        <v>1.7050000000000001</v>
      </c>
      <c r="I26" s="86"/>
      <c r="J26" s="86">
        <v>2.2118055555555554E-2</v>
      </c>
      <c r="K26" s="17"/>
      <c r="L26" s="600">
        <f t="shared" si="2"/>
        <v>7.1348566308243721E-3</v>
      </c>
      <c r="M26" s="594">
        <f>IF(L26="Løype",Poengsammendrag!$F$2,IF(L26="Arr",Poengsammendrag!$F$3,IF(L26="Brutt",50,IF(L26="Disk",50,ROUND(MAXA(100*(MIN(L$10:L$94)/L26),50),0)))))</f>
        <v>75</v>
      </c>
      <c r="N26" s="724">
        <f t="shared" si="3"/>
        <v>4.1846666456447929E-3</v>
      </c>
      <c r="O26" s="596">
        <f>IF(N26="Løype",Poengsammendrag!$F$2,IF(N26="Arr",Poengsammendrag!$F$3,IF(N26="Brutt",50,IF(N26="Disk",50,ROUND(MAXA(100*(MIN(N$10:N$94)/N26),50),0)))))</f>
        <v>66</v>
      </c>
      <c r="Q26" s="672"/>
      <c r="R26" s="672"/>
      <c r="S26" s="803" t="s">
        <v>88</v>
      </c>
      <c r="T26" s="736">
        <v>6.8772401433691748E-3</v>
      </c>
      <c r="U26" s="752">
        <v>77</v>
      </c>
      <c r="V26" s="781"/>
      <c r="W26" s="776" t="s">
        <v>106</v>
      </c>
      <c r="X26" s="740">
        <v>66</v>
      </c>
      <c r="AB26" s="828">
        <f t="shared" si="5"/>
        <v>71</v>
      </c>
      <c r="AC26" s="829">
        <f t="shared" si="4"/>
        <v>2</v>
      </c>
    </row>
    <row r="27" spans="2:29" ht="21" thickBot="1" x14ac:dyDescent="0.3">
      <c r="B27" s="16">
        <f t="shared" si="0"/>
        <v>18</v>
      </c>
      <c r="C27" s="106" t="s">
        <v>80</v>
      </c>
      <c r="D27" s="107" t="s">
        <v>81</v>
      </c>
      <c r="E27" s="599" t="str">
        <f t="shared" si="1"/>
        <v>HalvorFlatberg</v>
      </c>
      <c r="F27" s="192">
        <f>YEAR(I$5)-_xlfn.XLOOKUP(E27,Deltakerliste!E$5:E$98,Deltakerliste!I$5:I$98)</f>
        <v>80</v>
      </c>
      <c r="G27" s="192">
        <f>_xlfn.XLOOKUP(E27,Deltakerliste!E$5:E$98,Deltakerliste!H$5:H$98)</f>
        <v>2</v>
      </c>
      <c r="H27" s="592">
        <f>VLOOKUP(F27,Deltakerliste!P$6:T$84,G27,FALSE)</f>
        <v>1.8550000000000002</v>
      </c>
      <c r="I27" s="86">
        <v>1.7407407407407406E-2</v>
      </c>
      <c r="J27" s="86"/>
      <c r="K27" s="13"/>
      <c r="L27" s="600">
        <f t="shared" si="2"/>
        <v>7.9124579124579108E-3</v>
      </c>
      <c r="M27" s="594">
        <f>IF(L27="Løype",Poengsammendrag!$F$2,IF(L27="Arr",Poengsammendrag!$F$3,IF(L27="Brutt",50,IF(L27="Disk",50,ROUND(MAXA(100*(MIN(L$10:L$94)/L27),50),0)))))</f>
        <v>67</v>
      </c>
      <c r="N27" s="724">
        <f t="shared" si="3"/>
        <v>4.2654759635891697E-3</v>
      </c>
      <c r="O27" s="596">
        <f>IF(N27="Løype",Poengsammendrag!$F$2,IF(N27="Arr",Poengsammendrag!$F$3,IF(N27="Brutt",50,IF(N27="Disk",50,ROUND(MAXA(100*(MIN(N$10:N$94)/N27),50),0)))))</f>
        <v>65</v>
      </c>
      <c r="Q27" s="672"/>
      <c r="R27" s="672"/>
      <c r="S27" s="803" t="s">
        <v>138</v>
      </c>
      <c r="T27" s="736">
        <v>7.019115890083632E-3</v>
      </c>
      <c r="U27" s="752">
        <v>76</v>
      </c>
      <c r="V27" s="781"/>
      <c r="W27" s="776" t="s">
        <v>80</v>
      </c>
      <c r="X27" s="740">
        <v>65</v>
      </c>
      <c r="AB27" s="828">
        <f t="shared" si="5"/>
        <v>72</v>
      </c>
      <c r="AC27" s="829">
        <f t="shared" si="4"/>
        <v>2</v>
      </c>
    </row>
    <row r="28" spans="2:29" ht="21" customHeight="1" thickBot="1" x14ac:dyDescent="0.3">
      <c r="B28" s="16">
        <f t="shared" si="0"/>
        <v>19</v>
      </c>
      <c r="C28" s="106" t="s">
        <v>134</v>
      </c>
      <c r="D28" s="107" t="s">
        <v>135</v>
      </c>
      <c r="E28" s="599" t="str">
        <f t="shared" si="1"/>
        <v>IngeNørstebø</v>
      </c>
      <c r="F28" s="192">
        <f>YEAR(I$5)-_xlfn.XLOOKUP(E28,Deltakerliste!E$5:E$98,Deltakerliste!I$5:I$98)</f>
        <v>70</v>
      </c>
      <c r="G28" s="192">
        <f>_xlfn.XLOOKUP(E28,Deltakerliste!E$5:E$98,Deltakerliste!H$5:H$98)</f>
        <v>2</v>
      </c>
      <c r="H28" s="592">
        <f>VLOOKUP(F28,Deltakerliste!P$6:T$84,G28,FALSE)</f>
        <v>1.4249999999999998</v>
      </c>
      <c r="I28" s="13"/>
      <c r="J28" s="13">
        <v>1.9259259259259261E-2</v>
      </c>
      <c r="K28" s="13"/>
      <c r="L28" s="600">
        <f t="shared" si="2"/>
        <v>6.2126642771804068E-3</v>
      </c>
      <c r="M28" s="594">
        <f>IF(L28="Løype",Poengsammendrag!$F$2,IF(L28="Arr",Poengsammendrag!$F$3,IF(L28="Brutt",50,IF(L28="Disk",50,ROUND(MAXA(100*(MIN(L$10:L$94)/L28),50),0)))))</f>
        <v>86</v>
      </c>
      <c r="N28" s="724">
        <f t="shared" si="3"/>
        <v>4.3597644050388821E-3</v>
      </c>
      <c r="O28" s="596">
        <f>IF(N28="Løype",Poengsammendrag!$F$2,IF(N28="Arr",Poengsammendrag!$F$3,IF(N28="Brutt",50,IF(N28="Disk",50,ROUND(MAXA(100*(MIN(N$10:N$94)/N28),50),0)))))</f>
        <v>64</v>
      </c>
      <c r="Q28" s="672"/>
      <c r="R28" s="672"/>
      <c r="S28" s="803" t="s">
        <v>168</v>
      </c>
      <c r="T28" s="736">
        <v>7.071385902031063E-3</v>
      </c>
      <c r="U28" s="752">
        <v>75</v>
      </c>
      <c r="V28" s="781"/>
      <c r="W28" s="776" t="s">
        <v>134</v>
      </c>
      <c r="X28" s="740">
        <v>64</v>
      </c>
      <c r="AB28" s="828">
        <f t="shared" si="5"/>
        <v>73</v>
      </c>
      <c r="AC28" s="829">
        <f t="shared" si="4"/>
        <v>5</v>
      </c>
    </row>
    <row r="29" spans="2:29" ht="21" thickBot="1" x14ac:dyDescent="0.3">
      <c r="B29" s="16">
        <f t="shared" si="0"/>
        <v>20</v>
      </c>
      <c r="C29" s="106" t="s">
        <v>298</v>
      </c>
      <c r="D29" s="107" t="s">
        <v>297</v>
      </c>
      <c r="E29" s="599" t="str">
        <f t="shared" si="1"/>
        <v>ØyvindSchjelderup</v>
      </c>
      <c r="F29" s="192">
        <f>YEAR(I$5)-_xlfn.XLOOKUP(E29,Deltakerliste!E$5:E$98,Deltakerliste!I$5:I$98)</f>
        <v>61</v>
      </c>
      <c r="G29" s="192">
        <f>_xlfn.XLOOKUP(E29,Deltakerliste!E$5:E$98,Deltakerliste!H$5:H$98)</f>
        <v>2</v>
      </c>
      <c r="H29" s="592">
        <f>VLOOKUP(F29,Deltakerliste!P$6:T$84,G29,FALSE)</f>
        <v>1.2190000000000001</v>
      </c>
      <c r="I29" s="18"/>
      <c r="J29" s="132">
        <v>1.650462962962963E-2</v>
      </c>
      <c r="K29" s="18"/>
      <c r="L29" s="600">
        <f t="shared" si="2"/>
        <v>5.324074074074074E-3</v>
      </c>
      <c r="M29" s="594">
        <f>IF(L29="Løype",Poengsammendrag!$F$2,IF(L29="Arr",Poengsammendrag!$F$3,IF(L29="Brutt",50,IF(L29="Disk",50,ROUND(MAXA(100*(MIN(L$10:L$94)/L29),50),0)))))</f>
        <v>100</v>
      </c>
      <c r="N29" s="724">
        <f t="shared" si="3"/>
        <v>4.3675751222921029E-3</v>
      </c>
      <c r="O29" s="596">
        <f>IF(N29="Løype",Poengsammendrag!$F$2,IF(N29="Arr",Poengsammendrag!$F$3,IF(N29="Brutt",50,IF(N29="Disk",50,ROUND(MAXA(100*(MIN(N$10:N$94)/N29),50),0)))))</f>
        <v>64</v>
      </c>
      <c r="Q29" s="672"/>
      <c r="R29" s="672"/>
      <c r="S29" s="803" t="s">
        <v>68</v>
      </c>
      <c r="T29" s="736">
        <v>7.0975209080047785E-3</v>
      </c>
      <c r="U29" s="752">
        <v>75</v>
      </c>
      <c r="V29" s="781"/>
      <c r="W29" s="776" t="s">
        <v>298</v>
      </c>
      <c r="X29" s="740">
        <v>64</v>
      </c>
      <c r="AB29" s="828">
        <f t="shared" si="5"/>
        <v>74</v>
      </c>
      <c r="AC29" s="829">
        <f t="shared" si="4"/>
        <v>2</v>
      </c>
    </row>
    <row r="30" spans="2:29" ht="21" thickBot="1" x14ac:dyDescent="0.3">
      <c r="B30" s="16">
        <f t="shared" si="0"/>
        <v>21</v>
      </c>
      <c r="C30" s="106" t="s">
        <v>168</v>
      </c>
      <c r="D30" s="107" t="s">
        <v>169</v>
      </c>
      <c r="E30" s="599" t="str">
        <f t="shared" si="1"/>
        <v>SteinØvstedal</v>
      </c>
      <c r="F30" s="192">
        <f>YEAR(I$5)-_xlfn.XLOOKUP(E30,Deltakerliste!E$5:E$98,Deltakerliste!I$5:I$98)</f>
        <v>75</v>
      </c>
      <c r="G30" s="192">
        <f>_xlfn.XLOOKUP(E30,Deltakerliste!E$5:E$98,Deltakerliste!H$5:H$98)</f>
        <v>2</v>
      </c>
      <c r="H30" s="592">
        <f>VLOOKUP(F30,Deltakerliste!P$6:T$84,G30,FALSE)</f>
        <v>1.605</v>
      </c>
      <c r="I30" s="132"/>
      <c r="J30" s="132">
        <v>2.1921296296296296E-2</v>
      </c>
      <c r="K30" s="18"/>
      <c r="L30" s="600">
        <f t="shared" si="2"/>
        <v>7.071385902031063E-3</v>
      </c>
      <c r="M30" s="594">
        <f>IF(L30="Løype",Poengsammendrag!$F$2,IF(L30="Arr",Poengsammendrag!$F$3,IF(L30="Brutt",50,IF(L30="Disk",50,ROUND(MAXA(100*(MIN(L$10:L$94)/L30),50),0)))))</f>
        <v>75</v>
      </c>
      <c r="N30" s="724">
        <f t="shared" si="3"/>
        <v>4.4058479140380458E-3</v>
      </c>
      <c r="O30" s="596">
        <f>IF(N30="Løype",Poengsammendrag!$F$2,IF(N30="Arr",Poengsammendrag!$F$3,IF(N30="Brutt",50,IF(N30="Disk",50,ROUND(MAXA(100*(MIN(N$10:N$94)/N30),50),0)))))</f>
        <v>63</v>
      </c>
      <c r="Q30" s="672"/>
      <c r="R30" s="672"/>
      <c r="S30" s="803" t="s">
        <v>106</v>
      </c>
      <c r="T30" s="736">
        <v>7.1348566308243721E-3</v>
      </c>
      <c r="U30" s="752">
        <v>75</v>
      </c>
      <c r="V30" s="781"/>
      <c r="W30" s="776" t="s">
        <v>168</v>
      </c>
      <c r="X30" s="740">
        <v>63</v>
      </c>
      <c r="AB30" s="828">
        <f t="shared" si="5"/>
        <v>75</v>
      </c>
      <c r="AC30" s="829">
        <f t="shared" si="4"/>
        <v>5</v>
      </c>
    </row>
    <row r="31" spans="2:29" ht="21" customHeight="1" thickBot="1" x14ac:dyDescent="0.3">
      <c r="B31" s="16">
        <f t="shared" si="0"/>
        <v>22</v>
      </c>
      <c r="C31" s="106" t="s">
        <v>64</v>
      </c>
      <c r="D31" s="107" t="s">
        <v>366</v>
      </c>
      <c r="E31" s="599" t="str">
        <f t="shared" si="1"/>
        <v>BjørnHafskjold</v>
      </c>
      <c r="F31" s="192">
        <f>YEAR(I$5)-_xlfn.XLOOKUP(E31,Deltakerliste!E$5:E$98,Deltakerliste!I$5:I$98)</f>
        <v>79</v>
      </c>
      <c r="G31" s="192">
        <f>_xlfn.XLOOKUP(E31,Deltakerliste!E$5:E$98,Deltakerliste!H$5:H$98)</f>
        <v>2</v>
      </c>
      <c r="H31" s="592">
        <f>VLOOKUP(F31,Deltakerliste!P$6:T$84,G31,FALSE)</f>
        <v>1.8050000000000002</v>
      </c>
      <c r="I31" s="14">
        <v>1.7777777777777778E-2</v>
      </c>
      <c r="J31" s="14"/>
      <c r="K31" s="18"/>
      <c r="L31" s="600">
        <f t="shared" si="2"/>
        <v>8.0808080808080808E-3</v>
      </c>
      <c r="M31" s="594">
        <f>IF(L31="Løype",Poengsammendrag!$F$2,IF(L31="Arr",Poengsammendrag!$F$3,IF(L31="Brutt",50,IF(L31="Disk",50,ROUND(MAXA(100*(MIN(L$10:L$94)/L31),50),0)))))</f>
        <v>66</v>
      </c>
      <c r="N31" s="724">
        <f t="shared" si="3"/>
        <v>4.4769019838271909E-3</v>
      </c>
      <c r="O31" s="596">
        <f>IF(N31="Løype",Poengsammendrag!$F$2,IF(N31="Arr",Poengsammendrag!$F$3,IF(N31="Brutt",50,IF(N31="Disk",50,ROUND(MAXA(100*(MIN(N$10:N$94)/N31),50),0)))))</f>
        <v>62</v>
      </c>
      <c r="Q31" s="672"/>
      <c r="R31" s="672"/>
      <c r="S31" s="803" t="s">
        <v>101</v>
      </c>
      <c r="T31" s="736">
        <v>7.3103345280764627E-3</v>
      </c>
      <c r="U31" s="752">
        <v>73</v>
      </c>
      <c r="V31" s="781"/>
      <c r="W31" s="776" t="s">
        <v>367</v>
      </c>
      <c r="X31" s="740">
        <v>62</v>
      </c>
      <c r="AB31" s="828">
        <f t="shared" si="5"/>
        <v>76</v>
      </c>
      <c r="AC31" s="829">
        <f t="shared" si="4"/>
        <v>2</v>
      </c>
    </row>
    <row r="32" spans="2:29" ht="21" customHeight="1" thickBot="1" x14ac:dyDescent="0.3">
      <c r="B32" s="16">
        <f t="shared" si="0"/>
        <v>23</v>
      </c>
      <c r="C32" s="106" t="s">
        <v>78</v>
      </c>
      <c r="D32" s="107" t="s">
        <v>146</v>
      </c>
      <c r="E32" s="599" t="str">
        <f t="shared" si="1"/>
        <v>LeifRøhjell</v>
      </c>
      <c r="F32" s="192">
        <f>YEAR(I$5)-_xlfn.XLOOKUP(E32,Deltakerliste!E$5:E$98,Deltakerliste!I$5:I$98)</f>
        <v>82</v>
      </c>
      <c r="G32" s="192">
        <f>_xlfn.XLOOKUP(E32,Deltakerliste!E$5:E$98,Deltakerliste!H$5:H$98)</f>
        <v>2</v>
      </c>
      <c r="H32" s="592">
        <f>VLOOKUP(F32,Deltakerliste!P$6:T$84,G32,FALSE)</f>
        <v>2.0030000000000001</v>
      </c>
      <c r="I32" s="132">
        <v>1.9745370370370371E-2</v>
      </c>
      <c r="J32" s="18"/>
      <c r="K32" s="18"/>
      <c r="L32" s="600">
        <f t="shared" si="2"/>
        <v>8.9751683501683496E-3</v>
      </c>
      <c r="M32" s="594">
        <f>IF(L32="Løype",Poengsammendrag!$F$2,IF(L32="Arr",Poengsammendrag!$F$3,IF(L32="Brutt",50,IF(L32="Disk",50,ROUND(MAXA(100*(MIN(L$10:L$94)/L32),50),0)))))</f>
        <v>59</v>
      </c>
      <c r="N32" s="724">
        <f t="shared" si="3"/>
        <v>4.4808628807630297E-3</v>
      </c>
      <c r="O32" s="596">
        <f>IF(N32="Løype",Poengsammendrag!$F$2,IF(N32="Arr",Poengsammendrag!$F$3,IF(N32="Brutt",50,IF(N32="Disk",50,ROUND(MAXA(100*(MIN(N$10:N$94)/N32),50),0)))))</f>
        <v>62</v>
      </c>
      <c r="S32" s="803" t="s">
        <v>340</v>
      </c>
      <c r="T32" s="736">
        <v>7.38873954599761E-3</v>
      </c>
      <c r="U32" s="752">
        <v>72</v>
      </c>
      <c r="V32" s="781"/>
      <c r="W32" s="776" t="s">
        <v>337</v>
      </c>
      <c r="X32" s="740">
        <v>62</v>
      </c>
      <c r="AB32" s="828">
        <f t="shared" si="5"/>
        <v>77</v>
      </c>
      <c r="AC32" s="829">
        <f t="shared" si="4"/>
        <v>3</v>
      </c>
    </row>
    <row r="33" spans="2:29" ht="21" customHeight="1" thickBot="1" x14ac:dyDescent="0.3">
      <c r="B33" s="16">
        <f t="shared" si="0"/>
        <v>24</v>
      </c>
      <c r="C33" s="106" t="s">
        <v>122</v>
      </c>
      <c r="D33" s="107" t="s">
        <v>123</v>
      </c>
      <c r="E33" s="599" t="str">
        <f t="shared" si="1"/>
        <v>MartinMelhuus</v>
      </c>
      <c r="F33" s="192">
        <f>YEAR(I$5)-_xlfn.XLOOKUP(E33,Deltakerliste!E$5:E$98,Deltakerliste!I$5:I$98)</f>
        <v>82</v>
      </c>
      <c r="G33" s="192">
        <f>_xlfn.XLOOKUP(E33,Deltakerliste!E$5:E$98,Deltakerliste!H$5:H$98)</f>
        <v>2</v>
      </c>
      <c r="H33" s="592">
        <f>VLOOKUP(F33,Deltakerliste!P$6:T$84,G33,FALSE)</f>
        <v>2.0030000000000001</v>
      </c>
      <c r="I33" s="13">
        <v>1.982638888888889E-2</v>
      </c>
      <c r="J33" s="13"/>
      <c r="K33" s="13"/>
      <c r="L33" s="600">
        <f t="shared" si="2"/>
        <v>9.0119949494949485E-3</v>
      </c>
      <c r="M33" s="594">
        <f>IF(L33="Løype",Poengsammendrag!$F$2,IF(L33="Arr",Poengsammendrag!$F$3,IF(L33="Brutt",50,IF(L33="Disk",50,ROUND(MAXA(100*(MIN(L$10:L$94)/L33),50),0)))))</f>
        <v>59</v>
      </c>
      <c r="N33" s="724">
        <f t="shared" si="3"/>
        <v>4.4992486018447068E-3</v>
      </c>
      <c r="O33" s="596">
        <f>IF(N33="Løype",Poengsammendrag!$F$2,IF(N33="Arr",Poengsammendrag!$F$3,IF(N33="Brutt",50,IF(N33="Disk",50,ROUND(MAXA(100*(MIN(N$10:N$94)/N33),50),0)))))</f>
        <v>62</v>
      </c>
      <c r="S33" s="803" t="s">
        <v>90</v>
      </c>
      <c r="T33" s="736">
        <v>7.7230639730639719E-3</v>
      </c>
      <c r="U33" s="752">
        <v>69</v>
      </c>
      <c r="V33" s="781"/>
      <c r="W33" s="776" t="s">
        <v>122</v>
      </c>
      <c r="X33" s="740">
        <v>62</v>
      </c>
      <c r="AB33" s="828">
        <f t="shared" si="5"/>
        <v>78</v>
      </c>
      <c r="AC33" s="829">
        <f t="shared" si="4"/>
        <v>2</v>
      </c>
    </row>
    <row r="34" spans="2:29" ht="21" customHeight="1" thickBot="1" x14ac:dyDescent="0.3">
      <c r="B34" s="16">
        <f t="shared" si="0"/>
        <v>25</v>
      </c>
      <c r="C34" s="106" t="s">
        <v>68</v>
      </c>
      <c r="D34" s="107" t="s">
        <v>69</v>
      </c>
      <c r="E34" s="599" t="str">
        <f t="shared" si="1"/>
        <v>JanBøhle</v>
      </c>
      <c r="F34" s="192">
        <f>YEAR(I$5)-_xlfn.XLOOKUP(E34,Deltakerliste!E$5:E$98,Deltakerliste!I$5:I$98)</f>
        <v>74</v>
      </c>
      <c r="G34" s="192">
        <f>_xlfn.XLOOKUP(E34,Deltakerliste!E$5:E$98,Deltakerliste!H$5:H$98)</f>
        <v>2</v>
      </c>
      <c r="H34" s="592">
        <f>VLOOKUP(F34,Deltakerliste!P$6:T$84,G34,FALSE)</f>
        <v>1.569</v>
      </c>
      <c r="I34" s="86"/>
      <c r="J34" s="86">
        <v>2.2002314814814815E-2</v>
      </c>
      <c r="K34" s="13"/>
      <c r="L34" s="600">
        <f t="shared" si="2"/>
        <v>7.0975209080047785E-3</v>
      </c>
      <c r="M34" s="594">
        <f>IF(L34="Løype",Poengsammendrag!$F$2,IF(L34="Arr",Poengsammendrag!$F$3,IF(L34="Brutt",50,IF(L34="Disk",50,ROUND(MAXA(100*(MIN(L$10:L$94)/L34),50),0)))))</f>
        <v>75</v>
      </c>
      <c r="N34" s="724">
        <f t="shared" si="3"/>
        <v>4.5235952249871123E-3</v>
      </c>
      <c r="O34" s="596">
        <f>IF(N34="Løype",Poengsammendrag!$F$2,IF(N34="Arr",Poengsammendrag!$F$3,IF(N34="Brutt",50,IF(N34="Disk",50,ROUND(MAXA(100*(MIN(N$10:N$94)/N34),50),0)))))</f>
        <v>61</v>
      </c>
      <c r="S34" s="803" t="s">
        <v>112</v>
      </c>
      <c r="T34" s="736">
        <v>7.7284946236559141E-3</v>
      </c>
      <c r="U34" s="752">
        <v>69</v>
      </c>
      <c r="V34" s="781"/>
      <c r="W34" s="776" t="s">
        <v>68</v>
      </c>
      <c r="X34" s="740">
        <v>61</v>
      </c>
      <c r="AB34" s="828">
        <f t="shared" si="5"/>
        <v>79</v>
      </c>
      <c r="AC34" s="829">
        <f t="shared" si="4"/>
        <v>4</v>
      </c>
    </row>
    <row r="35" spans="2:29" ht="21" customHeight="1" thickBot="1" x14ac:dyDescent="0.3">
      <c r="B35" s="16">
        <f t="shared" si="0"/>
        <v>26</v>
      </c>
      <c r="C35" s="106" t="s">
        <v>207</v>
      </c>
      <c r="D35" s="107" t="s">
        <v>89</v>
      </c>
      <c r="E35" s="599" t="str">
        <f t="shared" si="1"/>
        <v>AnneFuruholt</v>
      </c>
      <c r="F35" s="192">
        <f>YEAR(I$5)-_xlfn.XLOOKUP(E35,Deltakerliste!E$5:E$98,Deltakerliste!I$5:I$98)</f>
        <v>79</v>
      </c>
      <c r="G35" s="192">
        <f>_xlfn.XLOOKUP(E35,Deltakerliste!E$5:E$98,Deltakerliste!H$5:H$98)</f>
        <v>4</v>
      </c>
      <c r="H35" s="592">
        <f>VLOOKUP(F35,Deltakerliste!P$6:T$84,G35,FALSE)</f>
        <v>2.3974000000000011</v>
      </c>
      <c r="I35" s="13">
        <v>2.3946759259259258E-2</v>
      </c>
      <c r="J35" s="13"/>
      <c r="K35" s="13"/>
      <c r="L35" s="600">
        <f t="shared" si="2"/>
        <v>1.088489057239057E-2</v>
      </c>
      <c r="M35" s="594">
        <f>IF(L35="Løype",Poengsammendrag!$F$2,IF(L35="Arr",Poengsammendrag!$F$3,IF(L35="Brutt",50,IF(L35="Disk",50,ROUND(MAXA(100*(MIN(L$10:L$94)/L35),50),0)))))</f>
        <v>50</v>
      </c>
      <c r="N35" s="724">
        <f t="shared" si="3"/>
        <v>4.5402897190250126E-3</v>
      </c>
      <c r="O35" s="596">
        <f>IF(N35="Løype",Poengsammendrag!$F$2,IF(N35="Arr",Poengsammendrag!$F$3,IF(N35="Brutt",50,IF(N35="Disk",50,ROUND(MAXA(100*(MIN(N$10:N$94)/N35),50),0)))))</f>
        <v>61</v>
      </c>
      <c r="S35" s="803" t="s">
        <v>114</v>
      </c>
      <c r="T35" s="736">
        <v>7.8965053763440859E-3</v>
      </c>
      <c r="U35" s="752">
        <v>67</v>
      </c>
      <c r="V35" s="781"/>
      <c r="W35" s="776" t="s">
        <v>207</v>
      </c>
      <c r="X35" s="740">
        <v>61</v>
      </c>
      <c r="AB35" s="828">
        <f t="shared" si="5"/>
        <v>80</v>
      </c>
      <c r="AC35" s="829">
        <f t="shared" si="4"/>
        <v>2</v>
      </c>
    </row>
    <row r="36" spans="2:29" ht="21" thickBot="1" x14ac:dyDescent="0.3">
      <c r="B36" s="16">
        <f t="shared" si="0"/>
        <v>27</v>
      </c>
      <c r="C36" s="106" t="s">
        <v>103</v>
      </c>
      <c r="D36" s="107" t="s">
        <v>104</v>
      </c>
      <c r="E36" s="599" t="str">
        <f t="shared" si="1"/>
        <v>SveinHove</v>
      </c>
      <c r="F36" s="192">
        <f>YEAR(I$5)-_xlfn.XLOOKUP(E36,Deltakerliste!E$5:E$98,Deltakerliste!I$5:I$98)</f>
        <v>79</v>
      </c>
      <c r="G36" s="192">
        <f>_xlfn.XLOOKUP(E36,Deltakerliste!E$5:E$98,Deltakerliste!H$5:H$98)</f>
        <v>2</v>
      </c>
      <c r="H36" s="592">
        <f>VLOOKUP(F36,Deltakerliste!P$6:T$84,G36,FALSE)</f>
        <v>1.8050000000000002</v>
      </c>
      <c r="I36" s="853">
        <v>1.8090277777777778E-2</v>
      </c>
      <c r="J36" s="86"/>
      <c r="K36" s="17"/>
      <c r="L36" s="600">
        <f t="shared" si="2"/>
        <v>8.2228535353535345E-3</v>
      </c>
      <c r="M36" s="594">
        <f>IF(L36="Løype",Poengsammendrag!$F$2,IF(L36="Arr",Poengsammendrag!$F$3,IF(L36="Brutt",50,IF(L36="Disk",50,ROUND(MAXA(100*(MIN(L$10:L$94)/L36),50),0)))))</f>
        <v>65</v>
      </c>
      <c r="N36" s="724">
        <f t="shared" si="3"/>
        <v>4.5555975265116535E-3</v>
      </c>
      <c r="O36" s="596">
        <f>IF(N36="Løype",Poengsammendrag!$F$2,IF(N36="Arr",Poengsammendrag!$F$3,IF(N36="Brutt",50,IF(N36="Disk",50,ROUND(MAXA(100*(MIN(N$10:N$94)/N36),50),0)))))</f>
        <v>61</v>
      </c>
      <c r="S36" s="803" t="s">
        <v>80</v>
      </c>
      <c r="T36" s="736">
        <v>7.9124579124579108E-3</v>
      </c>
      <c r="U36" s="752">
        <v>67</v>
      </c>
      <c r="V36" s="781"/>
      <c r="W36" s="776" t="s">
        <v>103</v>
      </c>
      <c r="X36" s="740">
        <v>61</v>
      </c>
      <c r="AB36" s="828">
        <f t="shared" si="5"/>
        <v>81</v>
      </c>
      <c r="AC36" s="829">
        <f t="shared" si="4"/>
        <v>1</v>
      </c>
    </row>
    <row r="37" spans="2:29" ht="21" customHeight="1" thickBot="1" x14ac:dyDescent="0.3">
      <c r="B37" s="16">
        <f t="shared" si="0"/>
        <v>28</v>
      </c>
      <c r="C37" s="106" t="s">
        <v>265</v>
      </c>
      <c r="D37" s="107" t="s">
        <v>266</v>
      </c>
      <c r="E37" s="599" t="str">
        <f t="shared" si="1"/>
        <v>ØysteinWiggen</v>
      </c>
      <c r="F37" s="192">
        <f>YEAR(I$5)-_xlfn.XLOOKUP(E37,Deltakerliste!E$5:E$98,Deltakerliste!I$5:I$98)</f>
        <v>60</v>
      </c>
      <c r="G37" s="192">
        <f>_xlfn.XLOOKUP(E37,Deltakerliste!E$5:E$98,Deltakerliste!H$5:H$98)</f>
        <v>2</v>
      </c>
      <c r="H37" s="592">
        <f>VLOOKUP(F37,Deltakerliste!P$6:T$84,G37,FALSE)</f>
        <v>1.2000000000000002</v>
      </c>
      <c r="I37" s="134"/>
      <c r="J37" s="132">
        <v>1.699074074074074E-2</v>
      </c>
      <c r="K37" s="18"/>
      <c r="L37" s="600">
        <f t="shared" si="2"/>
        <v>5.4808841099163678E-3</v>
      </c>
      <c r="M37" s="594">
        <f>IF(L37="Løype",Poengsammendrag!$F$2,IF(L37="Arr",Poengsammendrag!$F$3,IF(L37="Brutt",50,IF(L37="Disk",50,ROUND(MAXA(100*(MIN(L$10:L$94)/L37),50),0)))))</f>
        <v>97</v>
      </c>
      <c r="N37" s="724">
        <f t="shared" si="3"/>
        <v>4.5674034249303056E-3</v>
      </c>
      <c r="O37" s="596">
        <f>IF(N37="Løype",Poengsammendrag!$F$2,IF(N37="Arr",Poengsammendrag!$F$3,IF(N37="Brutt",50,IF(N37="Disk",50,ROUND(MAXA(100*(MIN(N$10:N$94)/N37),50),0)))))</f>
        <v>61</v>
      </c>
      <c r="S37" s="803" t="s">
        <v>338</v>
      </c>
      <c r="T37" s="736">
        <v>7.9650673400673399E-3</v>
      </c>
      <c r="U37" s="752">
        <v>67</v>
      </c>
      <c r="V37" s="781"/>
      <c r="W37" s="776" t="s">
        <v>368</v>
      </c>
      <c r="X37" s="740">
        <v>61</v>
      </c>
      <c r="AB37" s="828">
        <f t="shared" si="5"/>
        <v>82</v>
      </c>
      <c r="AC37" s="829">
        <f t="shared" si="4"/>
        <v>2</v>
      </c>
    </row>
    <row r="38" spans="2:29" ht="21" customHeight="1" thickBot="1" x14ac:dyDescent="0.3">
      <c r="B38" s="16">
        <f t="shared" si="0"/>
        <v>29</v>
      </c>
      <c r="C38" s="106" t="s">
        <v>299</v>
      </c>
      <c r="D38" s="107" t="s">
        <v>300</v>
      </c>
      <c r="E38" s="599" t="str">
        <f t="shared" si="1"/>
        <v>OlavKvittem</v>
      </c>
      <c r="F38" s="192">
        <f>YEAR(I$5)-_xlfn.XLOOKUP(E38,Deltakerliste!E$5:E$98,Deltakerliste!I$5:I$98)</f>
        <v>71</v>
      </c>
      <c r="G38" s="192">
        <f>_xlfn.XLOOKUP(E38,Deltakerliste!E$5:E$98,Deltakerliste!H$5:H$98)</f>
        <v>2</v>
      </c>
      <c r="H38" s="592">
        <f>VLOOKUP(F38,Deltakerliste!P$6:T$84,G38,FALSE)</f>
        <v>1.4609999999999999</v>
      </c>
      <c r="I38" s="86"/>
      <c r="J38" s="86">
        <v>2.0810185185185185E-2</v>
      </c>
      <c r="K38" s="13"/>
      <c r="L38" s="600">
        <f t="shared" si="2"/>
        <v>6.7129629629629631E-3</v>
      </c>
      <c r="M38" s="594">
        <f>IF(L38="Løype",Poengsammendrag!$F$2,IF(L38="Arr",Poengsammendrag!$F$3,IF(L38="Brutt",50,IF(L38="Disk",50,ROUND(MAXA(100*(MIN(L$10:L$94)/L38),50),0)))))</f>
        <v>79</v>
      </c>
      <c r="N38" s="724">
        <f t="shared" si="3"/>
        <v>4.594772733034198E-3</v>
      </c>
      <c r="O38" s="596">
        <f>IF(N38="Løype",Poengsammendrag!$F$2,IF(N38="Arr",Poengsammendrag!$F$3,IF(N38="Brutt",50,IF(N38="Disk",50,ROUND(MAXA(100*(MIN(N$10:N$94)/N38),50),0)))))</f>
        <v>60</v>
      </c>
      <c r="S38" s="803" t="s">
        <v>367</v>
      </c>
      <c r="T38" s="736">
        <v>8.0808080808080808E-3</v>
      </c>
      <c r="U38" s="752">
        <v>66</v>
      </c>
      <c r="V38" s="781"/>
      <c r="W38" s="776" t="s">
        <v>299</v>
      </c>
      <c r="X38" s="740">
        <v>60</v>
      </c>
      <c r="AB38" s="828">
        <f t="shared" si="5"/>
        <v>83</v>
      </c>
      <c r="AC38" s="829">
        <f t="shared" si="4"/>
        <v>2</v>
      </c>
    </row>
    <row r="39" spans="2:29" ht="21" customHeight="1" thickBot="1" x14ac:dyDescent="0.3">
      <c r="B39" s="16">
        <f t="shared" si="0"/>
        <v>30</v>
      </c>
      <c r="C39" s="106" t="s">
        <v>90</v>
      </c>
      <c r="D39" s="107" t="s">
        <v>91</v>
      </c>
      <c r="E39" s="599" t="str">
        <f t="shared" si="1"/>
        <v>TorGjermstad</v>
      </c>
      <c r="F39" s="192">
        <f>YEAR(I$5)-_xlfn.XLOOKUP(E39,Deltakerliste!E$5:E$98,Deltakerliste!I$5:I$98)</f>
        <v>76</v>
      </c>
      <c r="G39" s="192">
        <f>_xlfn.XLOOKUP(E39,Deltakerliste!E$5:E$98,Deltakerliste!H$5:H$98)</f>
        <v>2</v>
      </c>
      <c r="H39" s="592">
        <f>VLOOKUP(F39,Deltakerliste!P$6:T$84,G39,FALSE)</f>
        <v>1.655</v>
      </c>
      <c r="I39" s="86">
        <v>1.699074074074074E-2</v>
      </c>
      <c r="J39" s="86"/>
      <c r="K39" s="13"/>
      <c r="L39" s="600">
        <f t="shared" si="2"/>
        <v>7.7230639730639719E-3</v>
      </c>
      <c r="M39" s="594">
        <f>IF(L39="Løype",Poengsammendrag!$F$2,IF(L39="Arr",Poengsammendrag!$F$3,IF(L39="Brutt",50,IF(L39="Disk",50,ROUND(MAXA(100*(MIN(L$10:L$94)/L39),50),0)))))</f>
        <v>69</v>
      </c>
      <c r="N39" s="724">
        <f t="shared" si="3"/>
        <v>4.6665039112169012E-3</v>
      </c>
      <c r="O39" s="596">
        <f>IF(N39="Løype",Poengsammendrag!$F$2,IF(N39="Arr",Poengsammendrag!$F$3,IF(N39="Brutt",50,IF(N39="Disk",50,ROUND(MAXA(100*(MIN(N$10:N$94)/N39),50),0)))))</f>
        <v>60</v>
      </c>
      <c r="S39" s="803" t="s">
        <v>124</v>
      </c>
      <c r="T39" s="736">
        <v>8.159722222222221E-3</v>
      </c>
      <c r="U39" s="752">
        <v>65</v>
      </c>
      <c r="V39" s="781"/>
      <c r="W39" s="776" t="s">
        <v>90</v>
      </c>
      <c r="X39" s="740">
        <v>60</v>
      </c>
      <c r="AB39" s="828">
        <f t="shared" si="5"/>
        <v>84</v>
      </c>
      <c r="AC39" s="829">
        <f t="shared" si="4"/>
        <v>2</v>
      </c>
    </row>
    <row r="40" spans="2:29" ht="21" thickBot="1" x14ac:dyDescent="0.3">
      <c r="B40" s="16">
        <f t="shared" si="0"/>
        <v>31</v>
      </c>
      <c r="C40" s="106" t="s">
        <v>99</v>
      </c>
      <c r="D40" s="107" t="s">
        <v>100</v>
      </c>
      <c r="E40" s="599" t="str">
        <f t="shared" si="1"/>
        <v>RobertHirsch</v>
      </c>
      <c r="F40" s="192">
        <f>YEAR(I$5)-_xlfn.XLOOKUP(E40,Deltakerliste!E$5:E$98,Deltakerliste!I$5:I$98)</f>
        <v>69</v>
      </c>
      <c r="G40" s="192">
        <f>_xlfn.XLOOKUP(E40,Deltakerliste!E$5:E$98,Deltakerliste!H$5:H$98)</f>
        <v>2</v>
      </c>
      <c r="H40" s="592">
        <f>VLOOKUP(F40,Deltakerliste!P$6:T$84,G40,FALSE)</f>
        <v>1.3989999999999998</v>
      </c>
      <c r="I40" s="86"/>
      <c r="J40" s="86">
        <v>2.0520833333333332E-2</v>
      </c>
      <c r="K40" s="13"/>
      <c r="L40" s="600">
        <f t="shared" si="2"/>
        <v>6.6196236559139775E-3</v>
      </c>
      <c r="M40" s="594">
        <f>IF(L40="Løype",Poengsammendrag!$F$2,IF(L40="Arr",Poengsammendrag!$F$3,IF(L40="Brutt",50,IF(L40="Disk",50,ROUND(MAXA(100*(MIN(L$10:L$94)/L40),50),0)))))</f>
        <v>80</v>
      </c>
      <c r="N40" s="724">
        <f t="shared" si="3"/>
        <v>4.731682384498912E-3</v>
      </c>
      <c r="O40" s="596">
        <f>IF(N40="Løype",Poengsammendrag!$F$2,IF(N40="Arr",Poengsammendrag!$F$3,IF(N40="Brutt",50,IF(N40="Disk",50,ROUND(MAXA(100*(MIN(N$10:N$94)/N40),50),0)))))</f>
        <v>59</v>
      </c>
      <c r="S40" s="803" t="s">
        <v>70</v>
      </c>
      <c r="T40" s="736">
        <v>8.1807659932659933E-3</v>
      </c>
      <c r="U40" s="752">
        <v>65</v>
      </c>
      <c r="V40" s="781"/>
      <c r="W40" s="776" t="s">
        <v>99</v>
      </c>
      <c r="X40" s="740">
        <v>59</v>
      </c>
      <c r="AB40" s="828">
        <f t="shared" si="5"/>
        <v>85</v>
      </c>
      <c r="AC40" s="829">
        <f t="shared" si="4"/>
        <v>1</v>
      </c>
    </row>
    <row r="41" spans="2:29" ht="21" thickBot="1" x14ac:dyDescent="0.3">
      <c r="B41" s="16">
        <f t="shared" si="0"/>
        <v>32</v>
      </c>
      <c r="C41" s="106" t="s">
        <v>63</v>
      </c>
      <c r="D41" s="107" t="s">
        <v>98</v>
      </c>
      <c r="E41" s="599" t="str">
        <f t="shared" si="1"/>
        <v>ToreHeggem</v>
      </c>
      <c r="F41" s="192">
        <f>YEAR(I$5)-_xlfn.XLOOKUP(E41,Deltakerliste!E$5:E$98,Deltakerliste!I$5:I$98)</f>
        <v>73</v>
      </c>
      <c r="G41" s="192">
        <f>_xlfn.XLOOKUP(E41,Deltakerliste!E$5:E$98,Deltakerliste!H$5:H$98)</f>
        <v>2</v>
      </c>
      <c r="H41" s="592">
        <f>VLOOKUP(F41,Deltakerliste!P$6:T$84,G41,FALSE)</f>
        <v>1.5329999999999999</v>
      </c>
      <c r="I41" s="86"/>
      <c r="J41" s="86">
        <v>2.2905092592592591E-2</v>
      </c>
      <c r="K41" s="13"/>
      <c r="L41" s="600">
        <f t="shared" si="2"/>
        <v>7.38873954599761E-3</v>
      </c>
      <c r="M41" s="594">
        <f>IF(L41="Løype",Poengsammendrag!$F$2,IF(L41="Arr",Poengsammendrag!$F$3,IF(L41="Brutt",50,IF(L41="Disk",50,ROUND(MAXA(100*(MIN(L$10:L$94)/L41),50),0)))))</f>
        <v>72</v>
      </c>
      <c r="N41" s="724">
        <f t="shared" si="3"/>
        <v>4.8197909628164455E-3</v>
      </c>
      <c r="O41" s="596">
        <f>IF(N41="Løype",Poengsammendrag!$F$2,IF(N41="Arr",Poengsammendrag!$F$3,IF(N41="Brutt",50,IF(N41="Disk",50,ROUND(MAXA(100*(MIN(N$10:N$94)/N41),50),0)))))</f>
        <v>58</v>
      </c>
      <c r="S41" s="803" t="s">
        <v>103</v>
      </c>
      <c r="T41" s="736">
        <v>8.2228535353535345E-3</v>
      </c>
      <c r="U41" s="752">
        <v>65</v>
      </c>
      <c r="V41" s="781"/>
      <c r="W41" s="776" t="s">
        <v>340</v>
      </c>
      <c r="X41" s="740">
        <v>58</v>
      </c>
      <c r="AB41" s="828">
        <f t="shared" si="5"/>
        <v>86</v>
      </c>
      <c r="AC41" s="829">
        <f t="shared" si="4"/>
        <v>1</v>
      </c>
    </row>
    <row r="42" spans="2:29" ht="21" customHeight="1" thickBot="1" x14ac:dyDescent="0.3">
      <c r="B42" s="16">
        <f t="shared" si="0"/>
        <v>33</v>
      </c>
      <c r="C42" s="106" t="s">
        <v>108</v>
      </c>
      <c r="D42" s="107" t="s">
        <v>109</v>
      </c>
      <c r="E42" s="599" t="str">
        <f t="shared" ref="E42:E73" si="6">_xlfn.CONCAT(C42:D42)</f>
        <v>Finn FayeKnudsen</v>
      </c>
      <c r="F42" s="192">
        <f>YEAR(I$5)-_xlfn.XLOOKUP(E42,Deltakerliste!E$5:E$98,Deltakerliste!I$5:I$98)</f>
        <v>84</v>
      </c>
      <c r="G42" s="192">
        <f>_xlfn.XLOOKUP(E42,Deltakerliste!E$5:E$98,Deltakerliste!H$5:H$98)</f>
        <v>2</v>
      </c>
      <c r="H42" s="592">
        <f>VLOOKUP(F42,Deltakerliste!P$6:T$84,G42,FALSE)</f>
        <v>2.1509999999999998</v>
      </c>
      <c r="I42" s="86">
        <v>2.2962962962962963E-2</v>
      </c>
      <c r="J42" s="86"/>
      <c r="K42" s="13"/>
      <c r="L42" s="600">
        <f t="shared" ref="L42:L58" si="7">IF(OR(I42="Arr",J42="Arr",K42="Arr"),"Arr",IF(OR(I42="Brutt",J42="Brutt",K42="Brutt"),"Brutt",IF(OR(I42="Disk",J42="Disk",K42="Disk"),"Disk",IF(OR(I42="Løype",J42="Løype",K42="Løype"),"Løype",IF(I42&gt;0,I42/I$8,J42/J$8)))))</f>
        <v>1.0437710437710437E-2</v>
      </c>
      <c r="M42" s="594">
        <f>IF(L42="Løype",Poengsammendrag!$F$2,IF(L42="Arr",Poengsammendrag!$F$3,IF(L42="Brutt",50,IF(L42="Disk",50,ROUND(MAXA(100*(MIN(L$10:L$94)/L42),50),0)))))</f>
        <v>51</v>
      </c>
      <c r="N42" s="724">
        <f t="shared" ref="N42:N58" si="8">IF(L42="Arr","Arr",IF(L42="Brutt","Brutt",IF(L42="Disk","Disk",IF(L42="Løype","Løype",L42/H42))))</f>
        <v>4.8524920677407895E-3</v>
      </c>
      <c r="O42" s="596">
        <f>IF(N42="Løype",Poengsammendrag!$F$2,IF(N42="Arr",Poengsammendrag!$F$3,IF(N42="Brutt",50,IF(N42="Disk",50,ROUND(MAXA(100*(MIN(N$10:N$94)/N42),50),0)))))</f>
        <v>57</v>
      </c>
      <c r="S42" s="803" t="s">
        <v>78</v>
      </c>
      <c r="T42" s="796">
        <v>8.9751683501683496E-3</v>
      </c>
      <c r="U42" s="765">
        <v>59</v>
      </c>
      <c r="V42" s="782"/>
      <c r="W42" s="777" t="s">
        <v>108</v>
      </c>
      <c r="X42" s="762">
        <v>57</v>
      </c>
      <c r="AB42" s="828">
        <f t="shared" si="5"/>
        <v>87</v>
      </c>
      <c r="AC42" s="829">
        <f t="shared" si="4"/>
        <v>2</v>
      </c>
    </row>
    <row r="43" spans="2:29" ht="21" thickBot="1" x14ac:dyDescent="0.3">
      <c r="B43" s="16">
        <f t="shared" si="0"/>
        <v>34</v>
      </c>
      <c r="C43" s="106" t="s">
        <v>101</v>
      </c>
      <c r="D43" s="107" t="s">
        <v>102</v>
      </c>
      <c r="E43" s="599" t="str">
        <f t="shared" si="6"/>
        <v>EvenHofstad</v>
      </c>
      <c r="F43" s="192">
        <f>YEAR(I$5)-_xlfn.XLOOKUP(E43,Deltakerliste!E$5:E$98,Deltakerliste!I$5:I$98)</f>
        <v>72</v>
      </c>
      <c r="G43" s="192">
        <f>_xlfn.XLOOKUP(E43,Deltakerliste!E$5:E$98,Deltakerliste!H$5:H$98)</f>
        <v>2</v>
      </c>
      <c r="H43" s="592">
        <f>VLOOKUP(F43,Deltakerliste!P$6:T$84,G43,FALSE)</f>
        <v>1.4969999999999999</v>
      </c>
      <c r="I43" s="86"/>
      <c r="J43" s="86">
        <v>2.2662037037037036E-2</v>
      </c>
      <c r="K43" s="13"/>
      <c r="L43" s="600">
        <f t="shared" si="7"/>
        <v>7.3103345280764627E-3</v>
      </c>
      <c r="M43" s="594">
        <f>IF(L43="Løype",Poengsammendrag!$F$2,IF(L43="Arr",Poengsammendrag!$F$3,IF(L43="Brutt",50,IF(L43="Disk",50,ROUND(MAXA(100*(MIN(L$10:L$94)/L43),50),0)))))</f>
        <v>73</v>
      </c>
      <c r="N43" s="724">
        <f t="shared" si="8"/>
        <v>4.8833229980470693E-3</v>
      </c>
      <c r="O43" s="596">
        <f>IF(N43="Løype",Poengsammendrag!$F$2,IF(N43="Arr",Poengsammendrag!$F$3,IF(N43="Brutt",50,IF(N43="Disk",50,ROUND(MAXA(100*(MIN(N$10:N$94)/N43),50),0)))))</f>
        <v>57</v>
      </c>
      <c r="S43" s="803" t="s">
        <v>122</v>
      </c>
      <c r="T43" s="797">
        <v>9.0119949494949485E-3</v>
      </c>
      <c r="U43" s="770">
        <v>59</v>
      </c>
      <c r="V43" s="778"/>
      <c r="W43" s="783" t="s">
        <v>101</v>
      </c>
      <c r="X43" s="740">
        <v>57</v>
      </c>
      <c r="AB43" s="828">
        <f t="shared" si="5"/>
        <v>88</v>
      </c>
      <c r="AC43" s="829">
        <f t="shared" si="4"/>
        <v>0</v>
      </c>
    </row>
    <row r="44" spans="2:29" ht="21" customHeight="1" thickBot="1" x14ac:dyDescent="0.3">
      <c r="B44" s="16">
        <f t="shared" si="0"/>
        <v>35</v>
      </c>
      <c r="C44" s="106" t="s">
        <v>70</v>
      </c>
      <c r="D44" s="107" t="s">
        <v>71</v>
      </c>
      <c r="E44" s="599" t="str">
        <f t="shared" si="6"/>
        <v>TrondDamås</v>
      </c>
      <c r="F44" s="192">
        <f>YEAR(I$5)-_xlfn.XLOOKUP(E44,Deltakerliste!E$5:E$98,Deltakerliste!I$5:I$98)</f>
        <v>76</v>
      </c>
      <c r="G44" s="192">
        <f>_xlfn.XLOOKUP(E44,Deltakerliste!E$5:E$98,Deltakerliste!H$5:H$98)</f>
        <v>2</v>
      </c>
      <c r="H44" s="592">
        <f>VLOOKUP(F44,Deltakerliste!P$6:T$84,G44,FALSE)</f>
        <v>1.655</v>
      </c>
      <c r="I44" s="13">
        <v>1.7997685185185186E-2</v>
      </c>
      <c r="J44" s="13"/>
      <c r="K44" s="13"/>
      <c r="L44" s="600">
        <f t="shared" si="7"/>
        <v>8.1807659932659933E-3</v>
      </c>
      <c r="M44" s="594">
        <f>IF(L44="Løype",Poengsammendrag!$F$2,IF(L44="Arr",Poengsammendrag!$F$3,IF(L44="Brutt",50,IF(L44="Disk",50,ROUND(MAXA(100*(MIN(L$10:L$94)/L44),50),0)))))</f>
        <v>65</v>
      </c>
      <c r="N44" s="724">
        <f t="shared" si="8"/>
        <v>4.9430610231214461E-3</v>
      </c>
      <c r="O44" s="596">
        <f>IF(N44="Løype",Poengsammendrag!$F$2,IF(N44="Arr",Poengsammendrag!$F$3,IF(N44="Brutt",50,IF(N44="Disk",50,ROUND(MAXA(100*(MIN(N$10:N$94)/N44),50),0)))))</f>
        <v>56</v>
      </c>
      <c r="S44" s="803" t="s">
        <v>76</v>
      </c>
      <c r="T44" s="797">
        <v>9.1435185185185178E-3</v>
      </c>
      <c r="U44" s="770">
        <v>58</v>
      </c>
      <c r="V44" s="772"/>
      <c r="W44" s="783" t="s">
        <v>70</v>
      </c>
      <c r="X44" s="740">
        <v>56</v>
      </c>
      <c r="AB44" s="828">
        <f t="shared" si="5"/>
        <v>89</v>
      </c>
      <c r="AC44" s="829">
        <f t="shared" si="4"/>
        <v>0</v>
      </c>
    </row>
    <row r="45" spans="2:29" ht="21" thickBot="1" x14ac:dyDescent="0.3">
      <c r="B45" s="16">
        <f t="shared" si="0"/>
        <v>36</v>
      </c>
      <c r="C45" s="106" t="s">
        <v>63</v>
      </c>
      <c r="D45" s="107" t="s">
        <v>336</v>
      </c>
      <c r="E45" s="599" t="str">
        <f t="shared" si="6"/>
        <v>ToreFornes</v>
      </c>
      <c r="F45" s="192">
        <f>YEAR(I$5)-_xlfn.XLOOKUP(E45,Deltakerliste!E$5:E$98,Deltakerliste!I$5:I$98)</f>
        <v>67</v>
      </c>
      <c r="G45" s="192">
        <f>_xlfn.XLOOKUP(E45,Deltakerliste!E$5:E$98,Deltakerliste!H$5:H$98)</f>
        <v>2</v>
      </c>
      <c r="H45" s="592">
        <f>VLOOKUP(F45,Deltakerliste!P$6:T$84,G45,FALSE)</f>
        <v>1.3469999999999998</v>
      </c>
      <c r="I45" s="86"/>
      <c r="J45" s="86">
        <v>2.0682870370370369E-2</v>
      </c>
      <c r="K45" s="13"/>
      <c r="L45" s="600">
        <f t="shared" si="7"/>
        <v>6.6718936678614093E-3</v>
      </c>
      <c r="M45" s="594">
        <f>IF(L45="Løype",Poengsammendrag!$F$2,IF(L45="Arr",Poengsammendrag!$F$3,IF(L45="Brutt",50,IF(L45="Disk",50,ROUND(MAXA(100*(MIN(L$10:L$94)/L45),50),0)))))</f>
        <v>80</v>
      </c>
      <c r="N45" s="724">
        <f t="shared" si="8"/>
        <v>4.95315045869444E-3</v>
      </c>
      <c r="O45" s="596">
        <f>IF(N45="Løype",Poengsammendrag!$F$2,IF(N45="Arr",Poengsammendrag!$F$3,IF(N45="Brutt",50,IF(N45="Disk",50,ROUND(MAXA(100*(MIN(N$10:N$94)/N45),50),0)))))</f>
        <v>56</v>
      </c>
      <c r="S45" s="803" t="s">
        <v>263</v>
      </c>
      <c r="T45" s="797">
        <v>9.1487794612794601E-3</v>
      </c>
      <c r="U45" s="770">
        <v>58</v>
      </c>
      <c r="V45" s="772"/>
      <c r="W45" s="783" t="s">
        <v>346</v>
      </c>
      <c r="X45" s="740">
        <v>56</v>
      </c>
      <c r="AB45" s="828">
        <f t="shared" si="5"/>
        <v>90</v>
      </c>
      <c r="AC45" s="829">
        <f t="shared" si="4"/>
        <v>1</v>
      </c>
    </row>
    <row r="46" spans="2:29" ht="21" thickBot="1" x14ac:dyDescent="0.3">
      <c r="B46" s="16">
        <f t="shared" si="0"/>
        <v>37</v>
      </c>
      <c r="C46" s="106" t="s">
        <v>142</v>
      </c>
      <c r="D46" s="107" t="s">
        <v>143</v>
      </c>
      <c r="E46" s="599" t="str">
        <f t="shared" si="6"/>
        <v>EgilRepvik</v>
      </c>
      <c r="F46" s="192">
        <f>YEAR(I$5)-_xlfn.XLOOKUP(E46,Deltakerliste!E$5:E$98,Deltakerliste!I$5:I$98)</f>
        <v>80</v>
      </c>
      <c r="G46" s="192">
        <f>_xlfn.XLOOKUP(E46,Deltakerliste!E$5:E$98,Deltakerliste!H$5:H$98)</f>
        <v>2</v>
      </c>
      <c r="H46" s="592">
        <f>VLOOKUP(F46,Deltakerliste!P$6:T$84,G46,FALSE)</f>
        <v>1.8550000000000002</v>
      </c>
      <c r="I46" s="132">
        <v>2.0648148148148148E-2</v>
      </c>
      <c r="J46" s="208"/>
      <c r="K46" s="18"/>
      <c r="L46" s="600">
        <f t="shared" si="7"/>
        <v>9.3855218855218841E-3</v>
      </c>
      <c r="M46" s="594">
        <f>IF(L46="Løype",Poengsammendrag!$F$2,IF(L46="Arr",Poengsammendrag!$F$3,IF(L46="Brutt",50,IF(L46="Disk",50,ROUND(MAXA(100*(MIN(L$10:L$94)/L46),50),0)))))</f>
        <v>57</v>
      </c>
      <c r="N46" s="724">
        <f t="shared" si="8"/>
        <v>5.0595805312786428E-3</v>
      </c>
      <c r="O46" s="596">
        <f>IF(N46="Løype",Poengsammendrag!$F$2,IF(N46="Arr",Poengsammendrag!$F$3,IF(N46="Brutt",50,IF(N46="Disk",50,ROUND(MAXA(100*(MIN(N$10:N$94)/N46),50),0)))))</f>
        <v>55</v>
      </c>
      <c r="S46" s="803" t="s">
        <v>356</v>
      </c>
      <c r="T46" s="797">
        <v>9.3855218855218841E-3</v>
      </c>
      <c r="U46" s="770">
        <v>57</v>
      </c>
      <c r="V46" s="772"/>
      <c r="W46" s="783" t="s">
        <v>356</v>
      </c>
      <c r="X46" s="740">
        <v>55</v>
      </c>
      <c r="AB46" s="828">
        <f t="shared" si="5"/>
        <v>91</v>
      </c>
      <c r="AC46" s="829">
        <f t="shared" si="4"/>
        <v>0</v>
      </c>
    </row>
    <row r="47" spans="2:29" ht="21" customHeight="1" thickBot="1" x14ac:dyDescent="0.3">
      <c r="B47" s="16">
        <f t="shared" si="0"/>
        <v>38</v>
      </c>
      <c r="C47" s="106" t="s">
        <v>170</v>
      </c>
      <c r="D47" s="107" t="s">
        <v>171</v>
      </c>
      <c r="E47" s="599" t="str">
        <f t="shared" si="6"/>
        <v>ØisteinÅsmul</v>
      </c>
      <c r="F47" s="192">
        <f>YEAR(I$5)-_xlfn.XLOOKUP(E47,Deltakerliste!E$5:E$98,Deltakerliste!I$5:I$98)</f>
        <v>81</v>
      </c>
      <c r="G47" s="192">
        <f>_xlfn.XLOOKUP(E47,Deltakerliste!E$5:E$98,Deltakerliste!H$5:H$98)</f>
        <v>2</v>
      </c>
      <c r="H47" s="592">
        <f>VLOOKUP(F47,Deltakerliste!P$6:T$84,G47,FALSE)</f>
        <v>1.9290000000000003</v>
      </c>
      <c r="I47" s="132">
        <v>2.2592592592592591E-2</v>
      </c>
      <c r="J47" s="132"/>
      <c r="K47" s="18"/>
      <c r="L47" s="600">
        <f t="shared" si="7"/>
        <v>1.0269360269360268E-2</v>
      </c>
      <c r="M47" s="594">
        <f>IF(L47="Løype",Poengsammendrag!$F$2,IF(L47="Arr",Poengsammendrag!$F$3,IF(L47="Brutt",50,IF(L47="Disk",50,ROUND(MAXA(100*(MIN(L$10:L$94)/L47),50),0)))))</f>
        <v>52</v>
      </c>
      <c r="N47" s="724">
        <f t="shared" si="8"/>
        <v>5.323670435127147E-3</v>
      </c>
      <c r="O47" s="596">
        <f>IF(N47="Løype",Poengsammendrag!$F$2,IF(N47="Arr",Poengsammendrag!$F$3,IF(N47="Brutt",50,IF(N47="Disk",50,ROUND(MAXA(100*(MIN(N$10:N$94)/N47),50),0)))))</f>
        <v>52</v>
      </c>
      <c r="S47" s="803" t="s">
        <v>60</v>
      </c>
      <c r="T47" s="797">
        <v>1.0048400673400673E-2</v>
      </c>
      <c r="U47" s="770">
        <v>53</v>
      </c>
      <c r="V47" s="772"/>
      <c r="W47" s="783" t="s">
        <v>347</v>
      </c>
      <c r="X47" s="740">
        <v>52</v>
      </c>
      <c r="AB47" s="828">
        <f t="shared" si="5"/>
        <v>92</v>
      </c>
      <c r="AC47" s="829">
        <f t="shared" si="4"/>
        <v>0</v>
      </c>
    </row>
    <row r="48" spans="2:29" ht="21" customHeight="1" thickBot="1" x14ac:dyDescent="0.3">
      <c r="B48" s="16">
        <f t="shared" si="0"/>
        <v>39</v>
      </c>
      <c r="C48" s="106" t="s">
        <v>76</v>
      </c>
      <c r="D48" s="107" t="s">
        <v>77</v>
      </c>
      <c r="E48" s="599" t="str">
        <f t="shared" si="6"/>
        <v>ReinoldEllingsen</v>
      </c>
      <c r="F48" s="192">
        <f>YEAR(I$5)-_xlfn.XLOOKUP(E48,Deltakerliste!E$5:E$98,Deltakerliste!I$5:I$98)</f>
        <v>75</v>
      </c>
      <c r="G48" s="192">
        <f>_xlfn.XLOOKUP(E48,Deltakerliste!E$5:E$98,Deltakerliste!H$5:H$98)</f>
        <v>2</v>
      </c>
      <c r="H48" s="592">
        <f>VLOOKUP(F48,Deltakerliste!P$6:T$84,G48,FALSE)</f>
        <v>1.605</v>
      </c>
      <c r="I48" s="13">
        <v>2.011574074074074E-2</v>
      </c>
      <c r="J48" s="13"/>
      <c r="K48" s="13"/>
      <c r="L48" s="600">
        <f t="shared" si="7"/>
        <v>9.1435185185185178E-3</v>
      </c>
      <c r="M48" s="594">
        <f>IF(L48="Løype",Poengsammendrag!$F$2,IF(L48="Arr",Poengsammendrag!$F$3,IF(L48="Brutt",50,IF(L48="Disk",50,ROUND(MAXA(100*(MIN(L$10:L$94)/L48),50),0)))))</f>
        <v>58</v>
      </c>
      <c r="N48" s="724">
        <f t="shared" si="8"/>
        <v>5.6968962732202606E-3</v>
      </c>
      <c r="O48" s="596">
        <f>IF(N48="Løype",Poengsammendrag!$F$2,IF(N48="Arr",Poengsammendrag!$F$3,IF(N48="Brutt",50,IF(N48="Disk",50,ROUND(MAXA(100*(MIN(N$10:N$94)/N48),50),0)))))</f>
        <v>50</v>
      </c>
      <c r="S48" s="803" t="s">
        <v>347</v>
      </c>
      <c r="T48" s="797">
        <v>1.0269360269360268E-2</v>
      </c>
      <c r="U48" s="770">
        <v>52</v>
      </c>
      <c r="V48" s="772"/>
      <c r="W48" s="783" t="s">
        <v>76</v>
      </c>
      <c r="X48" s="740">
        <v>50</v>
      </c>
      <c r="AB48" s="828">
        <f t="shared" si="5"/>
        <v>93</v>
      </c>
      <c r="AC48" s="829">
        <f t="shared" si="4"/>
        <v>0</v>
      </c>
    </row>
    <row r="49" spans="2:29" ht="21" customHeight="1" thickBot="1" x14ac:dyDescent="0.3">
      <c r="B49" s="16">
        <f t="shared" si="0"/>
        <v>40</v>
      </c>
      <c r="C49" s="106" t="s">
        <v>263</v>
      </c>
      <c r="D49" s="107" t="s">
        <v>264</v>
      </c>
      <c r="E49" s="599" t="str">
        <f t="shared" si="6"/>
        <v>RuneHolt</v>
      </c>
      <c r="F49" s="192">
        <f>YEAR(I$5)-_xlfn.XLOOKUP(E49,Deltakerliste!E$5:E$98,Deltakerliste!I$5:I$98)</f>
        <v>73</v>
      </c>
      <c r="G49" s="192">
        <f>_xlfn.XLOOKUP(E49,Deltakerliste!E$5:E$98,Deltakerliste!H$5:H$98)</f>
        <v>2</v>
      </c>
      <c r="H49" s="592">
        <f>VLOOKUP(F49,Deltakerliste!P$6:T$84,G49,FALSE)</f>
        <v>1.5329999999999999</v>
      </c>
      <c r="I49" s="86">
        <v>2.0127314814814813E-2</v>
      </c>
      <c r="J49" s="134"/>
      <c r="K49" s="17"/>
      <c r="L49" s="600">
        <f t="shared" si="7"/>
        <v>9.1487794612794601E-3</v>
      </c>
      <c r="M49" s="594">
        <f>IF(L49="Løype",Poengsammendrag!$F$2,IF(L49="Arr",Poengsammendrag!$F$3,IF(L49="Brutt",50,IF(L49="Disk",50,ROUND(MAXA(100*(MIN(L$10:L$94)/L49),50),0)))))</f>
        <v>58</v>
      </c>
      <c r="N49" s="724">
        <f t="shared" si="8"/>
        <v>5.9678926688059106E-3</v>
      </c>
      <c r="O49" s="596">
        <f>IF(N49="Løype",Poengsammendrag!$F$2,IF(N49="Arr",Poengsammendrag!$F$3,IF(N49="Brutt",50,IF(N49="Disk",50,ROUND(MAXA(100*(MIN(N$10:N$94)/N49),50),0)))))</f>
        <v>50</v>
      </c>
      <c r="S49" s="803" t="s">
        <v>108</v>
      </c>
      <c r="T49" s="796">
        <v>1.0437710437710437E-2</v>
      </c>
      <c r="U49" s="793">
        <v>51</v>
      </c>
      <c r="V49" s="794"/>
      <c r="W49" s="795" t="s">
        <v>263</v>
      </c>
      <c r="X49" s="762">
        <v>50</v>
      </c>
      <c r="AB49" s="828">
        <f t="shared" si="5"/>
        <v>94</v>
      </c>
      <c r="AC49" s="829">
        <f t="shared" si="4"/>
        <v>0</v>
      </c>
    </row>
    <row r="50" spans="2:29" ht="21" thickBot="1" x14ac:dyDescent="0.3">
      <c r="B50" s="16">
        <f t="shared" si="0"/>
        <v>41</v>
      </c>
      <c r="C50" s="106" t="s">
        <v>161</v>
      </c>
      <c r="D50" s="107" t="s">
        <v>162</v>
      </c>
      <c r="E50" s="599" t="str">
        <f t="shared" si="6"/>
        <v>Nils OlavVennevik</v>
      </c>
      <c r="F50" s="192">
        <f>YEAR(I$5)-_xlfn.XLOOKUP(E50,Deltakerliste!E$5:E$98,Deltakerliste!I$5:I$98)</f>
        <v>78</v>
      </c>
      <c r="G50" s="192">
        <f>_xlfn.XLOOKUP(E50,Deltakerliste!E$5:E$98,Deltakerliste!H$5:H$98)</f>
        <v>2</v>
      </c>
      <c r="H50" s="592">
        <f>VLOOKUP(F50,Deltakerliste!P$6:T$84,G50,FALSE)</f>
        <v>1.7550000000000001</v>
      </c>
      <c r="I50" s="132">
        <v>2.3090277777777779E-2</v>
      </c>
      <c r="J50" s="18"/>
      <c r="K50" s="18"/>
      <c r="L50" s="600">
        <f t="shared" si="7"/>
        <v>1.0495580808080808E-2</v>
      </c>
      <c r="M50" s="594">
        <f>IF(L50="Løype",Poengsammendrag!$F$2,IF(L50="Arr",Poengsammendrag!$F$3,IF(L50="Brutt",50,IF(L50="Disk",50,ROUND(MAXA(100*(MIN(L$10:L$94)/L50),50),0)))))</f>
        <v>51</v>
      </c>
      <c r="N50" s="724">
        <f t="shared" si="8"/>
        <v>5.9803879248323689E-3</v>
      </c>
      <c r="O50" s="596">
        <f>IF(N50="Løype",Poengsammendrag!$F$2,IF(N50="Arr",Poengsammendrag!$F$3,IF(N50="Brutt",50,IF(N50="Disk",50,ROUND(MAXA(100*(MIN(N$10:N$94)/N50),50),0)))))</f>
        <v>50</v>
      </c>
      <c r="S50" s="803" t="s">
        <v>161</v>
      </c>
      <c r="T50" s="851">
        <v>1.0495580808080808E-2</v>
      </c>
      <c r="U50" s="770">
        <v>51</v>
      </c>
      <c r="V50" s="772"/>
      <c r="W50" s="783" t="s">
        <v>161</v>
      </c>
      <c r="X50" s="740">
        <v>50</v>
      </c>
      <c r="AB50" s="830">
        <f t="shared" si="5"/>
        <v>95</v>
      </c>
      <c r="AC50" s="831">
        <f t="shared" si="4"/>
        <v>0</v>
      </c>
    </row>
    <row r="51" spans="2:29" ht="21" customHeight="1" thickBot="1" x14ac:dyDescent="0.3">
      <c r="B51" s="16">
        <f t="shared" si="0"/>
        <v>42</v>
      </c>
      <c r="C51" s="106" t="s">
        <v>96</v>
      </c>
      <c r="D51" s="107" t="s">
        <v>97</v>
      </c>
      <c r="E51" s="599" t="str">
        <f t="shared" si="6"/>
        <v>StigHaugskott</v>
      </c>
      <c r="F51" s="192">
        <f>YEAR(I$5)-_xlfn.XLOOKUP(E51,Deltakerliste!E$5:E$98,Deltakerliste!I$5:I$98)</f>
        <v>87</v>
      </c>
      <c r="G51" s="192">
        <f>_xlfn.XLOOKUP(E51,Deltakerliste!E$5:E$98,Deltakerliste!H$5:H$98)</f>
        <v>2</v>
      </c>
      <c r="H51" s="592">
        <f>VLOOKUP(F51,Deltakerliste!P$6:T$84,G51,FALSE)</f>
        <v>2.3929999999999998</v>
      </c>
      <c r="I51" s="86">
        <v>3.2673611111111112E-2</v>
      </c>
      <c r="J51" s="86"/>
      <c r="K51" s="86"/>
      <c r="L51" s="600">
        <f t="shared" si="7"/>
        <v>1.4851641414141413E-2</v>
      </c>
      <c r="M51" s="594">
        <f>IF(L51="Løype",Poengsammendrag!$F$2,IF(L51="Arr",Poengsammendrag!$F$3,IF(L51="Brutt",50,IF(L51="Disk",50,ROUND(MAXA(100*(MIN(L$10:L$94)/L51),50),0)))))</f>
        <v>50</v>
      </c>
      <c r="N51" s="724">
        <f t="shared" si="8"/>
        <v>6.2062855888597637E-3</v>
      </c>
      <c r="O51" s="596">
        <f>IF(N51="Løype",Poengsammendrag!$F$2,IF(N51="Arr",Poengsammendrag!$F$3,IF(N51="Brutt",50,IF(N51="Disk",50,ROUND(MAXA(100*(MIN(N$10:N$94)/N51),50),0)))))</f>
        <v>50</v>
      </c>
      <c r="S51" s="803" t="s">
        <v>207</v>
      </c>
      <c r="T51" s="797">
        <v>1.088489057239057E-2</v>
      </c>
      <c r="U51" s="770">
        <v>50</v>
      </c>
      <c r="V51" s="772"/>
      <c r="W51" s="783" t="s">
        <v>96</v>
      </c>
      <c r="X51" s="740">
        <v>50</v>
      </c>
    </row>
    <row r="52" spans="2:29" ht="21" thickBot="1" x14ac:dyDescent="0.3">
      <c r="B52" s="16">
        <f t="shared" si="0"/>
        <v>43</v>
      </c>
      <c r="C52" s="106" t="s">
        <v>60</v>
      </c>
      <c r="D52" s="107" t="s">
        <v>372</v>
      </c>
      <c r="E52" s="599" t="str">
        <f t="shared" si="6"/>
        <v>JosteinGrepstad</v>
      </c>
      <c r="F52" s="192">
        <f>YEAR(I$5)-_xlfn.XLOOKUP(E52,Deltakerliste!E$5:E$98,Deltakerliste!I$5:I$98)</f>
        <v>75</v>
      </c>
      <c r="G52" s="192">
        <f>_xlfn.XLOOKUP(E52,Deltakerliste!E$5:E$98,Deltakerliste!H$5:H$98)</f>
        <v>2</v>
      </c>
      <c r="H52" s="592">
        <f>VLOOKUP(F52,Deltakerliste!P$6:T$84,G52,FALSE)</f>
        <v>1.605</v>
      </c>
      <c r="I52" s="14">
        <v>2.210648148148148E-2</v>
      </c>
      <c r="J52" s="14"/>
      <c r="K52" s="18"/>
      <c r="L52" s="600">
        <f t="shared" si="7"/>
        <v>1.0048400673400673E-2</v>
      </c>
      <c r="M52" s="594">
        <f>IF(L52="Løype",Poengsammendrag!$F$2,IF(L52="Arr",Poengsammendrag!$F$3,IF(L52="Brutt",50,IF(L52="Disk",50,ROUND(MAXA(100*(MIN(L$10:L$94)/L52),50),0)))))</f>
        <v>53</v>
      </c>
      <c r="N52" s="724">
        <f t="shared" si="8"/>
        <v>6.2606857778197342E-3</v>
      </c>
      <c r="O52" s="596">
        <f>IF(N52="Løype",Poengsammendrag!$F$2,IF(N52="Arr",Poengsammendrag!$F$3,IF(N52="Brutt",50,IF(N52="Disk",50,ROUND(MAXA(100*(MIN(N$10:N$94)/N52),50),0)))))</f>
        <v>50</v>
      </c>
      <c r="S52" s="803" t="s">
        <v>130</v>
      </c>
      <c r="T52" s="797">
        <v>1.1926557239057238E-2</v>
      </c>
      <c r="U52" s="770">
        <v>50</v>
      </c>
      <c r="V52" s="772"/>
      <c r="W52" s="783" t="s">
        <v>60</v>
      </c>
      <c r="X52" s="740">
        <v>50</v>
      </c>
      <c r="AC52" s="651">
        <f>SUM(AC10:AC50)</f>
        <v>49</v>
      </c>
    </row>
    <row r="53" spans="2:29" ht="21" thickBot="1" x14ac:dyDescent="0.3">
      <c r="B53" s="16">
        <f t="shared" si="0"/>
        <v>44</v>
      </c>
      <c r="C53" s="106" t="s">
        <v>130</v>
      </c>
      <c r="D53" s="107" t="s">
        <v>131</v>
      </c>
      <c r="E53" s="599" t="str">
        <f t="shared" si="6"/>
        <v>AtleMørk</v>
      </c>
      <c r="F53" s="192">
        <f>YEAR(I$5)-_xlfn.XLOOKUP(E53,Deltakerliste!E$5:E$98,Deltakerliste!I$5:I$98)</f>
        <v>77</v>
      </c>
      <c r="G53" s="192">
        <f>_xlfn.XLOOKUP(E53,Deltakerliste!E$5:E$98,Deltakerliste!H$5:H$98)</f>
        <v>2</v>
      </c>
      <c r="H53" s="592">
        <f>VLOOKUP(F53,Deltakerliste!P$6:T$84,G53,FALSE)</f>
        <v>1.7050000000000001</v>
      </c>
      <c r="I53" s="132">
        <v>2.6238425925925925E-2</v>
      </c>
      <c r="J53" s="132"/>
      <c r="K53" s="132"/>
      <c r="L53" s="600">
        <f t="shared" si="7"/>
        <v>1.1926557239057238E-2</v>
      </c>
      <c r="M53" s="594">
        <f>IF(L53="Løype",Poengsammendrag!$F$2,IF(L53="Arr",Poengsammendrag!$F$3,IF(L53="Brutt",50,IF(L53="Disk",50,ROUND(MAXA(100*(MIN(L$10:L$94)/L53),50),0)))))</f>
        <v>50</v>
      </c>
      <c r="N53" s="724">
        <f t="shared" si="8"/>
        <v>6.9950482340511658E-3</v>
      </c>
      <c r="O53" s="596">
        <f>IF(N53="Løype",Poengsammendrag!$F$2,IF(N53="Arr",Poengsammendrag!$F$3,IF(N53="Brutt",50,IF(N53="Disk",50,ROUND(MAXA(100*(MIN(N$10:N$94)/N53),50),0)))))</f>
        <v>50</v>
      </c>
      <c r="S53" s="803" t="s">
        <v>96</v>
      </c>
      <c r="T53" s="797">
        <v>1.4851641414141413E-2</v>
      </c>
      <c r="U53" s="770">
        <v>50</v>
      </c>
      <c r="V53" s="772"/>
      <c r="W53" s="783" t="s">
        <v>130</v>
      </c>
      <c r="X53" s="740">
        <v>50</v>
      </c>
    </row>
    <row r="54" spans="2:29" ht="21" thickBot="1" x14ac:dyDescent="0.3">
      <c r="B54" s="16">
        <f t="shared" si="0"/>
        <v>45</v>
      </c>
      <c r="C54" s="106" t="s">
        <v>72</v>
      </c>
      <c r="D54" s="107" t="s">
        <v>73</v>
      </c>
      <c r="E54" s="599" t="str">
        <f t="shared" si="6"/>
        <v>KåreEggereide</v>
      </c>
      <c r="F54" s="192">
        <f>YEAR(I$5)-_xlfn.XLOOKUP(E54,Deltakerliste!E$5:E$98,Deltakerliste!I$5:I$98)</f>
        <v>75</v>
      </c>
      <c r="G54" s="192">
        <f>_xlfn.XLOOKUP(E54,Deltakerliste!E$5:E$98,Deltakerliste!H$5:H$98)</f>
        <v>2</v>
      </c>
      <c r="H54" s="592">
        <f>VLOOKUP(F54,Deltakerliste!P$6:T$84,G54,FALSE)</f>
        <v>1.605</v>
      </c>
      <c r="I54" s="86"/>
      <c r="J54" s="13" t="s">
        <v>7</v>
      </c>
      <c r="K54" s="13"/>
      <c r="L54" s="600" t="str">
        <f t="shared" si="7"/>
        <v>Arr</v>
      </c>
      <c r="M54" s="594">
        <f>IF(L54="Løype",Poengsammendrag!$F$2,IF(L54="Arr",Poengsammendrag!$F$3,IF(L54="Brutt",50,IF(L54="Disk",50,ROUND(MAXA(100*(MIN(L$10:L$94)/L54),50),0)))))</f>
        <v>94</v>
      </c>
      <c r="N54" s="724" t="str">
        <f t="shared" si="8"/>
        <v>Arr</v>
      </c>
      <c r="O54" s="596">
        <f>IF(N54="Løype",Poengsammendrag!$F$2,IF(N54="Arr",Poengsammendrag!$F$3,IF(N54="Brutt",50,IF(N54="Disk",50,ROUND(MAXA(100*(MIN(N$10:N$94)/N54),50),0)))))</f>
        <v>94</v>
      </c>
      <c r="S54" s="846" t="s">
        <v>350</v>
      </c>
      <c r="T54" s="847" t="s">
        <v>7</v>
      </c>
      <c r="U54" s="848">
        <v>94</v>
      </c>
      <c r="V54" s="778"/>
      <c r="W54" s="849" t="s">
        <v>350</v>
      </c>
      <c r="X54" s="850">
        <v>94</v>
      </c>
    </row>
    <row r="55" spans="2:29" ht="21" customHeight="1" thickBot="1" x14ac:dyDescent="0.3">
      <c r="B55" s="16">
        <f t="shared" si="0"/>
        <v>46</v>
      </c>
      <c r="C55" s="106" t="s">
        <v>159</v>
      </c>
      <c r="D55" s="107" t="s">
        <v>160</v>
      </c>
      <c r="E55" s="599" t="str">
        <f t="shared" si="6"/>
        <v>EigilSørli</v>
      </c>
      <c r="F55" s="192">
        <f>YEAR(I$5)-_xlfn.XLOOKUP(E55,Deltakerliste!E$5:E$98,Deltakerliste!I$5:I$98)</f>
        <v>86</v>
      </c>
      <c r="G55" s="192">
        <f>_xlfn.XLOOKUP(E55,Deltakerliste!E$5:E$98,Deltakerliste!H$5:H$98)</f>
        <v>2</v>
      </c>
      <c r="H55" s="592">
        <f>VLOOKUP(F55,Deltakerliste!P$6:T$84,G55,FALSE)</f>
        <v>2.3089999999999997</v>
      </c>
      <c r="I55" s="132"/>
      <c r="J55" s="18" t="s">
        <v>7</v>
      </c>
      <c r="K55" s="18"/>
      <c r="L55" s="600" t="str">
        <f t="shared" si="7"/>
        <v>Arr</v>
      </c>
      <c r="M55" s="594">
        <f>IF(L55="Løype",Poengsammendrag!$F$2,IF(L55="Arr",Poengsammendrag!$F$3,IF(L55="Brutt",50,IF(L55="Disk",50,ROUND(MAXA(100*(MIN(L$10:L$94)/L55),50),0)))))</f>
        <v>94</v>
      </c>
      <c r="N55" s="724" t="str">
        <f t="shared" si="8"/>
        <v>Arr</v>
      </c>
      <c r="O55" s="596">
        <f>IF(N55="Løype",Poengsammendrag!$F$2,IF(N55="Arr",Poengsammendrag!$F$3,IF(N55="Brutt",50,IF(N55="Disk",50,ROUND(MAXA(100*(MIN(N$10:N$94)/N55),50),0)))))</f>
        <v>94</v>
      </c>
      <c r="S55" s="803" t="s">
        <v>357</v>
      </c>
      <c r="T55" s="798" t="s">
        <v>7</v>
      </c>
      <c r="U55" s="770">
        <v>94</v>
      </c>
      <c r="V55" s="772"/>
      <c r="W55" s="783" t="s">
        <v>357</v>
      </c>
      <c r="X55" s="740">
        <v>94</v>
      </c>
    </row>
    <row r="56" spans="2:29" ht="21" thickBot="1" x14ac:dyDescent="0.3">
      <c r="B56" s="16">
        <f t="shared" si="0"/>
        <v>47</v>
      </c>
      <c r="C56" s="106" t="s">
        <v>163</v>
      </c>
      <c r="D56" s="107" t="s">
        <v>164</v>
      </c>
      <c r="E56" s="599" t="str">
        <f t="shared" si="6"/>
        <v>ArnulfVilmo</v>
      </c>
      <c r="F56" s="192">
        <f>YEAR(I$5)-_xlfn.XLOOKUP(E56,Deltakerliste!E$5:E$98,Deltakerliste!I$5:I$98)</f>
        <v>73</v>
      </c>
      <c r="G56" s="192">
        <f>_xlfn.XLOOKUP(E56,Deltakerliste!E$5:E$98,Deltakerliste!H$5:H$98)</f>
        <v>2</v>
      </c>
      <c r="H56" s="592">
        <f>VLOOKUP(F56,Deltakerliste!P$6:T$84,G56,FALSE)</f>
        <v>1.5329999999999999</v>
      </c>
      <c r="I56" s="132"/>
      <c r="J56" s="132" t="s">
        <v>7</v>
      </c>
      <c r="K56" s="18"/>
      <c r="L56" s="600" t="str">
        <f t="shared" si="7"/>
        <v>Arr</v>
      </c>
      <c r="M56" s="594">
        <f>IF(L56="Løype",Poengsammendrag!$F$2,IF(L56="Arr",Poengsammendrag!$F$3,IF(L56="Brutt",50,IF(L56="Disk",50,ROUND(MAXA(100*(MIN(L$10:L$94)/L56),50),0)))))</f>
        <v>94</v>
      </c>
      <c r="N56" s="724" t="str">
        <f t="shared" si="8"/>
        <v>Arr</v>
      </c>
      <c r="O56" s="596">
        <f>IF(N56="Løype",Poengsammendrag!$F$2,IF(N56="Arr",Poengsammendrag!$F$3,IF(N56="Brutt",50,IF(N56="Disk",50,ROUND(MAXA(100*(MIN(N$10:N$94)/N56),50),0)))))</f>
        <v>94</v>
      </c>
      <c r="S56" s="803" t="s">
        <v>163</v>
      </c>
      <c r="T56" s="798" t="s">
        <v>7</v>
      </c>
      <c r="U56" s="770">
        <v>94</v>
      </c>
      <c r="V56" s="772"/>
      <c r="W56" s="783" t="s">
        <v>163</v>
      </c>
      <c r="X56" s="740">
        <v>94</v>
      </c>
    </row>
    <row r="57" spans="2:29" ht="21" thickBot="1" x14ac:dyDescent="0.3">
      <c r="B57" s="16">
        <f t="shared" si="0"/>
        <v>48</v>
      </c>
      <c r="C57" s="106" t="s">
        <v>254</v>
      </c>
      <c r="D57" s="107" t="s">
        <v>255</v>
      </c>
      <c r="E57" s="599" t="str">
        <f t="shared" si="6"/>
        <v>ArnfinnLangeland</v>
      </c>
      <c r="F57" s="192">
        <f>YEAR(I$5)-_xlfn.XLOOKUP(E57,Deltakerliste!E$5:E$98,Deltakerliste!I$5:I$98)</f>
        <v>90</v>
      </c>
      <c r="G57" s="192">
        <f>_xlfn.XLOOKUP(E57,Deltakerliste!E$5:E$98,Deltakerliste!H$5:H$98)</f>
        <v>2</v>
      </c>
      <c r="H57" s="592">
        <f>VLOOKUP(F57,Deltakerliste!P$6:T$84,G57,FALSE)</f>
        <v>2.645</v>
      </c>
      <c r="I57" s="86" t="s">
        <v>306</v>
      </c>
      <c r="J57" s="86"/>
      <c r="K57" s="13"/>
      <c r="L57" s="600" t="str">
        <f t="shared" si="7"/>
        <v>Brutt</v>
      </c>
      <c r="M57" s="594">
        <f>IF(L57="Løype",Poengsammendrag!$F$2,IF(L57="Arr",Poengsammendrag!$F$3,IF(L57="Brutt",50,IF(L57="Disk",50,ROUND(MAXA(100*(MIN(L$10:L$94)/L57),50),0)))))</f>
        <v>50</v>
      </c>
      <c r="N57" s="724" t="str">
        <f t="shared" si="8"/>
        <v>Brutt</v>
      </c>
      <c r="O57" s="596">
        <f>IF(N57="Løype",Poengsammendrag!$F$2,IF(N57="Arr",Poengsammendrag!$F$3,IF(N57="Brutt",50,IF(N57="Disk",50,ROUND(MAXA(100*(MIN(N$10:N$94)/N57),50),0)))))</f>
        <v>50</v>
      </c>
      <c r="S57" s="803" t="s">
        <v>254</v>
      </c>
      <c r="T57" s="798" t="s">
        <v>306</v>
      </c>
      <c r="U57" s="770">
        <v>50</v>
      </c>
      <c r="V57" s="772"/>
      <c r="W57" s="783" t="s">
        <v>254</v>
      </c>
      <c r="X57" s="740">
        <v>50</v>
      </c>
    </row>
    <row r="58" spans="2:29" ht="20" customHeight="1" thickBot="1" x14ac:dyDescent="0.3">
      <c r="B58" s="16">
        <f t="shared" si="0"/>
        <v>49</v>
      </c>
      <c r="C58" s="106" t="s">
        <v>82</v>
      </c>
      <c r="D58" s="107" t="s">
        <v>83</v>
      </c>
      <c r="E58" s="599" t="str">
        <f t="shared" si="6"/>
        <v>RoarForbord</v>
      </c>
      <c r="F58" s="192">
        <f>YEAR(I$5)-_xlfn.XLOOKUP(E58,Deltakerliste!E$5:E$98,Deltakerliste!I$5:I$98)</f>
        <v>83</v>
      </c>
      <c r="G58" s="192">
        <f>_xlfn.XLOOKUP(E58,Deltakerliste!E$5:E$98,Deltakerliste!H$5:H$98)</f>
        <v>2</v>
      </c>
      <c r="H58" s="592">
        <f>VLOOKUP(F58,Deltakerliste!P$6:T$84,G58,FALSE)</f>
        <v>2.077</v>
      </c>
      <c r="I58" s="86"/>
      <c r="J58" s="86" t="s">
        <v>62</v>
      </c>
      <c r="K58" s="13"/>
      <c r="L58" s="600" t="str">
        <f t="shared" si="7"/>
        <v>Løype</v>
      </c>
      <c r="M58" s="594">
        <f>IF(L58="Løype",Poengsammendrag!$F$2,IF(L58="Arr",Poengsammendrag!$F$3,IF(L58="Brutt",50,IF(L58="Disk",50,ROUND(MAXA(100*(MIN(L$10:L$94)/L58),50),0)))))</f>
        <v>100</v>
      </c>
      <c r="N58" s="724" t="str">
        <f t="shared" si="8"/>
        <v>Løype</v>
      </c>
      <c r="O58" s="596">
        <f>IF(N58="Løype",Poengsammendrag!$F$2,IF(N58="Arr",Poengsammendrag!$F$3,IF(N58="Brutt",50,IF(N58="Disk",50,ROUND(MAXA(100*(MIN(N$10:N$94)/N58),50),0)))))</f>
        <v>100</v>
      </c>
      <c r="S58" s="804" t="s">
        <v>82</v>
      </c>
      <c r="T58" s="801" t="s">
        <v>62</v>
      </c>
      <c r="U58" s="771">
        <v>100</v>
      </c>
      <c r="V58" s="773"/>
      <c r="W58" s="784" t="s">
        <v>82</v>
      </c>
      <c r="X58" s="741">
        <v>100</v>
      </c>
    </row>
    <row r="59" spans="2:29" ht="21" thickBot="1" x14ac:dyDescent="0.3">
      <c r="B59" s="16">
        <f t="shared" si="0"/>
        <v>50</v>
      </c>
      <c r="C59" s="106" t="s">
        <v>60</v>
      </c>
      <c r="D59" s="107" t="s">
        <v>61</v>
      </c>
      <c r="E59" s="599" t="str">
        <f t="shared" si="6"/>
        <v>JosteinAlvestad</v>
      </c>
      <c r="F59" s="192">
        <f>YEAR(I$5)-_xlfn.XLOOKUP(E59,Deltakerliste!E$5:E$98,Deltakerliste!I$5:I$98)</f>
        <v>71</v>
      </c>
      <c r="G59" s="192">
        <f>_xlfn.XLOOKUP(E59,Deltakerliste!E$5:E$98,Deltakerliste!H$5:H$98)</f>
        <v>2</v>
      </c>
      <c r="H59" s="592">
        <f>VLOOKUP(F59,Deltakerliste!P$6:T$84,G59,FALSE)</f>
        <v>1.4609999999999999</v>
      </c>
      <c r="I59" s="13"/>
      <c r="J59" s="13"/>
      <c r="K59" s="17"/>
      <c r="L59" s="600"/>
      <c r="M59" s="594"/>
      <c r="N59" s="724"/>
      <c r="O59" s="596"/>
    </row>
    <row r="60" spans="2:29" ht="21" customHeight="1" thickBot="1" x14ac:dyDescent="0.3">
      <c r="B60" s="16">
        <f t="shared" si="0"/>
        <v>51</v>
      </c>
      <c r="C60" s="106" t="s">
        <v>64</v>
      </c>
      <c r="D60" s="107" t="s">
        <v>65</v>
      </c>
      <c r="E60" s="599" t="str">
        <f t="shared" si="6"/>
        <v>BjørnBerger</v>
      </c>
      <c r="F60" s="192">
        <f>YEAR(I$5)-_xlfn.XLOOKUP(E60,Deltakerliste!E$5:E$98,Deltakerliste!I$5:I$98)</f>
        <v>75</v>
      </c>
      <c r="G60" s="192">
        <f>_xlfn.XLOOKUP(E60,Deltakerliste!E$5:E$98,Deltakerliste!H$5:H$98)</f>
        <v>2</v>
      </c>
      <c r="H60" s="592">
        <f>VLOOKUP(F60,Deltakerliste!P$6:T$84,G60,FALSE)</f>
        <v>1.605</v>
      </c>
      <c r="I60" s="13"/>
      <c r="J60" s="13"/>
      <c r="K60" s="19"/>
      <c r="L60" s="600"/>
      <c r="M60" s="594"/>
      <c r="N60" s="724"/>
      <c r="O60" s="596"/>
    </row>
    <row r="61" spans="2:29" ht="21" customHeight="1" thickBot="1" x14ac:dyDescent="0.3">
      <c r="B61" s="16">
        <f t="shared" si="0"/>
        <v>52</v>
      </c>
      <c r="C61" s="106" t="s">
        <v>66</v>
      </c>
      <c r="D61" s="107" t="s">
        <v>67</v>
      </c>
      <c r="E61" s="599" t="str">
        <f t="shared" si="6"/>
        <v>FrankBjarkø</v>
      </c>
      <c r="F61" s="192">
        <f>YEAR(I$5)-_xlfn.XLOOKUP(E61,Deltakerliste!E$5:E$98,Deltakerliste!I$5:I$98)</f>
        <v>74</v>
      </c>
      <c r="G61" s="192">
        <f>_xlfn.XLOOKUP(E61,Deltakerliste!E$5:E$98,Deltakerliste!H$5:H$98)</f>
        <v>2</v>
      </c>
      <c r="H61" s="592">
        <f>VLOOKUP(F61,Deltakerliste!P$6:T$84,G61,FALSE)</f>
        <v>1.569</v>
      </c>
      <c r="I61" s="13"/>
      <c r="J61" s="13"/>
      <c r="K61" s="13"/>
      <c r="L61" s="600"/>
      <c r="M61" s="594"/>
      <c r="N61" s="724"/>
      <c r="O61" s="596"/>
    </row>
    <row r="62" spans="2:29" ht="21" customHeight="1" thickBot="1" x14ac:dyDescent="0.3">
      <c r="B62" s="16">
        <f t="shared" si="0"/>
        <v>53</v>
      </c>
      <c r="C62" s="106" t="s">
        <v>364</v>
      </c>
      <c r="D62" s="107" t="s">
        <v>365</v>
      </c>
      <c r="E62" s="599" t="str">
        <f t="shared" si="6"/>
        <v>GerdBjørset</v>
      </c>
      <c r="F62" s="192">
        <f>YEAR(I$5)-_xlfn.XLOOKUP(E62,Deltakerliste!E$5:E$98,Deltakerliste!I$5:I$98)</f>
        <v>72</v>
      </c>
      <c r="G62" s="192">
        <f>_xlfn.XLOOKUP(E62,Deltakerliste!E$5:E$98,Deltakerliste!H$5:H$98)</f>
        <v>4</v>
      </c>
      <c r="H62" s="592">
        <f>VLOOKUP(F62,Deltakerliste!P$6:T$84,G62,FALSE)</f>
        <v>2.0362000000000013</v>
      </c>
      <c r="I62" s="13"/>
      <c r="J62" s="13"/>
      <c r="K62" s="13"/>
      <c r="L62" s="600"/>
      <c r="M62" s="594"/>
      <c r="N62" s="724"/>
      <c r="O62" s="596"/>
    </row>
    <row r="63" spans="2:29" ht="21" thickBot="1" x14ac:dyDescent="0.3">
      <c r="B63" s="16">
        <f t="shared" si="0"/>
        <v>54</v>
      </c>
      <c r="C63" s="106" t="s">
        <v>64</v>
      </c>
      <c r="D63" s="107" t="s">
        <v>267</v>
      </c>
      <c r="E63" s="599" t="str">
        <f t="shared" si="6"/>
        <v>BjørnBrenne</v>
      </c>
      <c r="F63" s="192">
        <f>YEAR(I$5)-_xlfn.XLOOKUP(E63,Deltakerliste!E$5:E$98,Deltakerliste!I$5:I$98)</f>
        <v>81</v>
      </c>
      <c r="G63" s="192">
        <f>_xlfn.XLOOKUP(E63,Deltakerliste!E$5:E$98,Deltakerliste!H$5:H$98)</f>
        <v>2</v>
      </c>
      <c r="H63" s="592">
        <f>VLOOKUP(F63,Deltakerliste!P$6:T$84,G63,FALSE)</f>
        <v>1.9290000000000003</v>
      </c>
      <c r="I63" s="86"/>
      <c r="J63" s="86"/>
      <c r="K63" s="13"/>
      <c r="L63" s="600"/>
      <c r="M63" s="594"/>
      <c r="N63" s="724"/>
      <c r="O63" s="596"/>
    </row>
    <row r="64" spans="2:29" ht="21" thickBot="1" x14ac:dyDescent="0.3">
      <c r="B64" s="16">
        <f t="shared" si="0"/>
        <v>55</v>
      </c>
      <c r="C64" s="106" t="s">
        <v>342</v>
      </c>
      <c r="D64" s="107" t="s">
        <v>388</v>
      </c>
      <c r="E64" s="599" t="str">
        <f t="shared" si="6"/>
        <v>ArildClausen</v>
      </c>
      <c r="F64" s="192">
        <f>YEAR(I$5)-_xlfn.XLOOKUP(E64,Deltakerliste!E$5:E$98,Deltakerliste!I$5:I$98)</f>
        <v>58</v>
      </c>
      <c r="G64" s="192">
        <f>_xlfn.XLOOKUP(E64,Deltakerliste!E$5:E$98,Deltakerliste!H$5:H$98)</f>
        <v>2</v>
      </c>
      <c r="H64" s="592">
        <f>VLOOKUP(F64,Deltakerliste!P$6:T$84,G64,FALSE)</f>
        <v>1.1720000000000002</v>
      </c>
      <c r="I64" s="86"/>
      <c r="J64" s="86"/>
      <c r="K64" s="13"/>
      <c r="L64" s="600"/>
      <c r="M64" s="594"/>
      <c r="N64" s="724"/>
      <c r="O64" s="596"/>
    </row>
    <row r="65" spans="2:17" ht="21" thickBot="1" x14ac:dyDescent="0.3">
      <c r="B65" s="16">
        <f t="shared" si="0"/>
        <v>56</v>
      </c>
      <c r="C65" s="106" t="s">
        <v>74</v>
      </c>
      <c r="D65" s="107" t="s">
        <v>75</v>
      </c>
      <c r="E65" s="599" t="str">
        <f t="shared" si="6"/>
        <v>StinaElfving</v>
      </c>
      <c r="F65" s="192">
        <f>YEAR(I$5)-_xlfn.XLOOKUP(E65,Deltakerliste!E$5:E$98,Deltakerliste!I$5:I$98)</f>
        <v>76</v>
      </c>
      <c r="G65" s="192">
        <f>_xlfn.XLOOKUP(E65,Deltakerliste!E$5:E$98,Deltakerliste!H$5:H$98)</f>
        <v>4</v>
      </c>
      <c r="H65" s="592">
        <f>VLOOKUP(F65,Deltakerliste!P$6:T$84,G65,FALSE)</f>
        <v>2.2246000000000015</v>
      </c>
      <c r="I65" s="13"/>
      <c r="J65" s="13"/>
      <c r="K65" s="17"/>
      <c r="L65" s="600"/>
      <c r="M65" s="594"/>
      <c r="N65" s="724"/>
      <c r="O65" s="596"/>
    </row>
    <row r="66" spans="2:17" ht="21" thickBot="1" x14ac:dyDescent="0.3">
      <c r="B66" s="16">
        <f t="shared" si="0"/>
        <v>57</v>
      </c>
      <c r="C66" s="106" t="s">
        <v>216</v>
      </c>
      <c r="D66" s="107" t="s">
        <v>77</v>
      </c>
      <c r="E66" s="599" t="str">
        <f t="shared" si="6"/>
        <v>Åse RitaEllingsen</v>
      </c>
      <c r="F66" s="192">
        <f>YEAR(I$5)-_xlfn.XLOOKUP(E66,Deltakerliste!E$5:E$98,Deltakerliste!I$5:I$98)</f>
        <v>62</v>
      </c>
      <c r="G66" s="192">
        <f>_xlfn.XLOOKUP(E66,Deltakerliste!E$5:E$98,Deltakerliste!H$5:H$98)</f>
        <v>4</v>
      </c>
      <c r="H66" s="592">
        <f>VLOOKUP(F66,Deltakerliste!P$6:T$84,G66,FALSE)</f>
        <v>1.6834000000000005</v>
      </c>
      <c r="I66" s="86"/>
      <c r="J66" s="14"/>
      <c r="K66" s="13"/>
      <c r="L66" s="600"/>
      <c r="M66" s="594"/>
      <c r="N66" s="724"/>
      <c r="O66" s="596"/>
    </row>
    <row r="67" spans="2:17" ht="21" thickBot="1" x14ac:dyDescent="0.3">
      <c r="B67" s="16">
        <f t="shared" si="0"/>
        <v>58</v>
      </c>
      <c r="C67" s="106" t="s">
        <v>271</v>
      </c>
      <c r="D67" s="107" t="s">
        <v>272</v>
      </c>
      <c r="E67" s="599" t="str">
        <f t="shared" si="6"/>
        <v>Arne KjellFoldvik</v>
      </c>
      <c r="F67" s="192">
        <f>YEAR(I$5)-_xlfn.XLOOKUP(E67,Deltakerliste!E$5:E$98,Deltakerliste!I$5:I$98)</f>
        <v>92</v>
      </c>
      <c r="G67" s="192">
        <f>_xlfn.XLOOKUP(E67,Deltakerliste!E$5:E$98,Deltakerliste!H$5:H$98)</f>
        <v>2</v>
      </c>
      <c r="H67" s="592">
        <f>VLOOKUP(F67,Deltakerliste!P$6:T$84,G67,FALSE)</f>
        <v>2.8130000000000002</v>
      </c>
      <c r="I67" s="14"/>
      <c r="J67" s="14"/>
      <c r="K67" s="13"/>
      <c r="L67" s="600"/>
      <c r="M67" s="594"/>
      <c r="N67" s="724"/>
      <c r="O67" s="596"/>
    </row>
    <row r="68" spans="2:17" ht="21" thickBot="1" x14ac:dyDescent="0.3">
      <c r="B68" s="16">
        <f t="shared" si="0"/>
        <v>59</v>
      </c>
      <c r="C68" s="106" t="s">
        <v>84</v>
      </c>
      <c r="D68" s="107" t="s">
        <v>85</v>
      </c>
      <c r="E68" s="599" t="str">
        <f t="shared" si="6"/>
        <v>PaulForseth</v>
      </c>
      <c r="F68" s="192">
        <f>YEAR(I$5)-_xlfn.XLOOKUP(E68,Deltakerliste!E$5:E$98,Deltakerliste!I$5:I$98)</f>
        <v>94</v>
      </c>
      <c r="G68" s="192">
        <f>_xlfn.XLOOKUP(E68,Deltakerliste!E$5:E$98,Deltakerliste!H$5:H$98)</f>
        <v>2</v>
      </c>
      <c r="H68" s="592">
        <f>VLOOKUP(F68,Deltakerliste!P$6:T$84,G68,FALSE)</f>
        <v>2.9810000000000003</v>
      </c>
      <c r="I68" s="86"/>
      <c r="J68" s="86"/>
      <c r="K68" s="17"/>
      <c r="L68" s="600"/>
      <c r="M68" s="594"/>
      <c r="N68" s="724"/>
      <c r="O68" s="596"/>
    </row>
    <row r="69" spans="2:17" ht="21" thickBot="1" x14ac:dyDescent="0.3">
      <c r="B69" s="16">
        <f t="shared" si="0"/>
        <v>60</v>
      </c>
      <c r="C69" s="106" t="s">
        <v>86</v>
      </c>
      <c r="D69" s="107" t="s">
        <v>87</v>
      </c>
      <c r="E69" s="599" t="str">
        <f t="shared" si="6"/>
        <v>KristianFougner</v>
      </c>
      <c r="F69" s="192">
        <f>YEAR(I$5)-_xlfn.XLOOKUP(E69,Deltakerliste!E$5:E$98,Deltakerliste!I$5:I$98)</f>
        <v>76</v>
      </c>
      <c r="G69" s="192">
        <f>_xlfn.XLOOKUP(E69,Deltakerliste!E$5:E$98,Deltakerliste!H$5:H$98)</f>
        <v>2</v>
      </c>
      <c r="H69" s="592">
        <f>VLOOKUP(F69,Deltakerliste!P$6:T$84,G69,FALSE)</f>
        <v>1.655</v>
      </c>
      <c r="I69" s="86"/>
      <c r="J69" s="86"/>
      <c r="K69" s="13"/>
      <c r="L69" s="600"/>
      <c r="M69" s="594"/>
      <c r="N69" s="724"/>
      <c r="O69" s="596"/>
    </row>
    <row r="70" spans="2:17" ht="21" thickBot="1" x14ac:dyDescent="0.3">
      <c r="B70" s="16">
        <f t="shared" si="0"/>
        <v>61</v>
      </c>
      <c r="C70" s="106" t="s">
        <v>116</v>
      </c>
      <c r="D70" s="107" t="s">
        <v>353</v>
      </c>
      <c r="E70" s="599" t="str">
        <f t="shared" si="6"/>
        <v>AndersGjermo</v>
      </c>
      <c r="F70" s="192">
        <f>YEAR(I$5)-_xlfn.XLOOKUP(E70,Deltakerliste!E$5:E$98,Deltakerliste!I$5:I$98)</f>
        <v>68</v>
      </c>
      <c r="G70" s="192">
        <f>_xlfn.XLOOKUP(E70,Deltakerliste!E$5:E$98,Deltakerliste!H$5:H$98)</f>
        <v>2</v>
      </c>
      <c r="H70" s="592">
        <f>VLOOKUP(F70,Deltakerliste!P$6:T$84,G70,FALSE)</f>
        <v>1.3729999999999998</v>
      </c>
      <c r="I70" s="132"/>
      <c r="J70" s="132"/>
      <c r="K70" s="18"/>
      <c r="L70" s="600"/>
      <c r="M70" s="594"/>
      <c r="N70" s="724"/>
      <c r="O70" s="596"/>
    </row>
    <row r="71" spans="2:17" ht="21" thickBot="1" x14ac:dyDescent="0.3">
      <c r="B71" s="16">
        <f t="shared" si="0"/>
        <v>62</v>
      </c>
      <c r="C71" s="106" t="s">
        <v>92</v>
      </c>
      <c r="D71" s="107" t="s">
        <v>93</v>
      </c>
      <c r="E71" s="599" t="str">
        <f t="shared" si="6"/>
        <v>Jens ØysteinGjersvold</v>
      </c>
      <c r="F71" s="192">
        <f>YEAR(I$5)-_xlfn.XLOOKUP(E71,Deltakerliste!E$5:E$98,Deltakerliste!I$5:I$98)</f>
        <v>74</v>
      </c>
      <c r="G71" s="192">
        <f>_xlfn.XLOOKUP(E71,Deltakerliste!E$5:E$98,Deltakerliste!H$5:H$98)</f>
        <v>2</v>
      </c>
      <c r="H71" s="592">
        <f>VLOOKUP(F71,Deltakerliste!P$6:T$84,G71,FALSE)</f>
        <v>1.569</v>
      </c>
      <c r="I71" s="14"/>
      <c r="J71" s="14"/>
      <c r="K71" s="18"/>
      <c r="L71" s="600"/>
      <c r="M71" s="594"/>
      <c r="N71" s="724"/>
      <c r="O71" s="596"/>
    </row>
    <row r="72" spans="2:17" ht="21" thickBot="1" x14ac:dyDescent="0.3">
      <c r="B72" s="16">
        <f t="shared" si="0"/>
        <v>63</v>
      </c>
      <c r="C72" s="106" t="s">
        <v>94</v>
      </c>
      <c r="D72" s="107" t="s">
        <v>95</v>
      </c>
      <c r="E72" s="599" t="str">
        <f t="shared" si="6"/>
        <v>TerjeHanssen</v>
      </c>
      <c r="F72" s="192">
        <f>YEAR(I$5)-_xlfn.XLOOKUP(E72,Deltakerliste!E$5:E$98,Deltakerliste!I$5:I$98)</f>
        <v>78</v>
      </c>
      <c r="G72" s="192">
        <f>_xlfn.XLOOKUP(E72,Deltakerliste!E$5:E$98,Deltakerliste!H$5:H$98)</f>
        <v>2</v>
      </c>
      <c r="H72" s="592">
        <f>VLOOKUP(F72,Deltakerliste!P$6:T$84,G72,FALSE)</f>
        <v>1.7550000000000001</v>
      </c>
      <c r="I72" s="86"/>
      <c r="J72" s="86"/>
      <c r="K72" s="17"/>
      <c r="L72" s="600"/>
      <c r="M72" s="594"/>
      <c r="N72" s="724"/>
      <c r="O72" s="596"/>
    </row>
    <row r="73" spans="2:17" ht="21" thickBot="1" x14ac:dyDescent="0.3">
      <c r="B73" s="16">
        <f t="shared" si="0"/>
        <v>64</v>
      </c>
      <c r="C73" s="106" t="s">
        <v>342</v>
      </c>
      <c r="D73" s="107" t="s">
        <v>343</v>
      </c>
      <c r="E73" s="599" t="str">
        <f t="shared" si="6"/>
        <v>ArildHeggeset</v>
      </c>
      <c r="F73" s="192">
        <f>YEAR(I$5)-_xlfn.XLOOKUP(E73,Deltakerliste!E$5:E$98,Deltakerliste!I$5:I$98)</f>
        <v>59</v>
      </c>
      <c r="G73" s="192">
        <f>_xlfn.XLOOKUP(E73,Deltakerliste!E$5:E$98,Deltakerliste!H$5:H$98)</f>
        <v>2</v>
      </c>
      <c r="H73" s="592">
        <f>VLOOKUP(F73,Deltakerliste!P$6:T$84,G73,FALSE)</f>
        <v>1.1860000000000002</v>
      </c>
      <c r="I73" s="86"/>
      <c r="J73" s="86"/>
      <c r="K73" s="13"/>
      <c r="L73" s="600"/>
      <c r="M73" s="594"/>
      <c r="N73" s="724"/>
      <c r="O73" s="596"/>
    </row>
    <row r="74" spans="2:17" ht="21" thickBot="1" x14ac:dyDescent="0.3">
      <c r="B74" s="16">
        <f t="shared" ref="B74:B96" si="9">B73+1</f>
        <v>65</v>
      </c>
      <c r="C74" s="106" t="s">
        <v>309</v>
      </c>
      <c r="D74" s="107" t="s">
        <v>310</v>
      </c>
      <c r="E74" s="599" t="str">
        <f t="shared" ref="E74:E96" si="10">_xlfn.CONCAT(C74:D74)</f>
        <v>VigdisHeimly</v>
      </c>
      <c r="F74" s="192">
        <f>YEAR(I$5)-_xlfn.XLOOKUP(E74,Deltakerliste!E$5:E$98,Deltakerliste!I$5:I$98)</f>
        <v>67</v>
      </c>
      <c r="G74" s="192">
        <f>_xlfn.XLOOKUP(E74,Deltakerliste!E$5:E$98,Deltakerliste!H$5:H$98)</f>
        <v>4</v>
      </c>
      <c r="H74" s="592">
        <f>VLOOKUP(F74,Deltakerliste!P$6:T$84,G74,FALSE)</f>
        <v>1.8422000000000009</v>
      </c>
      <c r="I74" s="86"/>
      <c r="J74" s="86"/>
      <c r="K74" s="17"/>
      <c r="L74" s="600"/>
      <c r="M74" s="594"/>
      <c r="N74" s="724"/>
      <c r="O74" s="596"/>
    </row>
    <row r="75" spans="2:17" ht="21" thickBot="1" x14ac:dyDescent="0.3">
      <c r="B75" s="16">
        <f t="shared" si="9"/>
        <v>66</v>
      </c>
      <c r="C75" s="106" t="s">
        <v>126</v>
      </c>
      <c r="D75" s="107" t="s">
        <v>383</v>
      </c>
      <c r="E75" s="599" t="str">
        <f t="shared" si="10"/>
        <v>ArneHelland</v>
      </c>
      <c r="F75" s="192">
        <f>YEAR(I$5)-_xlfn.XLOOKUP(E75,Deltakerliste!E$5:E$98,Deltakerliste!I$5:I$98)</f>
        <v>61</v>
      </c>
      <c r="G75" s="192">
        <f>_xlfn.XLOOKUP(E75,Deltakerliste!E$5:E$98,Deltakerliste!H$5:H$98)</f>
        <v>2</v>
      </c>
      <c r="H75" s="592">
        <f>VLOOKUP(F75,Deltakerliste!P$6:T$84,G75,FALSE)</f>
        <v>1.2190000000000001</v>
      </c>
      <c r="I75" s="86"/>
      <c r="J75" s="86"/>
      <c r="K75" s="17"/>
      <c r="L75" s="600"/>
      <c r="M75" s="594"/>
      <c r="N75" s="724"/>
      <c r="O75" s="596"/>
      <c r="Q75" s="112"/>
    </row>
    <row r="76" spans="2:17" ht="21" thickBot="1" x14ac:dyDescent="0.3">
      <c r="B76" s="16">
        <f t="shared" si="9"/>
        <v>67</v>
      </c>
      <c r="C76" s="106" t="s">
        <v>118</v>
      </c>
      <c r="D76" s="107" t="s">
        <v>383</v>
      </c>
      <c r="E76" s="599" t="str">
        <f t="shared" si="10"/>
        <v>KnutHelland</v>
      </c>
      <c r="F76" s="192">
        <f>YEAR(I$5)-_xlfn.XLOOKUP(E76,Deltakerliste!E$5:E$98,Deltakerliste!I$5:I$98)</f>
        <v>64</v>
      </c>
      <c r="G76" s="192">
        <f>_xlfn.XLOOKUP(E76,Deltakerliste!E$5:E$98,Deltakerliste!H$5:H$98)</f>
        <v>2</v>
      </c>
      <c r="H76" s="592">
        <f>VLOOKUP(F76,Deltakerliste!P$6:T$84,G76,FALSE)</f>
        <v>1.2759999999999998</v>
      </c>
      <c r="I76" s="86"/>
      <c r="J76" s="86"/>
      <c r="K76" s="17"/>
      <c r="L76" s="600"/>
      <c r="M76" s="594"/>
      <c r="N76" s="724"/>
      <c r="O76" s="596"/>
    </row>
    <row r="77" spans="2:17" ht="21" thickBot="1" x14ac:dyDescent="0.3">
      <c r="B77" s="16">
        <f t="shared" si="9"/>
        <v>68</v>
      </c>
      <c r="C77" s="106" t="s">
        <v>269</v>
      </c>
      <c r="D77" s="107" t="s">
        <v>270</v>
      </c>
      <c r="E77" s="599" t="str">
        <f t="shared" si="10"/>
        <v>Per OlavJohansen</v>
      </c>
      <c r="F77" s="192">
        <f>YEAR(I$5)-_xlfn.XLOOKUP(E77,Deltakerliste!E$5:E$98,Deltakerliste!I$5:I$98)</f>
        <v>68</v>
      </c>
      <c r="G77" s="192">
        <f>_xlfn.XLOOKUP(E77,Deltakerliste!E$5:E$98,Deltakerliste!H$5:H$98)</f>
        <v>2</v>
      </c>
      <c r="H77" s="592">
        <f>VLOOKUP(F77,Deltakerliste!P$6:T$84,G77,FALSE)</f>
        <v>1.3729999999999998</v>
      </c>
      <c r="I77" s="132"/>
      <c r="J77" s="132"/>
      <c r="K77" s="134"/>
      <c r="L77" s="600"/>
      <c r="M77" s="594"/>
      <c r="N77" s="724"/>
      <c r="O77" s="596"/>
    </row>
    <row r="78" spans="2:17" ht="21" thickBot="1" x14ac:dyDescent="0.3">
      <c r="B78" s="16">
        <f t="shared" si="9"/>
        <v>69</v>
      </c>
      <c r="C78" s="106" t="s">
        <v>63</v>
      </c>
      <c r="D78" s="107" t="s">
        <v>105</v>
      </c>
      <c r="E78" s="599" t="str">
        <f t="shared" si="10"/>
        <v>ToreKiste</v>
      </c>
      <c r="F78" s="192">
        <f>YEAR(I$5)-_xlfn.XLOOKUP(E78,Deltakerliste!E$5:E$98,Deltakerliste!I$5:I$98)</f>
        <v>81</v>
      </c>
      <c r="G78" s="192">
        <f>_xlfn.XLOOKUP(E78,Deltakerliste!E$5:E$98,Deltakerliste!H$5:H$98)</f>
        <v>2</v>
      </c>
      <c r="H78" s="592">
        <f>VLOOKUP(F78,Deltakerliste!P$6:T$84,G78,FALSE)</f>
        <v>1.9290000000000003</v>
      </c>
      <c r="I78" s="86"/>
      <c r="J78" s="86"/>
      <c r="K78" s="13"/>
      <c r="L78" s="600"/>
      <c r="M78" s="594"/>
      <c r="N78" s="724"/>
      <c r="O78" s="596"/>
    </row>
    <row r="79" spans="2:17" ht="21" thickBot="1" x14ac:dyDescent="0.3">
      <c r="B79" s="16">
        <f t="shared" si="9"/>
        <v>70</v>
      </c>
      <c r="C79" s="106" t="s">
        <v>110</v>
      </c>
      <c r="D79" s="107" t="s">
        <v>111</v>
      </c>
      <c r="E79" s="599" t="str">
        <f t="shared" si="10"/>
        <v>Jan ErikKofoed</v>
      </c>
      <c r="F79" s="192">
        <f>YEAR(I$5)-_xlfn.XLOOKUP(E79,Deltakerliste!E$5:E$98,Deltakerliste!I$5:I$98)</f>
        <v>72</v>
      </c>
      <c r="G79" s="192">
        <f>_xlfn.XLOOKUP(E79,Deltakerliste!E$5:E$98,Deltakerliste!H$5:H$98)</f>
        <v>2</v>
      </c>
      <c r="H79" s="592">
        <f>VLOOKUP(F79,Deltakerliste!P$6:T$84,G79,FALSE)</f>
        <v>1.4969999999999999</v>
      </c>
      <c r="I79" s="86"/>
      <c r="J79" s="86"/>
      <c r="K79" s="13"/>
      <c r="L79" s="600"/>
      <c r="M79" s="594"/>
      <c r="N79" s="724"/>
      <c r="O79" s="596"/>
    </row>
    <row r="80" spans="2:17" ht="21" thickBot="1" x14ac:dyDescent="0.3">
      <c r="B80" s="16">
        <f t="shared" si="9"/>
        <v>71</v>
      </c>
      <c r="C80" s="106" t="s">
        <v>251</v>
      </c>
      <c r="D80" s="107" t="s">
        <v>252</v>
      </c>
      <c r="E80" s="599" t="str">
        <f t="shared" si="10"/>
        <v>OttarKristiansen</v>
      </c>
      <c r="F80" s="192">
        <f>YEAR(I$5)-_xlfn.XLOOKUP(E80,Deltakerliste!E$5:E$98,Deltakerliste!I$5:I$98)</f>
        <v>77</v>
      </c>
      <c r="G80" s="192">
        <f>_xlfn.XLOOKUP(E80,Deltakerliste!E$5:E$98,Deltakerliste!H$5:H$98)</f>
        <v>2</v>
      </c>
      <c r="H80" s="592">
        <f>VLOOKUP(F80,Deltakerliste!P$6:T$84,G80,FALSE)</f>
        <v>1.7050000000000001</v>
      </c>
      <c r="I80" s="86"/>
      <c r="J80" s="86"/>
      <c r="K80" s="17"/>
      <c r="L80" s="600"/>
      <c r="M80" s="594"/>
      <c r="N80" s="724"/>
      <c r="O80" s="596"/>
    </row>
    <row r="81" spans="2:15" ht="21" thickBot="1" x14ac:dyDescent="0.3">
      <c r="B81" s="16">
        <f t="shared" si="9"/>
        <v>72</v>
      </c>
      <c r="C81" s="106" t="s">
        <v>116</v>
      </c>
      <c r="D81" s="107" t="s">
        <v>117</v>
      </c>
      <c r="E81" s="599" t="str">
        <f t="shared" si="10"/>
        <v>AndersLauglo</v>
      </c>
      <c r="F81" s="192">
        <f>YEAR(I$5)-_xlfn.XLOOKUP(E81,Deltakerliste!E$5:E$98,Deltakerliste!I$5:I$98)</f>
        <v>87</v>
      </c>
      <c r="G81" s="192">
        <f>_xlfn.XLOOKUP(E81,Deltakerliste!E$5:E$98,Deltakerliste!H$5:H$98)</f>
        <v>2</v>
      </c>
      <c r="H81" s="592">
        <f>VLOOKUP(F81,Deltakerliste!P$6:T$84,G81,FALSE)</f>
        <v>2.3929999999999998</v>
      </c>
      <c r="I81" s="13"/>
      <c r="J81" s="13"/>
      <c r="K81" s="86"/>
      <c r="L81" s="600"/>
      <c r="M81" s="594"/>
      <c r="N81" s="724"/>
      <c r="O81" s="596"/>
    </row>
    <row r="82" spans="2:15" ht="21" thickBot="1" x14ac:dyDescent="0.3">
      <c r="B82" s="16">
        <f t="shared" si="9"/>
        <v>73</v>
      </c>
      <c r="C82" s="106" t="s">
        <v>248</v>
      </c>
      <c r="D82" s="107" t="s">
        <v>249</v>
      </c>
      <c r="E82" s="599" t="str">
        <f t="shared" si="10"/>
        <v>ErikLund</v>
      </c>
      <c r="F82" s="192">
        <f>YEAR(I$5)-_xlfn.XLOOKUP(E82,Deltakerliste!E$5:E$98,Deltakerliste!I$5:I$98)</f>
        <v>79</v>
      </c>
      <c r="G82" s="192">
        <f>_xlfn.XLOOKUP(E82,Deltakerliste!E$5:E$98,Deltakerliste!H$5:H$98)</f>
        <v>2</v>
      </c>
      <c r="H82" s="592">
        <f>VLOOKUP(F82,Deltakerliste!P$6:T$84,G82,FALSE)</f>
        <v>1.8050000000000002</v>
      </c>
      <c r="I82" s="13"/>
      <c r="J82" s="13"/>
      <c r="K82" s="17"/>
      <c r="L82" s="600"/>
      <c r="M82" s="594"/>
      <c r="N82" s="724"/>
      <c r="O82" s="596"/>
    </row>
    <row r="83" spans="2:15" ht="21" thickBot="1" x14ac:dyDescent="0.3">
      <c r="B83" s="16">
        <f t="shared" si="9"/>
        <v>74</v>
      </c>
      <c r="C83" s="106" t="s">
        <v>128</v>
      </c>
      <c r="D83" s="107" t="s">
        <v>129</v>
      </c>
      <c r="E83" s="599" t="str">
        <f t="shared" si="10"/>
        <v>OddMusum</v>
      </c>
      <c r="F83" s="192">
        <f>YEAR(I$5)-_xlfn.XLOOKUP(E83,Deltakerliste!E$5:E$98,Deltakerliste!I$5:I$98)</f>
        <v>84</v>
      </c>
      <c r="G83" s="192">
        <f>_xlfn.XLOOKUP(E83,Deltakerliste!E$5:E$98,Deltakerliste!H$5:H$98)</f>
        <v>2</v>
      </c>
      <c r="H83" s="592">
        <f>VLOOKUP(F83,Deltakerliste!P$6:T$84,G83,FALSE)</f>
        <v>2.1509999999999998</v>
      </c>
      <c r="I83" s="13"/>
      <c r="J83" s="13"/>
      <c r="K83" s="13"/>
      <c r="L83" s="600"/>
      <c r="M83" s="594"/>
      <c r="N83" s="724"/>
      <c r="O83" s="596"/>
    </row>
    <row r="84" spans="2:15" ht="21" thickBot="1" x14ac:dyDescent="0.3">
      <c r="B84" s="16">
        <f t="shared" si="9"/>
        <v>75</v>
      </c>
      <c r="C84" s="106" t="s">
        <v>132</v>
      </c>
      <c r="D84" s="107" t="s">
        <v>133</v>
      </c>
      <c r="E84" s="599" t="str">
        <f t="shared" si="10"/>
        <v>JarleNestvold</v>
      </c>
      <c r="F84" s="192">
        <f>YEAR(I$5)-_xlfn.XLOOKUP(E84,Deltakerliste!E$5:E$98,Deltakerliste!I$5:I$98)</f>
        <v>89</v>
      </c>
      <c r="G84" s="192">
        <f>_xlfn.XLOOKUP(E84,Deltakerliste!E$5:E$98,Deltakerliste!H$5:H$98)</f>
        <v>2</v>
      </c>
      <c r="H84" s="592">
        <f>VLOOKUP(F84,Deltakerliste!P$6:T$84,G84,FALSE)</f>
        <v>2.5609999999999999</v>
      </c>
      <c r="I84" s="132"/>
      <c r="J84" s="18"/>
      <c r="K84" s="18"/>
      <c r="L84" s="600"/>
      <c r="M84" s="594"/>
      <c r="N84" s="724"/>
      <c r="O84" s="596"/>
    </row>
    <row r="85" spans="2:15" ht="21" thickBot="1" x14ac:dyDescent="0.3">
      <c r="B85" s="16">
        <f t="shared" si="9"/>
        <v>76</v>
      </c>
      <c r="C85" s="111" t="s">
        <v>402</v>
      </c>
      <c r="D85" s="193" t="s">
        <v>403</v>
      </c>
      <c r="E85" s="599" t="str">
        <f t="shared" si="10"/>
        <v>BørgeNordli</v>
      </c>
      <c r="F85" s="192">
        <f>YEAR(I$5)-_xlfn.XLOOKUP(E85,Deltakerliste!E$5:E$98,Deltakerliste!I$5:I$98)</f>
        <v>44</v>
      </c>
      <c r="G85" s="192">
        <f>_xlfn.XLOOKUP(E85,Deltakerliste!E$5:E$98,Deltakerliste!H$5:H$98)</f>
        <v>2</v>
      </c>
      <c r="H85" s="592">
        <f>VLOOKUP(F85,Deltakerliste!P$6:T$84,G85,FALSE)</f>
        <v>1.0399999999999996</v>
      </c>
      <c r="I85" s="132"/>
      <c r="J85" s="132"/>
      <c r="K85" s="18"/>
      <c r="L85" s="600"/>
      <c r="M85" s="594"/>
      <c r="N85" s="724"/>
      <c r="O85" s="596"/>
    </row>
    <row r="86" spans="2:15" ht="21" thickBot="1" x14ac:dyDescent="0.3">
      <c r="B86" s="16">
        <f t="shared" si="9"/>
        <v>77</v>
      </c>
      <c r="C86" s="111" t="s">
        <v>265</v>
      </c>
      <c r="D86" s="193" t="s">
        <v>344</v>
      </c>
      <c r="E86" s="599" t="str">
        <f t="shared" si="10"/>
        <v>ØysteinNytrø</v>
      </c>
      <c r="F86" s="192">
        <f>YEAR(I$5)-_xlfn.XLOOKUP(E86,Deltakerliste!E$5:E$98,Deltakerliste!I$5:I$98)</f>
        <v>66</v>
      </c>
      <c r="G86" s="192">
        <f>_xlfn.XLOOKUP(E86,Deltakerliste!E$5:E$98,Deltakerliste!H$5:H$98)</f>
        <v>2</v>
      </c>
      <c r="H86" s="592">
        <f>VLOOKUP(F86,Deltakerliste!P$6:T$84,G86,FALSE)</f>
        <v>1.3209999999999997</v>
      </c>
      <c r="I86" s="18"/>
      <c r="J86" s="132"/>
      <c r="K86" s="18"/>
      <c r="L86" s="600"/>
      <c r="M86" s="594"/>
      <c r="N86" s="724"/>
      <c r="O86" s="596"/>
    </row>
    <row r="87" spans="2:15" ht="21" thickBot="1" x14ac:dyDescent="0.3">
      <c r="B87" s="16">
        <f t="shared" si="9"/>
        <v>78</v>
      </c>
      <c r="C87" s="111" t="s">
        <v>72</v>
      </c>
      <c r="D87" s="108" t="s">
        <v>139</v>
      </c>
      <c r="E87" s="599" t="str">
        <f t="shared" si="10"/>
        <v>KåreOnsøyen</v>
      </c>
      <c r="F87" s="192">
        <f>YEAR(I$5)-_xlfn.XLOOKUP(E87,Deltakerliste!E$5:E$98,Deltakerliste!I$5:I$98)</f>
        <v>78</v>
      </c>
      <c r="G87" s="192">
        <f>_xlfn.XLOOKUP(E87,Deltakerliste!E$5:E$98,Deltakerliste!H$5:H$98)</f>
        <v>2</v>
      </c>
      <c r="H87" s="592">
        <f>VLOOKUP(F87,Deltakerliste!P$6:T$84,G87,FALSE)</f>
        <v>1.7550000000000001</v>
      </c>
      <c r="I87" s="13"/>
      <c r="J87" s="13"/>
      <c r="K87" s="13"/>
      <c r="L87" s="600"/>
      <c r="M87" s="594"/>
      <c r="N87" s="724"/>
      <c r="O87" s="596"/>
    </row>
    <row r="88" spans="2:15" ht="21" thickBot="1" x14ac:dyDescent="0.3">
      <c r="B88" s="16">
        <f t="shared" si="9"/>
        <v>79</v>
      </c>
      <c r="C88" s="111" t="s">
        <v>140</v>
      </c>
      <c r="D88" s="193" t="s">
        <v>141</v>
      </c>
      <c r="E88" s="599" t="str">
        <f t="shared" si="10"/>
        <v>Grete BergeOwren</v>
      </c>
      <c r="F88" s="192">
        <f>YEAR(I$5)-_xlfn.XLOOKUP(E88,Deltakerliste!E$5:E$98,Deltakerliste!I$5:I$98)</f>
        <v>68</v>
      </c>
      <c r="G88" s="192">
        <f>_xlfn.XLOOKUP(E88,Deltakerliste!E$5:E$98,Deltakerliste!H$5:H$98)</f>
        <v>4</v>
      </c>
      <c r="H88" s="592">
        <f>VLOOKUP(F88,Deltakerliste!P$6:T$84,G88,FALSE)</f>
        <v>1.877800000000001</v>
      </c>
      <c r="I88" s="18"/>
      <c r="J88" s="18"/>
      <c r="K88" s="18"/>
      <c r="L88" s="600"/>
      <c r="M88" s="594"/>
      <c r="N88" s="724"/>
      <c r="O88" s="596"/>
    </row>
    <row r="89" spans="2:15" ht="21" thickBot="1" x14ac:dyDescent="0.3">
      <c r="B89" s="16">
        <f t="shared" si="9"/>
        <v>80</v>
      </c>
      <c r="C89" s="111" t="s">
        <v>144</v>
      </c>
      <c r="D89" s="193" t="s">
        <v>145</v>
      </c>
      <c r="E89" s="599" t="str">
        <f t="shared" si="10"/>
        <v>Bjørn Rindstad</v>
      </c>
      <c r="F89" s="192">
        <f>YEAR(I$5)-_xlfn.XLOOKUP(E89,Deltakerliste!E$5:E$98,Deltakerliste!I$5:I$98)</f>
        <v>75</v>
      </c>
      <c r="G89" s="192">
        <f>_xlfn.XLOOKUP(E89,Deltakerliste!E$5:E$98,Deltakerliste!H$5:H$98)</f>
        <v>2</v>
      </c>
      <c r="H89" s="592">
        <f>VLOOKUP(F89,Deltakerliste!P$6:T$84,G89,FALSE)</f>
        <v>1.605</v>
      </c>
      <c r="I89" s="18"/>
      <c r="J89" s="18"/>
      <c r="K89" s="18"/>
      <c r="L89" s="600"/>
      <c r="M89" s="594"/>
      <c r="N89" s="724"/>
      <c r="O89" s="596"/>
    </row>
    <row r="90" spans="2:15" ht="21" thickBot="1" x14ac:dyDescent="0.3">
      <c r="B90" s="16">
        <f t="shared" si="9"/>
        <v>81</v>
      </c>
      <c r="C90" s="111" t="s">
        <v>298</v>
      </c>
      <c r="D90" s="108" t="s">
        <v>405</v>
      </c>
      <c r="E90" s="599" t="str">
        <f t="shared" si="10"/>
        <v>ØyvindRogndalen</v>
      </c>
      <c r="F90" s="192">
        <f>YEAR(I$5)-_xlfn.XLOOKUP(E90,Deltakerliste!E$5:E$98,Deltakerliste!I$5:I$98)</f>
        <v>81</v>
      </c>
      <c r="G90" s="192">
        <f>_xlfn.XLOOKUP(E90,Deltakerliste!E$5:E$98,Deltakerliste!H$5:H$98)</f>
        <v>2</v>
      </c>
      <c r="H90" s="592">
        <f>VLOOKUP(F90,Deltakerliste!P$6:T$84,G90,FALSE)</f>
        <v>1.9290000000000003</v>
      </c>
      <c r="I90" s="132"/>
      <c r="J90" s="18"/>
      <c r="K90" s="18"/>
      <c r="L90" s="600"/>
      <c r="M90" s="594"/>
      <c r="N90" s="724"/>
      <c r="O90" s="596"/>
    </row>
    <row r="91" spans="2:15" ht="21" thickBot="1" x14ac:dyDescent="0.3">
      <c r="B91" s="16">
        <f t="shared" si="9"/>
        <v>82</v>
      </c>
      <c r="C91" s="111" t="s">
        <v>228</v>
      </c>
      <c r="D91" s="108" t="s">
        <v>229</v>
      </c>
      <c r="E91" s="599" t="str">
        <f t="shared" si="10"/>
        <v>May-LisRønning</v>
      </c>
      <c r="F91" s="192">
        <f>YEAR(I$5)-_xlfn.XLOOKUP(E91,Deltakerliste!E$5:E$98,Deltakerliste!I$5:I$98)</f>
        <v>56</v>
      </c>
      <c r="G91" s="192">
        <f>_xlfn.XLOOKUP(E91,Deltakerliste!E$5:E$98,Deltakerliste!H$5:H$98)</f>
        <v>4</v>
      </c>
      <c r="H91" s="592">
        <f>VLOOKUP(F91,Deltakerliste!P$6:T$84,G91,FALSE)</f>
        <v>1.5329999999999997</v>
      </c>
      <c r="I91" s="18"/>
      <c r="J91" s="18"/>
      <c r="K91" s="18"/>
      <c r="L91" s="600"/>
      <c r="M91" s="594"/>
      <c r="N91" s="724"/>
      <c r="O91" s="596"/>
    </row>
    <row r="92" spans="2:15" ht="21" thickBot="1" x14ac:dyDescent="0.3">
      <c r="B92" s="16">
        <f t="shared" si="9"/>
        <v>83</v>
      </c>
      <c r="C92" s="193" t="s">
        <v>147</v>
      </c>
      <c r="D92" s="108" t="s">
        <v>148</v>
      </c>
      <c r="E92" s="599" t="str">
        <f t="shared" si="10"/>
        <v>ViggoSchei</v>
      </c>
      <c r="F92" s="192">
        <f>YEAR(I$5)-_xlfn.XLOOKUP(E92,Deltakerliste!E$5:E$98,Deltakerliste!I$5:I$98)</f>
        <v>75</v>
      </c>
      <c r="G92" s="192">
        <f>_xlfn.XLOOKUP(E92,Deltakerliste!E$5:E$98,Deltakerliste!H$5:H$98)</f>
        <v>2</v>
      </c>
      <c r="H92" s="592">
        <f>VLOOKUP(F92,Deltakerliste!P$6:T$84,G92,FALSE)</f>
        <v>1.605</v>
      </c>
      <c r="I92" s="18"/>
      <c r="J92" s="132"/>
      <c r="K92" s="18"/>
      <c r="L92" s="600"/>
      <c r="M92" s="594"/>
      <c r="N92" s="724"/>
      <c r="O92" s="596"/>
    </row>
    <row r="93" spans="2:15" ht="21" thickBot="1" x14ac:dyDescent="0.3">
      <c r="B93" s="16">
        <f t="shared" si="9"/>
        <v>84</v>
      </c>
      <c r="C93" s="193" t="s">
        <v>153</v>
      </c>
      <c r="D93" s="108" t="s">
        <v>154</v>
      </c>
      <c r="E93" s="599" t="str">
        <f t="shared" si="10"/>
        <v>ReidunSmaavik</v>
      </c>
      <c r="F93" s="192">
        <f>YEAR(I$5)-_xlfn.XLOOKUP(E93,Deltakerliste!E$5:E$98,Deltakerliste!I$5:I$98)</f>
        <v>71</v>
      </c>
      <c r="G93" s="192">
        <f>_xlfn.XLOOKUP(E93,Deltakerliste!E$5:E$98,Deltakerliste!H$5:H$98)</f>
        <v>4</v>
      </c>
      <c r="H93" s="592">
        <f>VLOOKUP(F93,Deltakerliste!P$6:T$84,G93,FALSE)</f>
        <v>1.9926000000000013</v>
      </c>
      <c r="I93" s="132"/>
      <c r="J93" s="18"/>
      <c r="K93" s="18"/>
      <c r="L93" s="600"/>
      <c r="M93" s="594"/>
      <c r="N93" s="724"/>
      <c r="O93" s="596"/>
    </row>
    <row r="94" spans="2:15" ht="21" thickBot="1" x14ac:dyDescent="0.3">
      <c r="B94" s="16">
        <f t="shared" si="9"/>
        <v>85</v>
      </c>
      <c r="C94" s="193" t="s">
        <v>155</v>
      </c>
      <c r="D94" s="108" t="s">
        <v>156</v>
      </c>
      <c r="E94" s="599" t="str">
        <f t="shared" si="10"/>
        <v>KjellrunSporild</v>
      </c>
      <c r="F94" s="192">
        <f>YEAR(I$5)-_xlfn.XLOOKUP(E94,Deltakerliste!E$5:E$98,Deltakerliste!I$5:I$98)</f>
        <v>71</v>
      </c>
      <c r="G94" s="192">
        <f>_xlfn.XLOOKUP(E94,Deltakerliste!E$5:E$98,Deltakerliste!H$5:H$98)</f>
        <v>4</v>
      </c>
      <c r="H94" s="592">
        <f>VLOOKUP(F94,Deltakerliste!P$6:T$84,G94,FALSE)</f>
        <v>1.9926000000000013</v>
      </c>
      <c r="I94" s="18"/>
      <c r="J94" s="132"/>
      <c r="K94" s="18"/>
      <c r="L94" s="600"/>
      <c r="M94" s="594"/>
      <c r="N94" s="724"/>
      <c r="O94" s="596"/>
    </row>
    <row r="95" spans="2:15" ht="21" thickBot="1" x14ac:dyDescent="0.3">
      <c r="B95" s="16">
        <f t="shared" si="9"/>
        <v>86</v>
      </c>
      <c r="C95" s="193" t="s">
        <v>232</v>
      </c>
      <c r="D95" s="133" t="s">
        <v>231</v>
      </c>
      <c r="E95" s="599" t="str">
        <f t="shared" si="10"/>
        <v>BeritSunnset</v>
      </c>
      <c r="F95" s="192">
        <f>YEAR(I$5)-_xlfn.XLOOKUP(E95,Deltakerliste!E$5:E$98,Deltakerliste!I$5:I$98)</f>
        <v>63</v>
      </c>
      <c r="G95" s="192">
        <f>_xlfn.XLOOKUP(E95,Deltakerliste!E$5:E$98,Deltakerliste!H$5:H$98)</f>
        <v>4</v>
      </c>
      <c r="H95" s="592">
        <f>VLOOKUP(F95,Deltakerliste!P$6:T$84,G95,FALSE)</f>
        <v>1.7126000000000006</v>
      </c>
      <c r="I95" s="18"/>
      <c r="J95" s="18"/>
      <c r="K95" s="18"/>
      <c r="L95" s="600"/>
      <c r="M95" s="594"/>
      <c r="N95" s="724"/>
      <c r="O95" s="596"/>
    </row>
    <row r="96" spans="2:15" ht="21" thickBot="1" x14ac:dyDescent="0.3">
      <c r="B96" s="16">
        <f t="shared" si="9"/>
        <v>87</v>
      </c>
      <c r="C96" s="193" t="s">
        <v>230</v>
      </c>
      <c r="D96" s="108" t="s">
        <v>231</v>
      </c>
      <c r="E96" s="599" t="str">
        <f t="shared" si="10"/>
        <v>TrineSunnset</v>
      </c>
      <c r="F96" s="192">
        <f>YEAR(I$5)-_xlfn.XLOOKUP(E96,Deltakerliste!E$5:E$98,Deltakerliste!I$5:I$98)</f>
        <v>63</v>
      </c>
      <c r="G96" s="192">
        <f>_xlfn.XLOOKUP(E96,Deltakerliste!E$5:E$98,Deltakerliste!H$5:H$98)</f>
        <v>4</v>
      </c>
      <c r="H96" s="592">
        <f>VLOOKUP(F96,Deltakerliste!P$6:T$84,G96,FALSE)</f>
        <v>1.7126000000000006</v>
      </c>
      <c r="I96" s="18"/>
      <c r="J96" s="18"/>
      <c r="K96" s="18"/>
      <c r="L96" s="725"/>
      <c r="M96" s="717"/>
      <c r="N96" s="726"/>
      <c r="O96" s="719"/>
    </row>
    <row r="100" spans="4:11" ht="17" thickBot="1" x14ac:dyDescent="0.25"/>
    <row r="101" spans="4:11" ht="21" thickTop="1" thickBot="1" x14ac:dyDescent="0.3">
      <c r="D101" s="646" t="s">
        <v>288</v>
      </c>
      <c r="E101" s="647"/>
      <c r="F101" s="666"/>
      <c r="G101" s="666"/>
      <c r="H101" s="666"/>
      <c r="I101" s="648" t="s">
        <v>195</v>
      </c>
      <c r="J101" s="648" t="s">
        <v>196</v>
      </c>
      <c r="K101" s="649" t="s">
        <v>197</v>
      </c>
    </row>
    <row r="102" spans="4:11" ht="20" x14ac:dyDescent="0.25">
      <c r="D102" s="634" t="s">
        <v>172</v>
      </c>
      <c r="E102" s="320"/>
      <c r="F102" s="208"/>
      <c r="G102" s="208"/>
      <c r="H102" s="208"/>
      <c r="I102" s="635">
        <f>COUNT(I10:I97)+COUNTIF(I10:I97,"Brutt")+COUNTIF(I10:I97,"Disk")+COUNTIF(I10:I97,"(*)")</f>
        <v>20</v>
      </c>
      <c r="J102" s="635">
        <f>COUNT(J10:J97)+COUNTIF(J10:J97,"Brutt")+COUNTIF(J10:J97,"Disk")+COUNTIF(J10:J97,"(*)")</f>
        <v>25</v>
      </c>
      <c r="K102" s="636">
        <f>I102+J102</f>
        <v>45</v>
      </c>
    </row>
    <row r="103" spans="4:11" ht="19" x14ac:dyDescent="0.25">
      <c r="D103" s="637" t="s">
        <v>174</v>
      </c>
      <c r="E103" s="320"/>
      <c r="F103" s="208"/>
      <c r="G103" s="208"/>
      <c r="H103" s="208"/>
      <c r="I103" s="635">
        <f>COUNT(I10:I97)</f>
        <v>19</v>
      </c>
      <c r="J103" s="635">
        <f>COUNT(J10:J97)</f>
        <v>25</v>
      </c>
      <c r="K103" s="636">
        <f t="shared" ref="K103" si="11">I103+J103</f>
        <v>44</v>
      </c>
    </row>
    <row r="104" spans="4:11" ht="19" x14ac:dyDescent="0.25">
      <c r="D104" s="637" t="s">
        <v>173</v>
      </c>
      <c r="E104" s="320"/>
      <c r="F104" s="208"/>
      <c r="G104" s="208"/>
      <c r="H104" s="208"/>
      <c r="I104" s="208"/>
      <c r="J104" s="208"/>
      <c r="K104" s="636">
        <f>K102+COUNTIF(L10:L97,"Arr")+COUNTIF(L10:L97,"Løype")</f>
        <v>49</v>
      </c>
    </row>
    <row r="105" spans="4:11" ht="19" x14ac:dyDescent="0.25">
      <c r="D105" s="637" t="s">
        <v>341</v>
      </c>
      <c r="E105" s="320"/>
      <c r="F105" s="208"/>
      <c r="G105" s="208"/>
      <c r="H105" s="208"/>
      <c r="I105" s="208"/>
      <c r="J105" s="208"/>
      <c r="K105" s="638">
        <f>IF(SUM(L10:L97)=0," ",AVERAGEIF(M10:M97,"&gt;0",F10:F97))</f>
        <v>76.061224489795919</v>
      </c>
    </row>
    <row r="106" spans="4:11" ht="19" x14ac:dyDescent="0.25">
      <c r="D106" s="637" t="s">
        <v>296</v>
      </c>
      <c r="E106" s="320"/>
      <c r="F106" s="208"/>
      <c r="G106" s="208"/>
      <c r="H106" s="208"/>
      <c r="I106" s="208"/>
      <c r="J106" s="208"/>
      <c r="K106" s="638">
        <f>AVERAGE(I8:J8)</f>
        <v>2.6500000000000004</v>
      </c>
    </row>
    <row r="107" spans="4:11" ht="19" x14ac:dyDescent="0.25">
      <c r="D107" s="637" t="s">
        <v>176</v>
      </c>
      <c r="E107" s="320"/>
      <c r="F107" s="208"/>
      <c r="G107" s="208"/>
      <c r="H107" s="208"/>
      <c r="I107" s="112">
        <f>I8*I103</f>
        <v>41.800000000000004</v>
      </c>
      <c r="J107" s="112">
        <f>J8*J103</f>
        <v>77.5</v>
      </c>
      <c r="K107" s="638">
        <f>I107+J107</f>
        <v>119.30000000000001</v>
      </c>
    </row>
    <row r="108" spans="4:11" ht="19" x14ac:dyDescent="0.25">
      <c r="D108" s="639" t="s">
        <v>286</v>
      </c>
      <c r="E108" s="320"/>
      <c r="F108" s="208"/>
      <c r="G108" s="208"/>
      <c r="H108" s="208"/>
      <c r="I108" s="103">
        <f>IF(SUM(I10:I97)=0," ",AVERAGE(I10:I97))</f>
        <v>2.0937500000000001E-2</v>
      </c>
      <c r="J108" s="103">
        <f>IF(SUM(J10:J97)=0," ",AVERAGE(J10:J97))</f>
        <v>2.0415740740740741E-2</v>
      </c>
      <c r="K108" s="640">
        <f>IF(SUM(I10:J97)=0," ",AVERAGE(I10:J97))</f>
        <v>2.0641045875420875E-2</v>
      </c>
    </row>
    <row r="109" spans="4:11" ht="20" thickBot="1" x14ac:dyDescent="0.3">
      <c r="D109" s="641" t="s">
        <v>287</v>
      </c>
      <c r="E109" s="642"/>
      <c r="F109" s="644"/>
      <c r="G109" s="644"/>
      <c r="H109" s="644"/>
      <c r="I109" s="643"/>
      <c r="J109" s="644"/>
      <c r="K109" s="645">
        <f>MIN(L10:L97)</f>
        <v>5.324074074074074E-3</v>
      </c>
    </row>
    <row r="110" spans="4:11" ht="17" thickTop="1" x14ac:dyDescent="0.2"/>
  </sheetData>
  <autoFilter ref="C9:O96" xr:uid="{3C1180F1-A5C2-4E45-BB34-925B9A631EC6}">
    <sortState xmlns:xlrd2="http://schemas.microsoft.com/office/spreadsheetml/2017/richdata2" ref="C10:O96">
      <sortCondition ref="N9:N96"/>
    </sortState>
  </autoFilter>
  <mergeCells count="3">
    <mergeCell ref="W7:X7"/>
    <mergeCell ref="S8:U8"/>
    <mergeCell ref="W8:X8"/>
  </mergeCells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A9B52-8A63-3842-983E-6EB17F4E7538}">
  <sheetPr>
    <tabColor theme="4"/>
    <pageSetUpPr fitToPage="1"/>
  </sheetPr>
  <dimension ref="B2:T98"/>
  <sheetViews>
    <sheetView topLeftCell="A15" workbookViewId="0">
      <selection activeCell="I42" sqref="I42"/>
    </sheetView>
  </sheetViews>
  <sheetFormatPr baseColWidth="10" defaultColWidth="10.83203125" defaultRowHeight="16" x14ac:dyDescent="0.2"/>
  <cols>
    <col min="3" max="3" width="21.6640625" customWidth="1"/>
    <col min="4" max="4" width="29" customWidth="1"/>
    <col min="5" max="5" width="26.1640625" customWidth="1"/>
    <col min="6" max="6" width="12" customWidth="1"/>
    <col min="7" max="10" width="12" style="15" customWidth="1"/>
    <col min="11" max="11" width="12" customWidth="1"/>
    <col min="12" max="14" width="32.5" customWidth="1"/>
    <col min="17" max="17" width="11.83203125" bestFit="1" customWidth="1"/>
    <col min="19" max="19" width="11.83203125" customWidth="1"/>
  </cols>
  <sheetData>
    <row r="2" spans="2:20" ht="7" customHeight="1" thickBot="1" x14ac:dyDescent="0.25"/>
    <row r="3" spans="2:20" ht="35" customHeight="1" thickTop="1" thickBot="1" x14ac:dyDescent="0.35">
      <c r="B3" s="115" t="s">
        <v>188</v>
      </c>
      <c r="C3" s="113"/>
      <c r="D3" s="114"/>
      <c r="E3" s="113"/>
      <c r="F3" s="116" t="s">
        <v>189</v>
      </c>
      <c r="G3" s="582"/>
      <c r="H3" s="582"/>
      <c r="I3" s="582"/>
      <c r="J3" s="582"/>
      <c r="K3" s="116"/>
      <c r="L3" s="116"/>
      <c r="M3" s="129"/>
      <c r="N3" s="130"/>
      <c r="P3" s="382" t="s">
        <v>291</v>
      </c>
      <c r="Q3" s="907"/>
      <c r="R3" s="908"/>
      <c r="S3" s="388">
        <f ca="1">TODAY()</f>
        <v>46133</v>
      </c>
      <c r="T3" s="383"/>
    </row>
    <row r="4" spans="2:20" ht="53" customHeight="1" thickTop="1" thickBot="1" x14ac:dyDescent="0.35">
      <c r="B4" s="104"/>
      <c r="C4" s="117" t="s">
        <v>57</v>
      </c>
      <c r="D4" s="118" t="s">
        <v>58</v>
      </c>
      <c r="E4" s="127"/>
      <c r="F4" s="127" t="s">
        <v>59</v>
      </c>
      <c r="G4" s="127" t="s">
        <v>281</v>
      </c>
      <c r="H4" s="127"/>
      <c r="I4" s="127" t="s">
        <v>233</v>
      </c>
      <c r="J4" s="127" t="s">
        <v>234</v>
      </c>
      <c r="K4" s="380" t="s">
        <v>235</v>
      </c>
      <c r="L4" s="128" t="s">
        <v>190</v>
      </c>
      <c r="M4" s="118" t="s">
        <v>191</v>
      </c>
      <c r="N4" s="131" t="s">
        <v>192</v>
      </c>
      <c r="P4" s="382" t="s">
        <v>236</v>
      </c>
      <c r="Q4" s="384"/>
      <c r="R4" s="384"/>
      <c r="S4" s="384"/>
      <c r="T4" s="385"/>
    </row>
    <row r="5" spans="2:20" ht="28" customHeight="1" thickBot="1" x14ac:dyDescent="0.35">
      <c r="B5" s="126">
        <v>1</v>
      </c>
      <c r="C5" s="119" t="s">
        <v>60</v>
      </c>
      <c r="D5" s="120" t="s">
        <v>61</v>
      </c>
      <c r="E5" s="120" t="str">
        <f t="shared" ref="E5:E44" si="0">_xlfn.CONCAT(C5:D5)</f>
        <v>JosteinAlvestad</v>
      </c>
      <c r="F5" s="381">
        <v>527355</v>
      </c>
      <c r="G5" s="584" t="s">
        <v>283</v>
      </c>
      <c r="H5" s="587">
        <f t="shared" ref="H5:H44" si="1">IF(G5="H",2,4)</f>
        <v>2</v>
      </c>
      <c r="I5" s="584">
        <v>1955</v>
      </c>
      <c r="J5" s="590">
        <f t="shared" ref="J5:J6" ca="1" si="2">YEAR(S$3)-I5</f>
        <v>71</v>
      </c>
      <c r="K5" s="589">
        <f t="shared" ref="K5:K38" ca="1" si="3">VLOOKUP(J5,P$6:T$84,H5,FALSE)</f>
        <v>1.4609999999999999</v>
      </c>
      <c r="L5" s="588"/>
      <c r="M5" s="121"/>
      <c r="N5" s="11"/>
      <c r="P5" s="386"/>
      <c r="Q5" s="383" t="s">
        <v>237</v>
      </c>
      <c r="R5" s="383" t="s">
        <v>238</v>
      </c>
      <c r="S5" s="383" t="s">
        <v>239</v>
      </c>
      <c r="T5" s="387" t="s">
        <v>238</v>
      </c>
    </row>
    <row r="6" spans="2:20" ht="28" customHeight="1" thickBot="1" x14ac:dyDescent="0.35">
      <c r="B6" s="126">
        <f t="shared" ref="B6:B59" si="4">B5+1</f>
        <v>2</v>
      </c>
      <c r="C6" s="119" t="s">
        <v>414</v>
      </c>
      <c r="D6" s="120" t="s">
        <v>415</v>
      </c>
      <c r="E6" s="120" t="str">
        <f t="shared" si="0"/>
        <v>HåkonArnesen</v>
      </c>
      <c r="F6" s="905">
        <v>526050</v>
      </c>
      <c r="G6" s="584" t="s">
        <v>283</v>
      </c>
      <c r="H6" s="587">
        <f t="shared" si="1"/>
        <v>2</v>
      </c>
      <c r="I6" s="584">
        <v>1962</v>
      </c>
      <c r="J6" s="590">
        <f t="shared" ca="1" si="2"/>
        <v>64</v>
      </c>
      <c r="K6" s="589">
        <f t="shared" ref="K6" ca="1" si="5">VLOOKUP(J6,P$6:T$84,H6,FALSE)</f>
        <v>1.2759999999999998</v>
      </c>
      <c r="L6" s="906"/>
      <c r="M6" s="121"/>
      <c r="N6" s="11"/>
      <c r="P6" s="570">
        <v>16</v>
      </c>
      <c r="Q6" s="571">
        <v>1.0201999591920017</v>
      </c>
      <c r="R6" s="572">
        <v>-1.2338640909397292E-2</v>
      </c>
      <c r="S6" s="571">
        <v>1.3080578512396694</v>
      </c>
      <c r="T6" s="574">
        <v>-1.6797688638043429E-2</v>
      </c>
    </row>
    <row r="7" spans="2:20" ht="28" customHeight="1" thickBot="1" x14ac:dyDescent="0.35">
      <c r="B7" s="126">
        <f t="shared" si="4"/>
        <v>3</v>
      </c>
      <c r="C7" s="119" t="s">
        <v>64</v>
      </c>
      <c r="D7" s="120" t="s">
        <v>65</v>
      </c>
      <c r="E7" s="120" t="str">
        <f t="shared" si="0"/>
        <v>BjørnBerger</v>
      </c>
      <c r="F7" s="441">
        <v>538717</v>
      </c>
      <c r="G7" s="584" t="s">
        <v>283</v>
      </c>
      <c r="H7" s="587">
        <f t="shared" si="1"/>
        <v>2</v>
      </c>
      <c r="I7" s="585">
        <v>1951</v>
      </c>
      <c r="J7" s="590">
        <f t="shared" ref="J7:J45" ca="1" si="6">YEAR(S$3)-I7</f>
        <v>75</v>
      </c>
      <c r="K7" s="589">
        <f t="shared" ca="1" si="3"/>
        <v>1.605</v>
      </c>
      <c r="L7" s="440"/>
      <c r="M7" s="121"/>
      <c r="N7" s="11"/>
      <c r="P7" s="570">
        <v>17</v>
      </c>
      <c r="Q7" s="571">
        <v>1.0078613182826044</v>
      </c>
      <c r="R7" s="572">
        <v>-7.461158218578845E-3</v>
      </c>
      <c r="S7" s="571">
        <v>1.291260162601626</v>
      </c>
      <c r="T7" s="574">
        <v>-1.2244098344597942E-2</v>
      </c>
    </row>
    <row r="8" spans="2:20" ht="28" customHeight="1" thickBot="1" x14ac:dyDescent="0.35">
      <c r="B8" s="126">
        <f t="shared" si="4"/>
        <v>4</v>
      </c>
      <c r="C8" s="119" t="s">
        <v>66</v>
      </c>
      <c r="D8" s="120" t="s">
        <v>67</v>
      </c>
      <c r="E8" s="120" t="str">
        <f t="shared" si="0"/>
        <v>FrankBjarkø</v>
      </c>
      <c r="F8" s="441">
        <v>245284</v>
      </c>
      <c r="G8" s="584" t="s">
        <v>283</v>
      </c>
      <c r="H8" s="587">
        <f t="shared" si="1"/>
        <v>2</v>
      </c>
      <c r="I8" s="585">
        <v>1952</v>
      </c>
      <c r="J8" s="590">
        <f t="shared" ca="1" si="6"/>
        <v>74</v>
      </c>
      <c r="K8" s="589">
        <f t="shared" ca="1" si="3"/>
        <v>1.569</v>
      </c>
      <c r="L8" s="441"/>
      <c r="M8" s="122"/>
      <c r="N8" s="11"/>
      <c r="P8" s="570">
        <v>18</v>
      </c>
      <c r="Q8" s="571">
        <v>1.0004001600640255</v>
      </c>
      <c r="R8" s="572">
        <v>-4.0016006402554538E-4</v>
      </c>
      <c r="S8" s="571">
        <v>1.2790160642570281</v>
      </c>
      <c r="T8" s="574">
        <v>-4.0160642570281624E-3</v>
      </c>
    </row>
    <row r="9" spans="2:20" ht="28" customHeight="1" thickBot="1" x14ac:dyDescent="0.35">
      <c r="B9" s="126">
        <f t="shared" si="4"/>
        <v>5</v>
      </c>
      <c r="C9" s="119" t="s">
        <v>364</v>
      </c>
      <c r="D9" s="120" t="s">
        <v>365</v>
      </c>
      <c r="E9" s="120" t="str">
        <f t="shared" si="0"/>
        <v>GerdBjørset</v>
      </c>
      <c r="F9" s="441">
        <v>528322</v>
      </c>
      <c r="G9" s="584" t="s">
        <v>282</v>
      </c>
      <c r="H9" s="587">
        <f t="shared" si="1"/>
        <v>4</v>
      </c>
      <c r="I9" s="585">
        <v>1954</v>
      </c>
      <c r="J9" s="590">
        <f t="shared" ca="1" si="6"/>
        <v>72</v>
      </c>
      <c r="K9" s="589">
        <f t="shared" ca="1" si="3"/>
        <v>2.0362000000000013</v>
      </c>
      <c r="L9" s="441"/>
      <c r="M9" s="122"/>
      <c r="N9" s="11"/>
      <c r="P9" s="570">
        <v>19</v>
      </c>
      <c r="Q9" s="571">
        <v>1</v>
      </c>
      <c r="R9" s="572">
        <v>0</v>
      </c>
      <c r="S9" s="572">
        <v>1.2749999999999999</v>
      </c>
      <c r="T9" s="574">
        <v>0</v>
      </c>
    </row>
    <row r="10" spans="2:20" ht="28" customHeight="1" thickBot="1" x14ac:dyDescent="0.35">
      <c r="B10" s="126">
        <f t="shared" si="4"/>
        <v>6</v>
      </c>
      <c r="C10" s="119" t="s">
        <v>417</v>
      </c>
      <c r="D10" s="120" t="s">
        <v>267</v>
      </c>
      <c r="E10" s="120" t="str">
        <f t="shared" si="0"/>
        <v>Anne LiseBrenne</v>
      </c>
      <c r="F10" s="441">
        <v>535184</v>
      </c>
      <c r="G10" s="584" t="s">
        <v>282</v>
      </c>
      <c r="H10" s="587">
        <f t="shared" si="1"/>
        <v>4</v>
      </c>
      <c r="I10" s="585">
        <v>1947</v>
      </c>
      <c r="J10" s="590">
        <f t="shared" ca="1" si="6"/>
        <v>79</v>
      </c>
      <c r="K10" s="589">
        <f t="shared" ca="1" si="3"/>
        <v>2.3974000000000011</v>
      </c>
      <c r="L10" s="441"/>
      <c r="M10" s="122"/>
      <c r="N10" s="11"/>
      <c r="P10" s="570">
        <v>20</v>
      </c>
      <c r="Q10" s="571">
        <v>1</v>
      </c>
      <c r="R10" s="572">
        <v>0</v>
      </c>
      <c r="S10" s="572">
        <v>1.2749999999999999</v>
      </c>
      <c r="T10" s="574">
        <v>0</v>
      </c>
    </row>
    <row r="11" spans="2:20" ht="28" customHeight="1" thickBot="1" x14ac:dyDescent="0.35">
      <c r="B11" s="126">
        <f t="shared" si="4"/>
        <v>7</v>
      </c>
      <c r="C11" s="119" t="s">
        <v>64</v>
      </c>
      <c r="D11" s="120" t="s">
        <v>267</v>
      </c>
      <c r="E11" s="120" t="str">
        <f t="shared" si="0"/>
        <v>BjørnBrenne</v>
      </c>
      <c r="F11" s="441">
        <v>533301</v>
      </c>
      <c r="G11" s="584" t="s">
        <v>283</v>
      </c>
      <c r="H11" s="587">
        <f t="shared" si="1"/>
        <v>2</v>
      </c>
      <c r="I11" s="585">
        <v>1945</v>
      </c>
      <c r="J11" s="590">
        <f t="shared" ca="1" si="6"/>
        <v>81</v>
      </c>
      <c r="K11" s="589">
        <f t="shared" ca="1" si="3"/>
        <v>1.9290000000000003</v>
      </c>
      <c r="L11" s="441"/>
      <c r="M11" s="122"/>
      <c r="N11" s="11"/>
      <c r="P11" s="570">
        <f>P10+1</f>
        <v>21</v>
      </c>
      <c r="Q11" s="571">
        <v>1</v>
      </c>
      <c r="R11" s="572">
        <v>0</v>
      </c>
      <c r="S11" s="572">
        <v>1.2749999999999999</v>
      </c>
      <c r="T11" s="574">
        <v>0</v>
      </c>
    </row>
    <row r="12" spans="2:20" ht="28" customHeight="1" thickBot="1" x14ac:dyDescent="0.35">
      <c r="B12" s="126">
        <f t="shared" si="4"/>
        <v>8</v>
      </c>
      <c r="C12" s="119" t="s">
        <v>68</v>
      </c>
      <c r="D12" s="120" t="s">
        <v>69</v>
      </c>
      <c r="E12" s="120" t="str">
        <f t="shared" si="0"/>
        <v>JanBøhle</v>
      </c>
      <c r="F12" s="441">
        <v>520741</v>
      </c>
      <c r="G12" s="584" t="s">
        <v>283</v>
      </c>
      <c r="H12" s="587">
        <f t="shared" si="1"/>
        <v>2</v>
      </c>
      <c r="I12" s="585">
        <v>1952</v>
      </c>
      <c r="J12" s="590">
        <f t="shared" ca="1" si="6"/>
        <v>74</v>
      </c>
      <c r="K12" s="589">
        <f t="shared" ca="1" si="3"/>
        <v>1.569</v>
      </c>
      <c r="L12" s="441"/>
      <c r="M12" s="122"/>
      <c r="N12" s="11"/>
      <c r="P12" s="570">
        <f t="shared" ref="P12:P75" si="7">P11+1</f>
        <v>22</v>
      </c>
      <c r="Q12" s="571">
        <v>1</v>
      </c>
      <c r="R12" s="572">
        <v>0</v>
      </c>
      <c r="S12" s="572">
        <v>1.2749999999999999</v>
      </c>
      <c r="T12" s="574">
        <v>0</v>
      </c>
    </row>
    <row r="13" spans="2:20" ht="28" customHeight="1" thickBot="1" x14ac:dyDescent="0.35">
      <c r="B13" s="126">
        <f t="shared" si="4"/>
        <v>9</v>
      </c>
      <c r="C13" s="119" t="s">
        <v>342</v>
      </c>
      <c r="D13" s="120" t="s">
        <v>388</v>
      </c>
      <c r="E13" s="120" t="str">
        <f t="shared" si="0"/>
        <v>ArildClausen</v>
      </c>
      <c r="F13" s="441">
        <v>274127</v>
      </c>
      <c r="G13" s="584" t="s">
        <v>283</v>
      </c>
      <c r="H13" s="587">
        <f t="shared" si="1"/>
        <v>2</v>
      </c>
      <c r="I13" s="585">
        <v>1968</v>
      </c>
      <c r="J13" s="590">
        <f t="shared" ca="1" si="6"/>
        <v>58</v>
      </c>
      <c r="K13" s="589">
        <f t="shared" ca="1" si="3"/>
        <v>1.1720000000000002</v>
      </c>
      <c r="L13" s="441"/>
      <c r="M13" s="122"/>
      <c r="N13" s="11"/>
      <c r="P13" s="570">
        <f t="shared" si="7"/>
        <v>23</v>
      </c>
      <c r="Q13" s="571">
        <v>1</v>
      </c>
      <c r="R13" s="572">
        <v>0</v>
      </c>
      <c r="S13" s="572">
        <v>1.2749999999999999</v>
      </c>
      <c r="T13" s="574">
        <v>0</v>
      </c>
    </row>
    <row r="14" spans="2:20" ht="28" customHeight="1" thickBot="1" x14ac:dyDescent="0.35">
      <c r="B14" s="126">
        <f t="shared" si="4"/>
        <v>10</v>
      </c>
      <c r="C14" s="119" t="s">
        <v>70</v>
      </c>
      <c r="D14" s="120" t="s">
        <v>71</v>
      </c>
      <c r="E14" s="120" t="str">
        <f t="shared" si="0"/>
        <v>TrondDamås</v>
      </c>
      <c r="F14" s="441">
        <v>520732</v>
      </c>
      <c r="G14" s="584" t="s">
        <v>283</v>
      </c>
      <c r="H14" s="587">
        <f t="shared" si="1"/>
        <v>2</v>
      </c>
      <c r="I14" s="585">
        <v>1950</v>
      </c>
      <c r="J14" s="590">
        <f t="shared" ca="1" si="6"/>
        <v>76</v>
      </c>
      <c r="K14" s="589">
        <f t="shared" ca="1" si="3"/>
        <v>1.655</v>
      </c>
      <c r="L14" s="441"/>
      <c r="M14" s="122"/>
      <c r="N14" s="11"/>
      <c r="P14" s="570">
        <f t="shared" si="7"/>
        <v>24</v>
      </c>
      <c r="Q14" s="571">
        <v>1</v>
      </c>
      <c r="R14" s="572">
        <v>0</v>
      </c>
      <c r="S14" s="572">
        <v>1.2749999999999999</v>
      </c>
      <c r="T14" s="574">
        <v>0</v>
      </c>
    </row>
    <row r="15" spans="2:20" ht="28" customHeight="1" thickBot="1" x14ac:dyDescent="0.35">
      <c r="B15" s="126">
        <f t="shared" si="4"/>
        <v>11</v>
      </c>
      <c r="C15" s="119" t="s">
        <v>72</v>
      </c>
      <c r="D15" s="120" t="s">
        <v>73</v>
      </c>
      <c r="E15" s="120" t="str">
        <f t="shared" si="0"/>
        <v>KåreEggereide</v>
      </c>
      <c r="F15" s="441">
        <v>531342</v>
      </c>
      <c r="G15" s="584" t="s">
        <v>283</v>
      </c>
      <c r="H15" s="587">
        <f t="shared" si="1"/>
        <v>2</v>
      </c>
      <c r="I15" s="585">
        <v>1951</v>
      </c>
      <c r="J15" s="590">
        <f t="shared" ca="1" si="6"/>
        <v>75</v>
      </c>
      <c r="K15" s="589">
        <f t="shared" ca="1" si="3"/>
        <v>1.605</v>
      </c>
      <c r="L15" s="441"/>
      <c r="M15" s="122"/>
      <c r="N15" s="11"/>
      <c r="P15" s="570">
        <f t="shared" si="7"/>
        <v>25</v>
      </c>
      <c r="Q15" s="571">
        <v>1</v>
      </c>
      <c r="R15" s="572">
        <v>0</v>
      </c>
      <c r="S15" s="572">
        <v>1.2749999999999999</v>
      </c>
      <c r="T15" s="574">
        <v>0</v>
      </c>
    </row>
    <row r="16" spans="2:20" ht="28" customHeight="1" thickBot="1" x14ac:dyDescent="0.35">
      <c r="B16" s="126">
        <f t="shared" si="4"/>
        <v>12</v>
      </c>
      <c r="C16" s="119" t="s">
        <v>74</v>
      </c>
      <c r="D16" s="120" t="s">
        <v>75</v>
      </c>
      <c r="E16" s="120" t="str">
        <f t="shared" si="0"/>
        <v>StinaElfving</v>
      </c>
      <c r="F16" s="441">
        <v>269212</v>
      </c>
      <c r="G16" s="584" t="s">
        <v>282</v>
      </c>
      <c r="H16" s="587">
        <f t="shared" si="1"/>
        <v>4</v>
      </c>
      <c r="I16" s="585">
        <v>1950</v>
      </c>
      <c r="J16" s="590">
        <f t="shared" ca="1" si="6"/>
        <v>76</v>
      </c>
      <c r="K16" s="589">
        <f t="shared" ca="1" si="3"/>
        <v>2.2246000000000015</v>
      </c>
      <c r="L16" s="441"/>
      <c r="M16" s="122"/>
      <c r="N16" s="11"/>
      <c r="P16" s="570">
        <f t="shared" si="7"/>
        <v>26</v>
      </c>
      <c r="Q16" s="571">
        <v>1</v>
      </c>
      <c r="R16" s="572">
        <v>0</v>
      </c>
      <c r="S16" s="572">
        <v>1.2749999999999999</v>
      </c>
      <c r="T16" s="574">
        <v>0</v>
      </c>
    </row>
    <row r="17" spans="2:20" ht="28" customHeight="1" thickBot="1" x14ac:dyDescent="0.35">
      <c r="B17" s="126">
        <f t="shared" si="4"/>
        <v>13</v>
      </c>
      <c r="C17" s="119" t="s">
        <v>76</v>
      </c>
      <c r="D17" s="120" t="s">
        <v>77</v>
      </c>
      <c r="E17" s="120" t="str">
        <f t="shared" si="0"/>
        <v>ReinoldEllingsen</v>
      </c>
      <c r="F17" s="441">
        <v>538678</v>
      </c>
      <c r="G17" s="584" t="s">
        <v>283</v>
      </c>
      <c r="H17" s="587">
        <f t="shared" si="1"/>
        <v>2</v>
      </c>
      <c r="I17" s="585">
        <v>1951</v>
      </c>
      <c r="J17" s="590">
        <f t="shared" ca="1" si="6"/>
        <v>75</v>
      </c>
      <c r="K17" s="589">
        <f t="shared" ca="1" si="3"/>
        <v>1.605</v>
      </c>
      <c r="L17" s="441"/>
      <c r="M17" s="122"/>
      <c r="N17" s="11"/>
      <c r="P17" s="570">
        <f t="shared" si="7"/>
        <v>27</v>
      </c>
      <c r="Q17" s="571">
        <v>1</v>
      </c>
      <c r="R17" s="572">
        <v>0</v>
      </c>
      <c r="S17" s="572">
        <v>1.2749999999999999</v>
      </c>
      <c r="T17" s="574">
        <v>0</v>
      </c>
    </row>
    <row r="18" spans="2:20" ht="28" customHeight="1" thickBot="1" x14ac:dyDescent="0.35">
      <c r="B18" s="126">
        <f t="shared" si="4"/>
        <v>14</v>
      </c>
      <c r="C18" s="119" t="s">
        <v>216</v>
      </c>
      <c r="D18" s="120" t="s">
        <v>77</v>
      </c>
      <c r="E18" s="120" t="str">
        <f t="shared" si="0"/>
        <v>Åse RitaEllingsen</v>
      </c>
      <c r="F18" s="441">
        <v>533107</v>
      </c>
      <c r="G18" s="584" t="s">
        <v>282</v>
      </c>
      <c r="H18" s="587">
        <f t="shared" si="1"/>
        <v>4</v>
      </c>
      <c r="I18" s="585">
        <v>1964</v>
      </c>
      <c r="J18" s="590">
        <f t="shared" ca="1" si="6"/>
        <v>62</v>
      </c>
      <c r="K18" s="589">
        <f t="shared" ca="1" si="3"/>
        <v>1.6834000000000005</v>
      </c>
      <c r="L18" s="441"/>
      <c r="M18" s="122"/>
      <c r="N18" s="11"/>
      <c r="P18" s="570">
        <f t="shared" si="7"/>
        <v>28</v>
      </c>
      <c r="Q18" s="571">
        <v>1</v>
      </c>
      <c r="R18" s="572">
        <v>0</v>
      </c>
      <c r="S18" s="572">
        <v>1.2749999999999999</v>
      </c>
      <c r="T18" s="574">
        <v>0</v>
      </c>
    </row>
    <row r="19" spans="2:20" ht="28" customHeight="1" thickBot="1" x14ac:dyDescent="0.35">
      <c r="B19" s="126">
        <f t="shared" si="4"/>
        <v>15</v>
      </c>
      <c r="C19" s="119" t="s">
        <v>78</v>
      </c>
      <c r="D19" s="120" t="s">
        <v>79</v>
      </c>
      <c r="E19" s="120" t="str">
        <f t="shared" si="0"/>
        <v>LeifEngen</v>
      </c>
      <c r="F19" s="441">
        <v>527356</v>
      </c>
      <c r="G19" s="584" t="s">
        <v>283</v>
      </c>
      <c r="H19" s="587">
        <f t="shared" si="1"/>
        <v>2</v>
      </c>
      <c r="I19" s="585">
        <v>1941</v>
      </c>
      <c r="J19" s="590">
        <f t="shared" ca="1" si="6"/>
        <v>85</v>
      </c>
      <c r="K19" s="589">
        <f t="shared" ca="1" si="3"/>
        <v>2.2249999999999996</v>
      </c>
      <c r="L19" s="441"/>
      <c r="M19" s="122"/>
      <c r="N19" s="11"/>
      <c r="P19" s="570">
        <f t="shared" si="7"/>
        <v>29</v>
      </c>
      <c r="Q19" s="571">
        <v>1</v>
      </c>
      <c r="R19" s="572">
        <v>0</v>
      </c>
      <c r="S19" s="572">
        <v>1.2749999999999999</v>
      </c>
      <c r="T19" s="574">
        <v>0</v>
      </c>
    </row>
    <row r="20" spans="2:20" ht="28" customHeight="1" thickBot="1" x14ac:dyDescent="0.35">
      <c r="B20" s="126">
        <f t="shared" si="4"/>
        <v>16</v>
      </c>
      <c r="C20" s="119" t="s">
        <v>80</v>
      </c>
      <c r="D20" s="120" t="s">
        <v>81</v>
      </c>
      <c r="E20" s="120" t="str">
        <f t="shared" si="0"/>
        <v>HalvorFlatberg</v>
      </c>
      <c r="F20" s="441">
        <v>269733</v>
      </c>
      <c r="G20" s="584" t="s">
        <v>283</v>
      </c>
      <c r="H20" s="587">
        <f t="shared" si="1"/>
        <v>2</v>
      </c>
      <c r="I20" s="585">
        <v>1946</v>
      </c>
      <c r="J20" s="590">
        <f t="shared" ca="1" si="6"/>
        <v>80</v>
      </c>
      <c r="K20" s="589">
        <f t="shared" ca="1" si="3"/>
        <v>1.8550000000000002</v>
      </c>
      <c r="L20" s="441"/>
      <c r="M20" s="122"/>
      <c r="N20" s="11"/>
      <c r="P20" s="570">
        <f t="shared" si="7"/>
        <v>30</v>
      </c>
      <c r="Q20" s="571">
        <v>1</v>
      </c>
      <c r="R20" s="572">
        <v>9.9999999999997877E-4</v>
      </c>
      <c r="S20" s="572">
        <v>1.2749999999999999</v>
      </c>
      <c r="T20" s="574">
        <v>4.0000000000000036E-3</v>
      </c>
    </row>
    <row r="21" spans="2:20" ht="28" customHeight="1" thickBot="1" x14ac:dyDescent="0.35">
      <c r="B21" s="126">
        <f t="shared" si="4"/>
        <v>17</v>
      </c>
      <c r="C21" s="119" t="s">
        <v>271</v>
      </c>
      <c r="D21" s="120" t="s">
        <v>272</v>
      </c>
      <c r="E21" s="120" t="str">
        <f t="shared" si="0"/>
        <v>Arne KjellFoldvik</v>
      </c>
      <c r="F21" s="441"/>
      <c r="G21" s="584" t="s">
        <v>283</v>
      </c>
      <c r="H21" s="587">
        <f t="shared" si="1"/>
        <v>2</v>
      </c>
      <c r="I21" s="585">
        <v>1934</v>
      </c>
      <c r="J21" s="590">
        <f t="shared" ca="1" si="6"/>
        <v>92</v>
      </c>
      <c r="K21" s="589">
        <f t="shared" ca="1" si="3"/>
        <v>2.8130000000000002</v>
      </c>
      <c r="L21" s="441"/>
      <c r="M21" s="122"/>
      <c r="N21" s="11"/>
      <c r="P21" s="570">
        <f t="shared" si="7"/>
        <v>31</v>
      </c>
      <c r="Q21" s="571">
        <f>Q20+R20</f>
        <v>1.0009999999999999</v>
      </c>
      <c r="R21" s="572">
        <v>9.9999999999997877E-4</v>
      </c>
      <c r="S21" s="571">
        <f>S20+T20</f>
        <v>1.2789999999999999</v>
      </c>
      <c r="T21" s="574">
        <v>4.0000000000000036E-3</v>
      </c>
    </row>
    <row r="22" spans="2:20" ht="28" customHeight="1" thickBot="1" x14ac:dyDescent="0.35">
      <c r="B22" s="126">
        <f t="shared" si="4"/>
        <v>18</v>
      </c>
      <c r="C22" s="119" t="s">
        <v>377</v>
      </c>
      <c r="D22" s="120" t="s">
        <v>83</v>
      </c>
      <c r="E22" s="120" t="str">
        <f t="shared" si="0"/>
        <v>HildeForbord</v>
      </c>
      <c r="F22" s="441">
        <v>533177</v>
      </c>
      <c r="G22" s="584" t="s">
        <v>282</v>
      </c>
      <c r="H22" s="587">
        <f t="shared" si="1"/>
        <v>4</v>
      </c>
      <c r="I22" s="585">
        <v>1966</v>
      </c>
      <c r="J22" s="590">
        <f t="shared" ca="1" si="6"/>
        <v>60</v>
      </c>
      <c r="K22" s="589">
        <f t="shared" ca="1" si="3"/>
        <v>1.6250000000000002</v>
      </c>
      <c r="L22" s="441"/>
      <c r="M22" s="122"/>
      <c r="N22" s="11"/>
      <c r="P22" s="570">
        <f t="shared" si="7"/>
        <v>32</v>
      </c>
      <c r="Q22" s="571">
        <f t="shared" ref="Q22:Q85" si="8">Q21+R21</f>
        <v>1.0019999999999998</v>
      </c>
      <c r="R22" s="572">
        <v>9.9999999999997877E-4</v>
      </c>
      <c r="S22" s="571">
        <f t="shared" ref="S22:S80" si="9">S21+T21</f>
        <v>1.2829999999999999</v>
      </c>
      <c r="T22" s="574">
        <v>4.0000000000000036E-3</v>
      </c>
    </row>
    <row r="23" spans="2:20" ht="28" customHeight="1" thickBot="1" x14ac:dyDescent="0.35">
      <c r="B23" s="126">
        <f t="shared" si="4"/>
        <v>19</v>
      </c>
      <c r="C23" s="119" t="s">
        <v>82</v>
      </c>
      <c r="D23" s="120" t="s">
        <v>83</v>
      </c>
      <c r="E23" s="120" t="str">
        <f t="shared" si="0"/>
        <v>RoarForbord</v>
      </c>
      <c r="F23" s="441">
        <v>517474</v>
      </c>
      <c r="G23" s="584" t="s">
        <v>283</v>
      </c>
      <c r="H23" s="587">
        <f t="shared" si="1"/>
        <v>2</v>
      </c>
      <c r="I23" s="585">
        <v>1943</v>
      </c>
      <c r="J23" s="590">
        <f t="shared" ca="1" si="6"/>
        <v>83</v>
      </c>
      <c r="K23" s="589">
        <f t="shared" ca="1" si="3"/>
        <v>2.077</v>
      </c>
      <c r="L23" s="441"/>
      <c r="M23" s="122"/>
      <c r="N23" s="11"/>
      <c r="P23" s="570">
        <f t="shared" si="7"/>
        <v>33</v>
      </c>
      <c r="Q23" s="571">
        <f t="shared" si="8"/>
        <v>1.0029999999999997</v>
      </c>
      <c r="R23" s="572">
        <v>9.9999999999997877E-4</v>
      </c>
      <c r="S23" s="571">
        <f t="shared" si="9"/>
        <v>1.2869999999999999</v>
      </c>
      <c r="T23" s="574">
        <v>4.0000000000000036E-3</v>
      </c>
    </row>
    <row r="24" spans="2:20" ht="28" customHeight="1" thickBot="1" x14ac:dyDescent="0.35">
      <c r="B24" s="126">
        <f t="shared" si="4"/>
        <v>20</v>
      </c>
      <c r="C24" s="119" t="s">
        <v>63</v>
      </c>
      <c r="D24" s="120" t="s">
        <v>336</v>
      </c>
      <c r="E24" s="120" t="str">
        <f t="shared" si="0"/>
        <v>ToreFornes</v>
      </c>
      <c r="F24" s="441">
        <v>529291</v>
      </c>
      <c r="G24" s="584" t="s">
        <v>283</v>
      </c>
      <c r="H24" s="587">
        <f t="shared" si="1"/>
        <v>2</v>
      </c>
      <c r="I24" s="585">
        <v>1959</v>
      </c>
      <c r="J24" s="590">
        <f t="shared" ca="1" si="6"/>
        <v>67</v>
      </c>
      <c r="K24" s="589">
        <f t="shared" ca="1" si="3"/>
        <v>1.3469999999999998</v>
      </c>
      <c r="L24" s="441"/>
      <c r="M24" s="122"/>
      <c r="N24" s="11"/>
      <c r="P24" s="570">
        <f t="shared" si="7"/>
        <v>34</v>
      </c>
      <c r="Q24" s="571">
        <f t="shared" si="8"/>
        <v>1.0039999999999996</v>
      </c>
      <c r="R24" s="572">
        <v>9.9999999999997877E-4</v>
      </c>
      <c r="S24" s="571">
        <f t="shared" si="9"/>
        <v>1.2909999999999999</v>
      </c>
      <c r="T24" s="574">
        <v>4.0000000000000036E-3</v>
      </c>
    </row>
    <row r="25" spans="2:20" ht="28" customHeight="1" thickBot="1" x14ac:dyDescent="0.35">
      <c r="B25" s="126">
        <f t="shared" si="4"/>
        <v>21</v>
      </c>
      <c r="C25" s="119" t="s">
        <v>84</v>
      </c>
      <c r="D25" s="120" t="s">
        <v>85</v>
      </c>
      <c r="E25" s="120" t="str">
        <f t="shared" si="0"/>
        <v>PaulForseth</v>
      </c>
      <c r="F25" s="441">
        <v>269764</v>
      </c>
      <c r="G25" s="584" t="s">
        <v>283</v>
      </c>
      <c r="H25" s="587">
        <f t="shared" si="1"/>
        <v>2</v>
      </c>
      <c r="I25" s="585">
        <v>1932</v>
      </c>
      <c r="J25" s="590">
        <f t="shared" ca="1" si="6"/>
        <v>94</v>
      </c>
      <c r="K25" s="589">
        <f t="shared" ca="1" si="3"/>
        <v>2.9810000000000003</v>
      </c>
      <c r="L25" s="441"/>
      <c r="M25" s="122"/>
      <c r="N25" s="11"/>
      <c r="P25" s="570">
        <f t="shared" si="7"/>
        <v>35</v>
      </c>
      <c r="Q25" s="571">
        <f t="shared" si="8"/>
        <v>1.0049999999999994</v>
      </c>
      <c r="R25" s="572">
        <v>3.0000000000000248E-3</v>
      </c>
      <c r="S25" s="571">
        <f t="shared" si="9"/>
        <v>1.2949999999999999</v>
      </c>
      <c r="T25" s="574">
        <v>6.0000000000000053E-3</v>
      </c>
    </row>
    <row r="26" spans="2:20" ht="28" customHeight="1" thickBot="1" x14ac:dyDescent="0.35">
      <c r="B26" s="126">
        <f t="shared" si="4"/>
        <v>22</v>
      </c>
      <c r="C26" s="119" t="s">
        <v>86</v>
      </c>
      <c r="D26" s="120" t="s">
        <v>87</v>
      </c>
      <c r="E26" s="120" t="str">
        <f t="shared" si="0"/>
        <v>KristianFougner</v>
      </c>
      <c r="F26" s="441">
        <v>527358</v>
      </c>
      <c r="G26" s="584" t="s">
        <v>283</v>
      </c>
      <c r="H26" s="587">
        <f t="shared" si="1"/>
        <v>2</v>
      </c>
      <c r="I26" s="585">
        <v>1950</v>
      </c>
      <c r="J26" s="590">
        <f t="shared" ca="1" si="6"/>
        <v>76</v>
      </c>
      <c r="K26" s="589">
        <f t="shared" ca="1" si="3"/>
        <v>1.655</v>
      </c>
      <c r="L26" s="441"/>
      <c r="M26" s="122"/>
      <c r="N26" s="11"/>
      <c r="P26" s="570">
        <f t="shared" si="7"/>
        <v>36</v>
      </c>
      <c r="Q26" s="571">
        <f t="shared" si="8"/>
        <v>1.0079999999999996</v>
      </c>
      <c r="R26" s="572">
        <v>3.0000000000000248E-3</v>
      </c>
      <c r="S26" s="571">
        <f t="shared" si="9"/>
        <v>1.3009999999999999</v>
      </c>
      <c r="T26" s="574">
        <v>6.0000000000000053E-3</v>
      </c>
    </row>
    <row r="27" spans="2:20" ht="28" customHeight="1" thickBot="1" x14ac:dyDescent="0.35">
      <c r="B27" s="126">
        <f t="shared" si="4"/>
        <v>23</v>
      </c>
      <c r="C27" s="119" t="s">
        <v>207</v>
      </c>
      <c r="D27" s="120" t="s">
        <v>89</v>
      </c>
      <c r="E27" s="120" t="str">
        <f t="shared" si="0"/>
        <v>AnneFuruholt</v>
      </c>
      <c r="F27" s="440">
        <v>533317</v>
      </c>
      <c r="G27" s="584" t="s">
        <v>282</v>
      </c>
      <c r="H27" s="587">
        <f t="shared" si="1"/>
        <v>4</v>
      </c>
      <c r="I27" s="586">
        <v>1947</v>
      </c>
      <c r="J27" s="590">
        <f t="shared" ca="1" si="6"/>
        <v>79</v>
      </c>
      <c r="K27" s="589">
        <f t="shared" ca="1" si="3"/>
        <v>2.3974000000000011</v>
      </c>
      <c r="L27" s="441"/>
      <c r="M27" s="122"/>
      <c r="N27" s="11"/>
      <c r="P27" s="570">
        <f t="shared" si="7"/>
        <v>37</v>
      </c>
      <c r="Q27" s="571">
        <f t="shared" si="8"/>
        <v>1.0109999999999997</v>
      </c>
      <c r="R27" s="572">
        <v>3.0000000000000248E-3</v>
      </c>
      <c r="S27" s="571">
        <f t="shared" si="9"/>
        <v>1.3069999999999999</v>
      </c>
      <c r="T27" s="574">
        <v>6.0000000000000053E-3</v>
      </c>
    </row>
    <row r="28" spans="2:20" ht="28" customHeight="1" thickBot="1" x14ac:dyDescent="0.35">
      <c r="B28" s="126">
        <f t="shared" si="4"/>
        <v>24</v>
      </c>
      <c r="C28" s="119" t="s">
        <v>88</v>
      </c>
      <c r="D28" s="120" t="s">
        <v>89</v>
      </c>
      <c r="E28" s="120" t="str">
        <f t="shared" si="0"/>
        <v>EdgarFuruholt</v>
      </c>
      <c r="F28" s="441">
        <v>541522</v>
      </c>
      <c r="G28" s="584" t="s">
        <v>283</v>
      </c>
      <c r="H28" s="587">
        <f t="shared" si="1"/>
        <v>2</v>
      </c>
      <c r="I28" s="585">
        <v>1947</v>
      </c>
      <c r="J28" s="590">
        <f t="shared" ca="1" si="6"/>
        <v>79</v>
      </c>
      <c r="K28" s="589">
        <f t="shared" ca="1" si="3"/>
        <v>1.8050000000000002</v>
      </c>
      <c r="L28" s="441"/>
      <c r="M28" s="122"/>
      <c r="N28" s="11"/>
      <c r="P28" s="570">
        <f t="shared" si="7"/>
        <v>38</v>
      </c>
      <c r="Q28" s="571">
        <f t="shared" si="8"/>
        <v>1.0139999999999998</v>
      </c>
      <c r="R28" s="572">
        <v>3.0000000000000248E-3</v>
      </c>
      <c r="S28" s="571">
        <f t="shared" si="9"/>
        <v>1.3129999999999999</v>
      </c>
      <c r="T28" s="574">
        <v>6.0000000000000053E-3</v>
      </c>
    </row>
    <row r="29" spans="2:20" ht="28" customHeight="1" thickBot="1" x14ac:dyDescent="0.35">
      <c r="B29" s="126">
        <f t="shared" si="4"/>
        <v>25</v>
      </c>
      <c r="C29" s="119" t="s">
        <v>116</v>
      </c>
      <c r="D29" s="120" t="s">
        <v>353</v>
      </c>
      <c r="E29" s="120" t="str">
        <f t="shared" si="0"/>
        <v>AndersGjermo</v>
      </c>
      <c r="F29" s="441">
        <v>538587</v>
      </c>
      <c r="G29" s="584" t="s">
        <v>283</v>
      </c>
      <c r="H29" s="587">
        <f t="shared" si="1"/>
        <v>2</v>
      </c>
      <c r="I29" s="585">
        <v>1958</v>
      </c>
      <c r="J29" s="590">
        <f t="shared" ca="1" si="6"/>
        <v>68</v>
      </c>
      <c r="K29" s="589">
        <f t="shared" ca="1" si="3"/>
        <v>1.3729999999999998</v>
      </c>
      <c r="L29" s="441"/>
      <c r="M29" s="122"/>
      <c r="N29" s="11"/>
      <c r="P29" s="570">
        <f>P28+1</f>
        <v>39</v>
      </c>
      <c r="Q29" s="571">
        <f>Q28+R28</f>
        <v>1.0169999999999999</v>
      </c>
      <c r="R29" s="572">
        <v>3.0000000000000248E-3</v>
      </c>
      <c r="S29" s="571">
        <f>S28+T28</f>
        <v>1.319</v>
      </c>
      <c r="T29" s="574">
        <v>6.0000000000000053E-3</v>
      </c>
    </row>
    <row r="30" spans="2:20" ht="28" customHeight="1" thickBot="1" x14ac:dyDescent="0.35">
      <c r="B30" s="126">
        <f t="shared" si="4"/>
        <v>26</v>
      </c>
      <c r="C30" s="119" t="s">
        <v>90</v>
      </c>
      <c r="D30" s="120" t="s">
        <v>91</v>
      </c>
      <c r="E30" s="120" t="str">
        <f t="shared" si="0"/>
        <v>TorGjermstad</v>
      </c>
      <c r="F30" s="441">
        <v>266676</v>
      </c>
      <c r="G30" s="584" t="s">
        <v>283</v>
      </c>
      <c r="H30" s="587">
        <f t="shared" si="1"/>
        <v>2</v>
      </c>
      <c r="I30" s="585">
        <v>1950</v>
      </c>
      <c r="J30" s="590">
        <f t="shared" ca="1" si="6"/>
        <v>76</v>
      </c>
      <c r="K30" s="589">
        <f t="shared" ca="1" si="3"/>
        <v>1.655</v>
      </c>
      <c r="L30" s="441"/>
      <c r="M30" s="122"/>
      <c r="N30" s="11"/>
      <c r="P30" s="570">
        <f t="shared" si="7"/>
        <v>40</v>
      </c>
      <c r="Q30" s="571">
        <f t="shared" si="8"/>
        <v>1.02</v>
      </c>
      <c r="R30" s="572">
        <v>4.9999999999999819E-3</v>
      </c>
      <c r="S30" s="571">
        <f t="shared" si="9"/>
        <v>1.325</v>
      </c>
      <c r="T30" s="574">
        <v>8.0000000000000071E-3</v>
      </c>
    </row>
    <row r="31" spans="2:20" ht="28" customHeight="1" thickBot="1" x14ac:dyDescent="0.35">
      <c r="B31" s="126">
        <f t="shared" si="4"/>
        <v>27</v>
      </c>
      <c r="C31" s="119" t="s">
        <v>92</v>
      </c>
      <c r="D31" s="120" t="s">
        <v>93</v>
      </c>
      <c r="E31" s="120" t="str">
        <f t="shared" si="0"/>
        <v>Jens ØysteinGjersvold</v>
      </c>
      <c r="F31" s="441">
        <v>268651</v>
      </c>
      <c r="G31" s="584" t="s">
        <v>283</v>
      </c>
      <c r="H31" s="587">
        <f t="shared" si="1"/>
        <v>2</v>
      </c>
      <c r="I31" s="585">
        <v>1952</v>
      </c>
      <c r="J31" s="590">
        <f t="shared" ca="1" si="6"/>
        <v>74</v>
      </c>
      <c r="K31" s="589">
        <f t="shared" ca="1" si="3"/>
        <v>1.569</v>
      </c>
      <c r="L31" s="441"/>
      <c r="M31" s="122"/>
      <c r="N31" s="11"/>
      <c r="P31" s="570">
        <f t="shared" si="7"/>
        <v>41</v>
      </c>
      <c r="Q31" s="571">
        <f t="shared" si="8"/>
        <v>1.0249999999999999</v>
      </c>
      <c r="R31" s="572">
        <v>4.9999999999999819E-3</v>
      </c>
      <c r="S31" s="571">
        <f t="shared" si="9"/>
        <v>1.333</v>
      </c>
      <c r="T31" s="574">
        <v>8.0000000000000071E-3</v>
      </c>
    </row>
    <row r="32" spans="2:20" ht="28" customHeight="1" thickBot="1" x14ac:dyDescent="0.35">
      <c r="B32" s="126">
        <f t="shared" si="4"/>
        <v>28</v>
      </c>
      <c r="C32" s="119" t="s">
        <v>60</v>
      </c>
      <c r="D32" s="120" t="s">
        <v>372</v>
      </c>
      <c r="E32" s="120" t="str">
        <f t="shared" si="0"/>
        <v>JosteinGrepstad</v>
      </c>
      <c r="F32" s="441">
        <v>532816</v>
      </c>
      <c r="G32" s="584" t="s">
        <v>283</v>
      </c>
      <c r="H32" s="587">
        <f t="shared" si="1"/>
        <v>2</v>
      </c>
      <c r="I32" s="585">
        <v>1951</v>
      </c>
      <c r="J32" s="590">
        <f t="shared" ca="1" si="6"/>
        <v>75</v>
      </c>
      <c r="K32" s="589">
        <f t="shared" ca="1" si="3"/>
        <v>1.605</v>
      </c>
      <c r="L32" s="441"/>
      <c r="M32" s="122"/>
      <c r="N32" s="11"/>
      <c r="P32" s="570">
        <f t="shared" si="7"/>
        <v>42</v>
      </c>
      <c r="Q32" s="571">
        <f t="shared" si="8"/>
        <v>1.0299999999999998</v>
      </c>
      <c r="R32" s="572">
        <v>4.9999999999999819E-3</v>
      </c>
      <c r="S32" s="571">
        <f t="shared" si="9"/>
        <v>1.341</v>
      </c>
      <c r="T32" s="574">
        <v>8.0000000000000071E-3</v>
      </c>
    </row>
    <row r="33" spans="2:20" ht="28" customHeight="1" thickBot="1" x14ac:dyDescent="0.35">
      <c r="B33" s="126">
        <f t="shared" si="4"/>
        <v>29</v>
      </c>
      <c r="C33" s="119" t="s">
        <v>64</v>
      </c>
      <c r="D33" s="120" t="s">
        <v>366</v>
      </c>
      <c r="E33" s="120" t="str">
        <f t="shared" si="0"/>
        <v>BjørnHafskjold</v>
      </c>
      <c r="F33" s="441">
        <v>543423</v>
      </c>
      <c r="G33" s="584" t="s">
        <v>283</v>
      </c>
      <c r="H33" s="587">
        <f t="shared" si="1"/>
        <v>2</v>
      </c>
      <c r="I33" s="585">
        <v>1947</v>
      </c>
      <c r="J33" s="590">
        <f t="shared" ca="1" si="6"/>
        <v>79</v>
      </c>
      <c r="K33" s="589">
        <f t="shared" ca="1" si="3"/>
        <v>1.8050000000000002</v>
      </c>
      <c r="L33" s="441"/>
      <c r="M33" s="122"/>
      <c r="N33" s="11"/>
      <c r="P33" s="570">
        <f t="shared" si="7"/>
        <v>43</v>
      </c>
      <c r="Q33" s="571">
        <f t="shared" si="8"/>
        <v>1.0349999999999997</v>
      </c>
      <c r="R33" s="572">
        <v>4.9999999999999819E-3</v>
      </c>
      <c r="S33" s="571">
        <f t="shared" si="9"/>
        <v>1.349</v>
      </c>
      <c r="T33" s="574">
        <v>8.0000000000000071E-3</v>
      </c>
    </row>
    <row r="34" spans="2:20" ht="28" customHeight="1" thickBot="1" x14ac:dyDescent="0.35">
      <c r="B34" s="126">
        <f t="shared" si="4"/>
        <v>30</v>
      </c>
      <c r="C34" s="119" t="s">
        <v>94</v>
      </c>
      <c r="D34" s="120" t="s">
        <v>95</v>
      </c>
      <c r="E34" s="120" t="str">
        <f t="shared" si="0"/>
        <v>TerjeHanssen</v>
      </c>
      <c r="F34" s="441">
        <v>525541</v>
      </c>
      <c r="G34" s="584" t="s">
        <v>283</v>
      </c>
      <c r="H34" s="587">
        <f t="shared" si="1"/>
        <v>2</v>
      </c>
      <c r="I34" s="585">
        <v>1948</v>
      </c>
      <c r="J34" s="590">
        <f t="shared" ca="1" si="6"/>
        <v>78</v>
      </c>
      <c r="K34" s="589">
        <f t="shared" ca="1" si="3"/>
        <v>1.7550000000000001</v>
      </c>
      <c r="L34" s="441"/>
      <c r="M34" s="122"/>
      <c r="N34" s="11"/>
      <c r="P34" s="570">
        <f t="shared" si="7"/>
        <v>44</v>
      </c>
      <c r="Q34" s="571">
        <f t="shared" si="8"/>
        <v>1.0399999999999996</v>
      </c>
      <c r="R34" s="572">
        <v>4.9999999999999819E-3</v>
      </c>
      <c r="S34" s="571">
        <f t="shared" si="9"/>
        <v>1.357</v>
      </c>
      <c r="T34" s="574">
        <v>8.0000000000000071E-3</v>
      </c>
    </row>
    <row r="35" spans="2:20" ht="28" customHeight="1" thickBot="1" x14ac:dyDescent="0.35">
      <c r="B35" s="126">
        <f t="shared" si="4"/>
        <v>31</v>
      </c>
      <c r="C35" s="119" t="s">
        <v>96</v>
      </c>
      <c r="D35" s="120" t="s">
        <v>97</v>
      </c>
      <c r="E35" s="120" t="str">
        <f t="shared" si="0"/>
        <v>StigHaugskott</v>
      </c>
      <c r="F35" s="441">
        <v>521044</v>
      </c>
      <c r="G35" s="584" t="s">
        <v>283</v>
      </c>
      <c r="H35" s="587">
        <f t="shared" si="1"/>
        <v>2</v>
      </c>
      <c r="I35" s="585">
        <v>1939</v>
      </c>
      <c r="J35" s="590">
        <f t="shared" ca="1" si="6"/>
        <v>87</v>
      </c>
      <c r="K35" s="589">
        <f t="shared" ca="1" si="3"/>
        <v>2.3929999999999998</v>
      </c>
      <c r="L35" s="441"/>
      <c r="M35" s="122"/>
      <c r="N35" s="11"/>
      <c r="P35" s="570">
        <f t="shared" si="7"/>
        <v>45</v>
      </c>
      <c r="Q35" s="571">
        <f t="shared" si="8"/>
        <v>1.0449999999999995</v>
      </c>
      <c r="R35" s="572">
        <v>7.0000000000000288E-3</v>
      </c>
      <c r="S35" s="571">
        <f t="shared" si="9"/>
        <v>1.365</v>
      </c>
      <c r="T35" s="574">
        <v>1.2000000000000011E-2</v>
      </c>
    </row>
    <row r="36" spans="2:20" ht="28" customHeight="1" thickBot="1" x14ac:dyDescent="0.35">
      <c r="B36" s="126">
        <f t="shared" si="4"/>
        <v>32</v>
      </c>
      <c r="C36" s="119" t="s">
        <v>63</v>
      </c>
      <c r="D36" s="120" t="s">
        <v>98</v>
      </c>
      <c r="E36" s="120" t="str">
        <f t="shared" si="0"/>
        <v>ToreHeggem</v>
      </c>
      <c r="F36" s="441">
        <v>527270</v>
      </c>
      <c r="G36" s="584" t="s">
        <v>283</v>
      </c>
      <c r="H36" s="587">
        <f t="shared" si="1"/>
        <v>2</v>
      </c>
      <c r="I36" s="585">
        <v>1953</v>
      </c>
      <c r="J36" s="590">
        <f t="shared" ca="1" si="6"/>
        <v>73</v>
      </c>
      <c r="K36" s="589">
        <f t="shared" ca="1" si="3"/>
        <v>1.5329999999999999</v>
      </c>
      <c r="L36" s="441"/>
      <c r="M36" s="122"/>
      <c r="N36" s="11"/>
      <c r="P36" s="570">
        <f t="shared" si="7"/>
        <v>46</v>
      </c>
      <c r="Q36" s="571">
        <f t="shared" si="8"/>
        <v>1.0519999999999996</v>
      </c>
      <c r="R36" s="572">
        <v>7.0000000000000288E-3</v>
      </c>
      <c r="S36" s="571">
        <f t="shared" si="9"/>
        <v>1.377</v>
      </c>
      <c r="T36" s="574">
        <v>1.2000000000000011E-2</v>
      </c>
    </row>
    <row r="37" spans="2:20" ht="28" customHeight="1" thickBot="1" x14ac:dyDescent="0.35">
      <c r="B37" s="126">
        <f t="shared" si="4"/>
        <v>33</v>
      </c>
      <c r="C37" s="119" t="s">
        <v>342</v>
      </c>
      <c r="D37" s="120" t="s">
        <v>343</v>
      </c>
      <c r="E37" s="120" t="str">
        <f t="shared" si="0"/>
        <v>ArildHeggeset</v>
      </c>
      <c r="F37" s="441">
        <v>533929</v>
      </c>
      <c r="G37" s="584" t="s">
        <v>283</v>
      </c>
      <c r="H37" s="587">
        <f t="shared" si="1"/>
        <v>2</v>
      </c>
      <c r="I37" s="585">
        <v>1967</v>
      </c>
      <c r="J37" s="590">
        <f t="shared" ca="1" si="6"/>
        <v>59</v>
      </c>
      <c r="K37" s="589">
        <f t="shared" ca="1" si="3"/>
        <v>1.1860000000000002</v>
      </c>
      <c r="L37" s="441"/>
      <c r="M37" s="122"/>
      <c r="N37" s="11"/>
      <c r="P37" s="570">
        <f t="shared" si="7"/>
        <v>47</v>
      </c>
      <c r="Q37" s="571">
        <f t="shared" si="8"/>
        <v>1.0589999999999997</v>
      </c>
      <c r="R37" s="572">
        <v>7.0000000000000288E-3</v>
      </c>
      <c r="S37" s="571">
        <f t="shared" si="9"/>
        <v>1.389</v>
      </c>
      <c r="T37" s="574">
        <v>1.2000000000000011E-2</v>
      </c>
    </row>
    <row r="38" spans="2:20" ht="28" customHeight="1" thickBot="1" x14ac:dyDescent="0.35">
      <c r="B38" s="126">
        <f t="shared" si="4"/>
        <v>34</v>
      </c>
      <c r="C38" s="119" t="s">
        <v>309</v>
      </c>
      <c r="D38" s="120" t="s">
        <v>310</v>
      </c>
      <c r="E38" s="120" t="str">
        <f t="shared" si="0"/>
        <v>VigdisHeimly</v>
      </c>
      <c r="F38" s="441">
        <v>258668</v>
      </c>
      <c r="G38" s="584" t="s">
        <v>282</v>
      </c>
      <c r="H38" s="587">
        <f t="shared" si="1"/>
        <v>4</v>
      </c>
      <c r="I38" s="585">
        <v>1959</v>
      </c>
      <c r="J38" s="590">
        <f t="shared" ca="1" si="6"/>
        <v>67</v>
      </c>
      <c r="K38" s="589">
        <f t="shared" ca="1" si="3"/>
        <v>1.8422000000000009</v>
      </c>
      <c r="L38" s="441"/>
      <c r="M38" s="122"/>
      <c r="N38" s="11"/>
      <c r="P38" s="570">
        <f t="shared" si="7"/>
        <v>48</v>
      </c>
      <c r="Q38" s="571">
        <f t="shared" si="8"/>
        <v>1.0659999999999998</v>
      </c>
      <c r="R38" s="572">
        <v>7.0000000000000288E-3</v>
      </c>
      <c r="S38" s="571">
        <f t="shared" si="9"/>
        <v>1.401</v>
      </c>
      <c r="T38" s="574">
        <v>1.2000000000000011E-2</v>
      </c>
    </row>
    <row r="39" spans="2:20" ht="28" customHeight="1" thickBot="1" x14ac:dyDescent="0.35">
      <c r="B39" s="126">
        <f t="shared" si="4"/>
        <v>35</v>
      </c>
      <c r="C39" s="119" t="s">
        <v>126</v>
      </c>
      <c r="D39" s="120" t="s">
        <v>383</v>
      </c>
      <c r="E39" s="120" t="str">
        <f t="shared" si="0"/>
        <v>ArneHelland</v>
      </c>
      <c r="F39" s="441">
        <v>544096</v>
      </c>
      <c r="G39" s="584" t="s">
        <v>283</v>
      </c>
      <c r="H39" s="587">
        <f t="shared" si="1"/>
        <v>2</v>
      </c>
      <c r="I39" s="585">
        <v>1965</v>
      </c>
      <c r="J39" s="590">
        <f t="shared" ca="1" si="6"/>
        <v>61</v>
      </c>
      <c r="K39" s="589">
        <f t="shared" ref="K39:K71" ca="1" si="10">VLOOKUP(J39,P$6:T$84,H39,FALSE)</f>
        <v>1.2190000000000001</v>
      </c>
      <c r="L39" s="441"/>
      <c r="M39" s="122"/>
      <c r="N39" s="11"/>
      <c r="P39" s="570">
        <f>P38+1</f>
        <v>49</v>
      </c>
      <c r="Q39" s="571">
        <f>Q38+R38</f>
        <v>1.073</v>
      </c>
      <c r="R39" s="572">
        <v>7.0000000000000288E-3</v>
      </c>
      <c r="S39" s="571">
        <f>S38+T38</f>
        <v>1.413</v>
      </c>
      <c r="T39" s="574">
        <v>1.2000000000000011E-2</v>
      </c>
    </row>
    <row r="40" spans="2:20" ht="28" customHeight="1" thickBot="1" x14ac:dyDescent="0.35">
      <c r="B40" s="126">
        <f t="shared" si="4"/>
        <v>36</v>
      </c>
      <c r="C40" s="119" t="s">
        <v>118</v>
      </c>
      <c r="D40" s="120" t="s">
        <v>383</v>
      </c>
      <c r="E40" s="120" t="str">
        <f t="shared" si="0"/>
        <v>KnutHelland</v>
      </c>
      <c r="F40" s="441">
        <v>532439</v>
      </c>
      <c r="G40" s="584" t="s">
        <v>283</v>
      </c>
      <c r="H40" s="587">
        <f t="shared" si="1"/>
        <v>2</v>
      </c>
      <c r="I40" s="585">
        <v>1962</v>
      </c>
      <c r="J40" s="590">
        <f t="shared" ca="1" si="6"/>
        <v>64</v>
      </c>
      <c r="K40" s="589">
        <f t="shared" ca="1" si="10"/>
        <v>1.2759999999999998</v>
      </c>
      <c r="L40" s="441"/>
      <c r="M40" s="122"/>
      <c r="N40" s="11"/>
      <c r="P40" s="570">
        <f t="shared" si="7"/>
        <v>50</v>
      </c>
      <c r="Q40" s="571">
        <f t="shared" si="8"/>
        <v>1.08</v>
      </c>
      <c r="R40" s="572">
        <v>9.9999999999999638E-3</v>
      </c>
      <c r="S40" s="571">
        <f t="shared" si="9"/>
        <v>1.425</v>
      </c>
      <c r="T40" s="574">
        <v>1.6999999999999994E-2</v>
      </c>
    </row>
    <row r="41" spans="2:20" ht="28" customHeight="1" thickBot="1" x14ac:dyDescent="0.35">
      <c r="B41" s="126">
        <f t="shared" si="4"/>
        <v>37</v>
      </c>
      <c r="C41" s="119" t="s">
        <v>421</v>
      </c>
      <c r="D41" s="120" t="s">
        <v>422</v>
      </c>
      <c r="E41" s="120" t="str">
        <f t="shared" si="0"/>
        <v>Kjell ArneHenninen</v>
      </c>
      <c r="F41" s="441">
        <v>520889</v>
      </c>
      <c r="G41" s="584" t="s">
        <v>283</v>
      </c>
      <c r="H41" s="587">
        <f t="shared" si="1"/>
        <v>2</v>
      </c>
      <c r="I41" s="585">
        <v>1954</v>
      </c>
      <c r="J41" s="590">
        <f t="shared" ca="1" si="6"/>
        <v>72</v>
      </c>
      <c r="K41" s="589">
        <f t="shared" ca="1" si="10"/>
        <v>1.4969999999999999</v>
      </c>
      <c r="L41" s="441"/>
      <c r="M41" s="122"/>
      <c r="N41" s="11"/>
      <c r="P41" s="570">
        <f t="shared" si="7"/>
        <v>51</v>
      </c>
      <c r="Q41" s="571">
        <f t="shared" si="8"/>
        <v>1.0900000000000001</v>
      </c>
      <c r="R41" s="572">
        <v>9.9999999999999638E-3</v>
      </c>
      <c r="S41" s="571">
        <f t="shared" si="9"/>
        <v>1.4419999999999999</v>
      </c>
      <c r="T41" s="574">
        <v>1.6999999999999994E-2</v>
      </c>
    </row>
    <row r="42" spans="2:20" ht="28" customHeight="1" thickBot="1" x14ac:dyDescent="0.35">
      <c r="B42" s="126">
        <f t="shared" si="4"/>
        <v>38</v>
      </c>
      <c r="C42" s="119" t="s">
        <v>99</v>
      </c>
      <c r="D42" s="120" t="s">
        <v>100</v>
      </c>
      <c r="E42" s="120" t="str">
        <f t="shared" si="0"/>
        <v>RobertHirsch</v>
      </c>
      <c r="F42" s="441">
        <v>543424</v>
      </c>
      <c r="G42" s="584" t="s">
        <v>283</v>
      </c>
      <c r="H42" s="587">
        <f t="shared" si="1"/>
        <v>2</v>
      </c>
      <c r="I42" s="585">
        <v>1957</v>
      </c>
      <c r="J42" s="590">
        <f t="shared" ca="1" si="6"/>
        <v>69</v>
      </c>
      <c r="K42" s="589">
        <f t="shared" ca="1" si="10"/>
        <v>1.3989999999999998</v>
      </c>
      <c r="L42" s="441"/>
      <c r="M42" s="122"/>
      <c r="N42" s="11"/>
      <c r="P42" s="570">
        <f t="shared" si="7"/>
        <v>52</v>
      </c>
      <c r="Q42" s="571">
        <f t="shared" si="8"/>
        <v>1.1000000000000001</v>
      </c>
      <c r="R42" s="572">
        <v>9.9999999999999638E-3</v>
      </c>
      <c r="S42" s="571">
        <f t="shared" si="9"/>
        <v>1.4589999999999999</v>
      </c>
      <c r="T42" s="574">
        <v>1.6999999999999994E-2</v>
      </c>
    </row>
    <row r="43" spans="2:20" ht="28" customHeight="1" thickBot="1" x14ac:dyDescent="0.35">
      <c r="B43" s="126">
        <f t="shared" si="4"/>
        <v>39</v>
      </c>
      <c r="C43" s="119" t="s">
        <v>101</v>
      </c>
      <c r="D43" s="120" t="s">
        <v>102</v>
      </c>
      <c r="E43" s="120" t="str">
        <f t="shared" si="0"/>
        <v>EvenHofstad</v>
      </c>
      <c r="F43" s="441">
        <v>259070</v>
      </c>
      <c r="G43" s="584" t="s">
        <v>283</v>
      </c>
      <c r="H43" s="587">
        <f t="shared" si="1"/>
        <v>2</v>
      </c>
      <c r="I43" s="585">
        <v>1954</v>
      </c>
      <c r="J43" s="590">
        <f t="shared" ca="1" si="6"/>
        <v>72</v>
      </c>
      <c r="K43" s="589">
        <f t="shared" ca="1" si="10"/>
        <v>1.4969999999999999</v>
      </c>
      <c r="L43" s="441"/>
      <c r="M43" s="122"/>
      <c r="N43" s="11"/>
      <c r="P43" s="570">
        <f t="shared" si="7"/>
        <v>53</v>
      </c>
      <c r="Q43" s="571">
        <f t="shared" si="8"/>
        <v>1.1100000000000001</v>
      </c>
      <c r="R43" s="572">
        <v>9.9999999999999638E-3</v>
      </c>
      <c r="S43" s="571">
        <f t="shared" si="9"/>
        <v>1.4759999999999998</v>
      </c>
      <c r="T43" s="574">
        <v>1.6999999999999994E-2</v>
      </c>
    </row>
    <row r="44" spans="2:20" ht="28" customHeight="1" thickBot="1" x14ac:dyDescent="0.35">
      <c r="B44" s="126">
        <f t="shared" si="4"/>
        <v>40</v>
      </c>
      <c r="C44" s="119" t="s">
        <v>263</v>
      </c>
      <c r="D44" s="120" t="s">
        <v>264</v>
      </c>
      <c r="E44" s="120" t="str">
        <f t="shared" si="0"/>
        <v>RuneHolt</v>
      </c>
      <c r="F44" s="441">
        <v>517475</v>
      </c>
      <c r="G44" s="584" t="s">
        <v>283</v>
      </c>
      <c r="H44" s="587">
        <f t="shared" si="1"/>
        <v>2</v>
      </c>
      <c r="I44" s="585">
        <v>1953</v>
      </c>
      <c r="J44" s="590">
        <f t="shared" ca="1" si="6"/>
        <v>73</v>
      </c>
      <c r="K44" s="589">
        <f t="shared" ca="1" si="10"/>
        <v>1.5329999999999999</v>
      </c>
      <c r="L44" s="441"/>
      <c r="M44" s="122"/>
      <c r="N44" s="11"/>
      <c r="P44" s="570">
        <f t="shared" si="7"/>
        <v>54</v>
      </c>
      <c r="Q44" s="571">
        <f t="shared" si="8"/>
        <v>1.1200000000000001</v>
      </c>
      <c r="R44" s="572">
        <v>9.9999999999999638E-3</v>
      </c>
      <c r="S44" s="571">
        <f t="shared" si="9"/>
        <v>1.4929999999999997</v>
      </c>
      <c r="T44" s="574">
        <v>1.6999999999999994E-2</v>
      </c>
    </row>
    <row r="45" spans="2:20" ht="28" customHeight="1" thickBot="1" x14ac:dyDescent="0.35">
      <c r="B45" s="126">
        <f t="shared" si="4"/>
        <v>41</v>
      </c>
      <c r="C45" s="119" t="s">
        <v>103</v>
      </c>
      <c r="D45" s="120" t="s">
        <v>104</v>
      </c>
      <c r="E45" s="120" t="str">
        <f t="shared" ref="E45:E78" si="11">_xlfn.CONCAT(C45:D45)</f>
        <v>SveinHove</v>
      </c>
      <c r="F45" s="441">
        <v>274283</v>
      </c>
      <c r="G45" s="584" t="s">
        <v>283</v>
      </c>
      <c r="H45" s="587">
        <f t="shared" ref="H45:H78" si="12">IF(G45="H",2,4)</f>
        <v>2</v>
      </c>
      <c r="I45" s="585">
        <v>1947</v>
      </c>
      <c r="J45" s="590">
        <f t="shared" ca="1" si="6"/>
        <v>79</v>
      </c>
      <c r="K45" s="589">
        <f t="shared" ca="1" si="10"/>
        <v>1.8050000000000002</v>
      </c>
      <c r="L45" s="441"/>
      <c r="M45" s="122"/>
      <c r="N45" s="11"/>
      <c r="P45" s="570">
        <f t="shared" si="7"/>
        <v>55</v>
      </c>
      <c r="Q45" s="571">
        <f t="shared" si="8"/>
        <v>1.1300000000000001</v>
      </c>
      <c r="R45" s="572">
        <v>1.4000000000000012E-2</v>
      </c>
      <c r="S45" s="571">
        <f t="shared" si="9"/>
        <v>1.5099999999999996</v>
      </c>
      <c r="T45" s="574">
        <v>2.3000000000000041E-2</v>
      </c>
    </row>
    <row r="46" spans="2:20" ht="28" customHeight="1" thickBot="1" x14ac:dyDescent="0.35">
      <c r="B46" s="126">
        <f t="shared" si="4"/>
        <v>42</v>
      </c>
      <c r="C46" s="119" t="s">
        <v>269</v>
      </c>
      <c r="D46" s="120" t="s">
        <v>270</v>
      </c>
      <c r="E46" s="120" t="str">
        <f t="shared" si="11"/>
        <v>Per OlavJohansen</v>
      </c>
      <c r="F46" s="441">
        <v>246831</v>
      </c>
      <c r="G46" s="584" t="s">
        <v>283</v>
      </c>
      <c r="H46" s="587">
        <f t="shared" si="12"/>
        <v>2</v>
      </c>
      <c r="I46" s="585">
        <v>1958</v>
      </c>
      <c r="J46" s="590">
        <f t="shared" ref="J46:J79" ca="1" si="13">YEAR(S$3)-I46</f>
        <v>68</v>
      </c>
      <c r="K46" s="589">
        <f t="shared" ca="1" si="10"/>
        <v>1.3729999999999998</v>
      </c>
      <c r="L46" s="441"/>
      <c r="M46" s="122"/>
      <c r="N46" s="11"/>
      <c r="P46" s="570">
        <f t="shared" si="7"/>
        <v>56</v>
      </c>
      <c r="Q46" s="571">
        <f t="shared" si="8"/>
        <v>1.1440000000000001</v>
      </c>
      <c r="R46" s="572">
        <v>1.4000000000000012E-2</v>
      </c>
      <c r="S46" s="571">
        <f t="shared" si="9"/>
        <v>1.5329999999999997</v>
      </c>
      <c r="T46" s="574">
        <v>2.3000000000000041E-2</v>
      </c>
    </row>
    <row r="47" spans="2:20" ht="28" customHeight="1" thickBot="1" x14ac:dyDescent="0.35">
      <c r="B47" s="126">
        <f t="shared" si="4"/>
        <v>43</v>
      </c>
      <c r="C47" s="119" t="s">
        <v>63</v>
      </c>
      <c r="D47" s="120" t="s">
        <v>105</v>
      </c>
      <c r="E47" s="120" t="str">
        <f t="shared" si="11"/>
        <v>ToreKiste</v>
      </c>
      <c r="F47" s="441">
        <v>269734</v>
      </c>
      <c r="G47" s="584" t="s">
        <v>283</v>
      </c>
      <c r="H47" s="587">
        <f t="shared" si="12"/>
        <v>2</v>
      </c>
      <c r="I47" s="585">
        <v>1945</v>
      </c>
      <c r="J47" s="590">
        <f t="shared" ca="1" si="13"/>
        <v>81</v>
      </c>
      <c r="K47" s="589">
        <f t="shared" ca="1" si="10"/>
        <v>1.9290000000000003</v>
      </c>
      <c r="L47" s="441"/>
      <c r="M47" s="122"/>
      <c r="N47" s="11"/>
      <c r="P47" s="570">
        <f t="shared" si="7"/>
        <v>57</v>
      </c>
      <c r="Q47" s="571">
        <f t="shared" si="8"/>
        <v>1.1580000000000001</v>
      </c>
      <c r="R47" s="572">
        <v>1.4000000000000012E-2</v>
      </c>
      <c r="S47" s="571">
        <f t="shared" si="9"/>
        <v>1.5559999999999998</v>
      </c>
      <c r="T47" s="574">
        <v>2.3000000000000041E-2</v>
      </c>
    </row>
    <row r="48" spans="2:20" ht="28" customHeight="1" thickBot="1" x14ac:dyDescent="0.35">
      <c r="B48" s="126">
        <f t="shared" si="4"/>
        <v>44</v>
      </c>
      <c r="C48" s="119" t="s">
        <v>106</v>
      </c>
      <c r="D48" s="120" t="s">
        <v>107</v>
      </c>
      <c r="E48" s="120" t="str">
        <f t="shared" si="11"/>
        <v>Jon ArneKlemetsaune</v>
      </c>
      <c r="F48" s="441">
        <v>537689</v>
      </c>
      <c r="G48" s="584" t="s">
        <v>283</v>
      </c>
      <c r="H48" s="587">
        <f t="shared" si="12"/>
        <v>2</v>
      </c>
      <c r="I48" s="585">
        <v>1949</v>
      </c>
      <c r="J48" s="590">
        <f t="shared" ca="1" si="13"/>
        <v>77</v>
      </c>
      <c r="K48" s="589">
        <f t="shared" ca="1" si="10"/>
        <v>1.7050000000000001</v>
      </c>
      <c r="L48" s="441"/>
      <c r="M48" s="122"/>
      <c r="N48" s="11"/>
      <c r="P48" s="570">
        <f t="shared" si="7"/>
        <v>58</v>
      </c>
      <c r="Q48" s="571">
        <f t="shared" si="8"/>
        <v>1.1720000000000002</v>
      </c>
      <c r="R48" s="572">
        <v>1.4000000000000012E-2</v>
      </c>
      <c r="S48" s="571">
        <f t="shared" si="9"/>
        <v>1.579</v>
      </c>
      <c r="T48" s="574">
        <v>2.3000000000000041E-2</v>
      </c>
    </row>
    <row r="49" spans="2:20" ht="28" customHeight="1" thickBot="1" x14ac:dyDescent="0.35">
      <c r="B49" s="126">
        <f t="shared" si="4"/>
        <v>45</v>
      </c>
      <c r="C49" s="119" t="s">
        <v>108</v>
      </c>
      <c r="D49" s="120" t="s">
        <v>109</v>
      </c>
      <c r="E49" s="120" t="str">
        <f t="shared" si="11"/>
        <v>Finn FayeKnudsen</v>
      </c>
      <c r="F49" s="441">
        <v>259073</v>
      </c>
      <c r="G49" s="584" t="s">
        <v>283</v>
      </c>
      <c r="H49" s="587">
        <f t="shared" si="12"/>
        <v>2</v>
      </c>
      <c r="I49" s="585">
        <v>1942</v>
      </c>
      <c r="J49" s="590">
        <f t="shared" ca="1" si="13"/>
        <v>84</v>
      </c>
      <c r="K49" s="589">
        <f t="shared" ca="1" si="10"/>
        <v>2.1509999999999998</v>
      </c>
      <c r="L49" s="441"/>
      <c r="M49" s="122"/>
      <c r="N49" s="11"/>
      <c r="P49" s="570">
        <f t="shared" si="7"/>
        <v>59</v>
      </c>
      <c r="Q49" s="571">
        <f t="shared" si="8"/>
        <v>1.1860000000000002</v>
      </c>
      <c r="R49" s="572">
        <v>1.4000000000000012E-2</v>
      </c>
      <c r="S49" s="571">
        <f t="shared" si="9"/>
        <v>1.6020000000000001</v>
      </c>
      <c r="T49" s="574">
        <v>2.3000000000000041E-2</v>
      </c>
    </row>
    <row r="50" spans="2:20" ht="28" customHeight="1" thickBot="1" x14ac:dyDescent="0.35">
      <c r="B50" s="126">
        <f t="shared" si="4"/>
        <v>46</v>
      </c>
      <c r="C50" s="119" t="s">
        <v>110</v>
      </c>
      <c r="D50" s="120" t="s">
        <v>111</v>
      </c>
      <c r="E50" s="120" t="str">
        <f t="shared" si="11"/>
        <v>Jan ErikKofoed</v>
      </c>
      <c r="F50" s="441">
        <v>269730</v>
      </c>
      <c r="G50" s="584" t="s">
        <v>283</v>
      </c>
      <c r="H50" s="587">
        <f t="shared" si="12"/>
        <v>2</v>
      </c>
      <c r="I50" s="585">
        <v>1954</v>
      </c>
      <c r="J50" s="590">
        <f t="shared" ca="1" si="13"/>
        <v>72</v>
      </c>
      <c r="K50" s="589">
        <f t="shared" ca="1" si="10"/>
        <v>1.4969999999999999</v>
      </c>
      <c r="L50" s="441"/>
      <c r="M50" s="122"/>
      <c r="N50" s="11"/>
      <c r="P50" s="570">
        <f t="shared" si="7"/>
        <v>60</v>
      </c>
      <c r="Q50" s="571">
        <f t="shared" si="8"/>
        <v>1.2000000000000002</v>
      </c>
      <c r="R50" s="572">
        <v>1.8999999999999996E-2</v>
      </c>
      <c r="S50" s="571">
        <f t="shared" si="9"/>
        <v>1.6250000000000002</v>
      </c>
      <c r="T50" s="573">
        <v>2.9200000000000025E-2</v>
      </c>
    </row>
    <row r="51" spans="2:20" ht="28" customHeight="1" thickBot="1" x14ac:dyDescent="0.35">
      <c r="B51" s="126">
        <f t="shared" si="4"/>
        <v>47</v>
      </c>
      <c r="C51" s="119" t="s">
        <v>251</v>
      </c>
      <c r="D51" s="120" t="s">
        <v>252</v>
      </c>
      <c r="E51" s="120" t="str">
        <f t="shared" si="11"/>
        <v>OttarKristiansen</v>
      </c>
      <c r="F51" s="441">
        <v>261355</v>
      </c>
      <c r="G51" s="584" t="s">
        <v>283</v>
      </c>
      <c r="H51" s="587">
        <f t="shared" si="12"/>
        <v>2</v>
      </c>
      <c r="I51" s="585">
        <v>1949</v>
      </c>
      <c r="J51" s="590">
        <f t="shared" ca="1" si="13"/>
        <v>77</v>
      </c>
      <c r="K51" s="589">
        <f t="shared" ca="1" si="10"/>
        <v>1.7050000000000001</v>
      </c>
      <c r="L51" s="441"/>
      <c r="M51" s="122"/>
      <c r="N51" s="11"/>
      <c r="P51" s="570">
        <f t="shared" si="7"/>
        <v>61</v>
      </c>
      <c r="Q51" s="571">
        <f t="shared" si="8"/>
        <v>1.2190000000000001</v>
      </c>
      <c r="R51" s="572">
        <v>1.8999999999999996E-2</v>
      </c>
      <c r="S51" s="571">
        <f t="shared" si="9"/>
        <v>1.6542000000000003</v>
      </c>
      <c r="T51" s="573">
        <v>2.9200000000000025E-2</v>
      </c>
    </row>
    <row r="52" spans="2:20" ht="28" customHeight="1" thickBot="1" x14ac:dyDescent="0.35">
      <c r="B52" s="126">
        <f t="shared" si="4"/>
        <v>48</v>
      </c>
      <c r="C52" s="119" t="s">
        <v>299</v>
      </c>
      <c r="D52" s="120" t="s">
        <v>300</v>
      </c>
      <c r="E52" s="120" t="str">
        <f t="shared" si="11"/>
        <v>OlavKvittem</v>
      </c>
      <c r="F52" s="441">
        <v>243748</v>
      </c>
      <c r="G52" s="584" t="s">
        <v>283</v>
      </c>
      <c r="H52" s="587">
        <f t="shared" si="12"/>
        <v>2</v>
      </c>
      <c r="I52" s="585">
        <v>1955</v>
      </c>
      <c r="J52" s="590">
        <f t="shared" ca="1" si="13"/>
        <v>71</v>
      </c>
      <c r="K52" s="589">
        <f t="shared" ca="1" si="10"/>
        <v>1.4609999999999999</v>
      </c>
      <c r="L52" s="441"/>
      <c r="M52" s="122"/>
      <c r="N52" s="11"/>
      <c r="P52" s="570">
        <f t="shared" si="7"/>
        <v>62</v>
      </c>
      <c r="Q52" s="571">
        <f t="shared" si="8"/>
        <v>1.238</v>
      </c>
      <c r="R52" s="572">
        <v>1.8999999999999996E-2</v>
      </c>
      <c r="S52" s="571">
        <f t="shared" si="9"/>
        <v>1.6834000000000005</v>
      </c>
      <c r="T52" s="573">
        <v>2.9200000000000025E-2</v>
      </c>
    </row>
    <row r="53" spans="2:20" ht="28" customHeight="1" thickBot="1" x14ac:dyDescent="0.35">
      <c r="B53" s="126">
        <f t="shared" si="4"/>
        <v>49</v>
      </c>
      <c r="C53" s="119" t="s">
        <v>112</v>
      </c>
      <c r="D53" s="120" t="s">
        <v>113</v>
      </c>
      <c r="E53" s="120" t="str">
        <f t="shared" si="11"/>
        <v>ToridKvaal</v>
      </c>
      <c r="F53" s="441">
        <v>531366</v>
      </c>
      <c r="G53" s="584" t="s">
        <v>282</v>
      </c>
      <c r="H53" s="587">
        <f t="shared" si="12"/>
        <v>4</v>
      </c>
      <c r="I53" s="585">
        <v>1942</v>
      </c>
      <c r="J53" s="590">
        <f t="shared" ca="1" si="13"/>
        <v>84</v>
      </c>
      <c r="K53" s="589">
        <f t="shared" ca="1" si="10"/>
        <v>2.7814000000000005</v>
      </c>
      <c r="L53" s="441"/>
      <c r="M53" s="122"/>
      <c r="N53" s="11"/>
      <c r="P53" s="570">
        <f t="shared" si="7"/>
        <v>63</v>
      </c>
      <c r="Q53" s="571">
        <f t="shared" si="8"/>
        <v>1.2569999999999999</v>
      </c>
      <c r="R53" s="572">
        <v>1.8999999999999996E-2</v>
      </c>
      <c r="S53" s="571">
        <f t="shared" si="9"/>
        <v>1.7126000000000006</v>
      </c>
      <c r="T53" s="573">
        <v>2.9200000000000025E-2</v>
      </c>
    </row>
    <row r="54" spans="2:20" ht="28" customHeight="1" thickBot="1" x14ac:dyDescent="0.35">
      <c r="B54" s="126">
        <f t="shared" si="4"/>
        <v>50</v>
      </c>
      <c r="C54" s="119" t="s">
        <v>114</v>
      </c>
      <c r="D54" s="120" t="s">
        <v>115</v>
      </c>
      <c r="E54" s="120" t="str">
        <f t="shared" si="11"/>
        <v>MagnusLandstad</v>
      </c>
      <c r="F54" s="441">
        <v>516612</v>
      </c>
      <c r="G54" s="584" t="s">
        <v>283</v>
      </c>
      <c r="H54" s="587">
        <f t="shared" si="12"/>
        <v>2</v>
      </c>
      <c r="I54" s="585">
        <v>1943</v>
      </c>
      <c r="J54" s="590">
        <f t="shared" ca="1" si="13"/>
        <v>83</v>
      </c>
      <c r="K54" s="589">
        <f t="shared" ca="1" si="10"/>
        <v>2.077</v>
      </c>
      <c r="L54" s="441"/>
      <c r="M54" s="122"/>
      <c r="N54" s="11"/>
      <c r="P54" s="570">
        <f t="shared" si="7"/>
        <v>64</v>
      </c>
      <c r="Q54" s="571">
        <f t="shared" si="8"/>
        <v>1.2759999999999998</v>
      </c>
      <c r="R54" s="572">
        <v>1.8999999999999996E-2</v>
      </c>
      <c r="S54" s="571">
        <f t="shared" si="9"/>
        <v>1.7418000000000007</v>
      </c>
      <c r="T54" s="573">
        <v>2.9200000000000025E-2</v>
      </c>
    </row>
    <row r="55" spans="2:20" ht="28" customHeight="1" thickBot="1" x14ac:dyDescent="0.35">
      <c r="B55" s="126">
        <f t="shared" si="4"/>
        <v>51</v>
      </c>
      <c r="C55" s="119" t="s">
        <v>254</v>
      </c>
      <c r="D55" s="120" t="s">
        <v>255</v>
      </c>
      <c r="E55" s="120" t="str">
        <f t="shared" si="11"/>
        <v>ArnfinnLangeland</v>
      </c>
      <c r="F55" s="441">
        <v>269752</v>
      </c>
      <c r="G55" s="584" t="s">
        <v>283</v>
      </c>
      <c r="H55" s="587">
        <f t="shared" si="12"/>
        <v>2</v>
      </c>
      <c r="I55" s="585">
        <v>1936</v>
      </c>
      <c r="J55" s="590">
        <f t="shared" ca="1" si="13"/>
        <v>90</v>
      </c>
      <c r="K55" s="589">
        <f t="shared" ca="1" si="10"/>
        <v>2.645</v>
      </c>
      <c r="L55" s="441"/>
      <c r="M55" s="122"/>
      <c r="N55" s="11"/>
      <c r="P55" s="570">
        <f t="shared" si="7"/>
        <v>65</v>
      </c>
      <c r="Q55" s="571">
        <f t="shared" si="8"/>
        <v>1.2949999999999997</v>
      </c>
      <c r="R55" s="572">
        <v>2.6000000000000023E-2</v>
      </c>
      <c r="S55" s="571">
        <f t="shared" si="9"/>
        <v>1.7710000000000008</v>
      </c>
      <c r="T55" s="573">
        <v>3.5599999999999986E-2</v>
      </c>
    </row>
    <row r="56" spans="2:20" ht="28" customHeight="1" thickBot="1" x14ac:dyDescent="0.35">
      <c r="B56" s="126">
        <f t="shared" si="4"/>
        <v>52</v>
      </c>
      <c r="C56" s="119" t="s">
        <v>116</v>
      </c>
      <c r="D56" s="120" t="s">
        <v>117</v>
      </c>
      <c r="E56" s="120" t="str">
        <f t="shared" si="11"/>
        <v>AndersLauglo</v>
      </c>
      <c r="F56" s="442">
        <v>522952</v>
      </c>
      <c r="G56" s="584" t="s">
        <v>283</v>
      </c>
      <c r="H56" s="587">
        <f t="shared" si="12"/>
        <v>2</v>
      </c>
      <c r="I56" s="585">
        <v>1939</v>
      </c>
      <c r="J56" s="590">
        <f t="shared" ca="1" si="13"/>
        <v>87</v>
      </c>
      <c r="K56" s="589">
        <f t="shared" ca="1" si="10"/>
        <v>2.3929999999999998</v>
      </c>
      <c r="L56" s="441"/>
      <c r="M56" s="122"/>
      <c r="N56" s="11"/>
      <c r="P56" s="570">
        <f t="shared" si="7"/>
        <v>66</v>
      </c>
      <c r="Q56" s="571">
        <f t="shared" si="8"/>
        <v>1.3209999999999997</v>
      </c>
      <c r="R56" s="572">
        <v>2.6000000000000023E-2</v>
      </c>
      <c r="S56" s="571">
        <f t="shared" si="9"/>
        <v>1.8066000000000009</v>
      </c>
      <c r="T56" s="573">
        <v>3.5599999999999986E-2</v>
      </c>
    </row>
    <row r="57" spans="2:20" ht="28" customHeight="1" thickBot="1" x14ac:dyDescent="0.35">
      <c r="B57" s="126">
        <f t="shared" si="4"/>
        <v>53</v>
      </c>
      <c r="C57" s="119" t="s">
        <v>118</v>
      </c>
      <c r="D57" s="120" t="s">
        <v>119</v>
      </c>
      <c r="E57" s="673" t="str">
        <f t="shared" si="11"/>
        <v>KnutLillealtern</v>
      </c>
      <c r="F57" s="125">
        <v>264828</v>
      </c>
      <c r="G57" s="674" t="s">
        <v>283</v>
      </c>
      <c r="H57" s="587">
        <f t="shared" si="12"/>
        <v>2</v>
      </c>
      <c r="I57" s="585">
        <v>1949</v>
      </c>
      <c r="J57" s="590">
        <f t="shared" ca="1" si="13"/>
        <v>77</v>
      </c>
      <c r="K57" s="589">
        <f t="shared" ca="1" si="10"/>
        <v>1.7050000000000001</v>
      </c>
      <c r="L57" s="441"/>
      <c r="M57" s="122"/>
      <c r="N57" s="11"/>
      <c r="P57" s="570">
        <f t="shared" si="7"/>
        <v>67</v>
      </c>
      <c r="Q57" s="571">
        <f t="shared" si="8"/>
        <v>1.3469999999999998</v>
      </c>
      <c r="R57" s="572">
        <v>2.6000000000000023E-2</v>
      </c>
      <c r="S57" s="571">
        <f t="shared" si="9"/>
        <v>1.8422000000000009</v>
      </c>
      <c r="T57" s="573">
        <v>3.5599999999999986E-2</v>
      </c>
    </row>
    <row r="58" spans="2:20" ht="28" customHeight="1" thickBot="1" x14ac:dyDescent="0.35">
      <c r="B58" s="126">
        <f t="shared" si="4"/>
        <v>54</v>
      </c>
      <c r="C58" s="119" t="s">
        <v>120</v>
      </c>
      <c r="D58" s="120" t="s">
        <v>121</v>
      </c>
      <c r="E58" s="120" t="str">
        <f t="shared" si="11"/>
        <v>KlausLivik</v>
      </c>
      <c r="F58" s="442">
        <v>238154</v>
      </c>
      <c r="G58" s="584" t="s">
        <v>283</v>
      </c>
      <c r="H58" s="587">
        <f t="shared" si="12"/>
        <v>2</v>
      </c>
      <c r="I58" s="585">
        <v>1954</v>
      </c>
      <c r="J58" s="590">
        <f t="shared" ca="1" si="13"/>
        <v>72</v>
      </c>
      <c r="K58" s="589">
        <f t="shared" ca="1" si="10"/>
        <v>1.4969999999999999</v>
      </c>
      <c r="L58" s="441"/>
      <c r="M58" s="122"/>
      <c r="N58" s="11"/>
      <c r="P58" s="570">
        <f t="shared" si="7"/>
        <v>68</v>
      </c>
      <c r="Q58" s="571">
        <f t="shared" si="8"/>
        <v>1.3729999999999998</v>
      </c>
      <c r="R58" s="572">
        <v>2.6000000000000023E-2</v>
      </c>
      <c r="S58" s="571">
        <f t="shared" si="9"/>
        <v>1.877800000000001</v>
      </c>
      <c r="T58" s="573">
        <v>3.5599999999999986E-2</v>
      </c>
    </row>
    <row r="59" spans="2:20" ht="28" customHeight="1" thickBot="1" x14ac:dyDescent="0.35">
      <c r="B59" s="126">
        <f t="shared" si="4"/>
        <v>55</v>
      </c>
      <c r="C59" s="119" t="s">
        <v>248</v>
      </c>
      <c r="D59" s="120" t="s">
        <v>249</v>
      </c>
      <c r="E59" s="120" t="str">
        <f t="shared" si="11"/>
        <v>ErikLund</v>
      </c>
      <c r="F59" s="125">
        <v>250595</v>
      </c>
      <c r="G59" s="584" t="s">
        <v>283</v>
      </c>
      <c r="H59" s="587">
        <f t="shared" si="12"/>
        <v>2</v>
      </c>
      <c r="I59" s="585">
        <v>1947</v>
      </c>
      <c r="J59" s="590">
        <f t="shared" ca="1" si="13"/>
        <v>79</v>
      </c>
      <c r="K59" s="589">
        <f t="shared" ca="1" si="10"/>
        <v>1.8050000000000002</v>
      </c>
      <c r="L59" s="441"/>
      <c r="M59" s="122"/>
      <c r="N59" s="11"/>
      <c r="P59" s="570">
        <f t="shared" si="7"/>
        <v>69</v>
      </c>
      <c r="Q59" s="571">
        <f t="shared" si="8"/>
        <v>1.3989999999999998</v>
      </c>
      <c r="R59" s="572">
        <v>2.6000000000000023E-2</v>
      </c>
      <c r="S59" s="571">
        <f t="shared" si="9"/>
        <v>1.9134000000000011</v>
      </c>
      <c r="T59" s="573">
        <v>3.5599999999999986E-2</v>
      </c>
    </row>
    <row r="60" spans="2:20" ht="28" customHeight="1" thickBot="1" x14ac:dyDescent="0.35">
      <c r="B60" s="126">
        <f t="shared" ref="B60:B95" si="14">B59+1</f>
        <v>56</v>
      </c>
      <c r="C60" s="119" t="s">
        <v>222</v>
      </c>
      <c r="D60" s="120" t="s">
        <v>221</v>
      </c>
      <c r="E60" s="120" t="str">
        <f t="shared" si="11"/>
        <v>Kjell Maroni</v>
      </c>
      <c r="F60" s="441">
        <v>266672</v>
      </c>
      <c r="G60" s="584" t="s">
        <v>283</v>
      </c>
      <c r="H60" s="587">
        <f t="shared" si="12"/>
        <v>2</v>
      </c>
      <c r="I60" s="585">
        <v>1956</v>
      </c>
      <c r="J60" s="590">
        <f t="shared" ca="1" si="13"/>
        <v>70</v>
      </c>
      <c r="K60" s="589">
        <f t="shared" ca="1" si="10"/>
        <v>1.4249999999999998</v>
      </c>
      <c r="L60" s="440"/>
      <c r="M60" s="122"/>
      <c r="N60" s="11"/>
      <c r="P60" s="570">
        <f t="shared" si="7"/>
        <v>70</v>
      </c>
      <c r="Q60" s="571">
        <f t="shared" si="8"/>
        <v>1.4249999999999998</v>
      </c>
      <c r="R60" s="572">
        <v>3.599999999999999E-2</v>
      </c>
      <c r="S60" s="571">
        <f t="shared" si="9"/>
        <v>1.9490000000000012</v>
      </c>
      <c r="T60" s="573">
        <v>4.3600000000000083E-2</v>
      </c>
    </row>
    <row r="61" spans="2:20" ht="28" customHeight="1" thickBot="1" x14ac:dyDescent="0.35">
      <c r="B61" s="126">
        <f t="shared" si="14"/>
        <v>57</v>
      </c>
      <c r="C61" s="119" t="s">
        <v>122</v>
      </c>
      <c r="D61" s="120" t="s">
        <v>123</v>
      </c>
      <c r="E61" s="120" t="str">
        <f t="shared" si="11"/>
        <v>MartinMelhuus</v>
      </c>
      <c r="F61" s="441">
        <v>518763</v>
      </c>
      <c r="G61" s="584" t="s">
        <v>283</v>
      </c>
      <c r="H61" s="587">
        <f t="shared" si="12"/>
        <v>2</v>
      </c>
      <c r="I61" s="585">
        <v>1944</v>
      </c>
      <c r="J61" s="590">
        <f t="shared" ca="1" si="13"/>
        <v>82</v>
      </c>
      <c r="K61" s="589">
        <f t="shared" ca="1" si="10"/>
        <v>2.0030000000000001</v>
      </c>
      <c r="L61" s="441"/>
      <c r="M61" s="122"/>
      <c r="N61" s="11"/>
      <c r="P61" s="570">
        <f t="shared" si="7"/>
        <v>71</v>
      </c>
      <c r="Q61" s="571">
        <f t="shared" si="8"/>
        <v>1.4609999999999999</v>
      </c>
      <c r="R61" s="572">
        <v>3.599999999999999E-2</v>
      </c>
      <c r="S61" s="571">
        <f t="shared" si="9"/>
        <v>1.9926000000000013</v>
      </c>
      <c r="T61" s="573">
        <v>4.3600000000000083E-2</v>
      </c>
    </row>
    <row r="62" spans="2:20" ht="28" customHeight="1" thickBot="1" x14ac:dyDescent="0.35">
      <c r="B62" s="126">
        <f t="shared" si="14"/>
        <v>58</v>
      </c>
      <c r="C62" s="119" t="s">
        <v>124</v>
      </c>
      <c r="D62" s="120" t="s">
        <v>125</v>
      </c>
      <c r="E62" s="120" t="str">
        <f t="shared" si="11"/>
        <v>Heidi Midttun</v>
      </c>
      <c r="F62" s="440">
        <v>543428</v>
      </c>
      <c r="G62" s="584" t="s">
        <v>282</v>
      </c>
      <c r="H62" s="587">
        <f t="shared" si="12"/>
        <v>4</v>
      </c>
      <c r="I62" s="586">
        <v>1955</v>
      </c>
      <c r="J62" s="590">
        <f t="shared" ca="1" si="13"/>
        <v>71</v>
      </c>
      <c r="K62" s="589">
        <f t="shared" ca="1" si="10"/>
        <v>1.9926000000000013</v>
      </c>
      <c r="L62" s="441"/>
      <c r="M62" s="122"/>
      <c r="N62" s="11"/>
      <c r="P62" s="570">
        <f>P61+1</f>
        <v>72</v>
      </c>
      <c r="Q62" s="571">
        <f>Q61+R61</f>
        <v>1.4969999999999999</v>
      </c>
      <c r="R62" s="572">
        <v>3.599999999999999E-2</v>
      </c>
      <c r="S62" s="571">
        <f>S61+T61</f>
        <v>2.0362000000000013</v>
      </c>
      <c r="T62" s="573">
        <v>4.3600000000000083E-2</v>
      </c>
    </row>
    <row r="63" spans="2:20" ht="28" customHeight="1" thickBot="1" x14ac:dyDescent="0.35">
      <c r="B63" s="126">
        <f t="shared" si="14"/>
        <v>59</v>
      </c>
      <c r="C63" s="119" t="s">
        <v>126</v>
      </c>
      <c r="D63" s="120" t="s">
        <v>127</v>
      </c>
      <c r="E63" s="120" t="str">
        <f t="shared" si="11"/>
        <v>ArneMikkelsen</v>
      </c>
      <c r="F63" s="441">
        <v>521022</v>
      </c>
      <c r="G63" s="584" t="s">
        <v>283</v>
      </c>
      <c r="H63" s="587">
        <f t="shared" si="12"/>
        <v>2</v>
      </c>
      <c r="I63" s="585">
        <v>1953</v>
      </c>
      <c r="J63" s="590">
        <f t="shared" ca="1" si="13"/>
        <v>73</v>
      </c>
      <c r="K63" s="589">
        <f t="shared" ca="1" si="10"/>
        <v>1.5329999999999999</v>
      </c>
      <c r="L63" s="441"/>
      <c r="M63" s="122"/>
      <c r="N63" s="11"/>
      <c r="P63" s="570">
        <f t="shared" si="7"/>
        <v>73</v>
      </c>
      <c r="Q63" s="571">
        <f t="shared" si="8"/>
        <v>1.5329999999999999</v>
      </c>
      <c r="R63" s="572">
        <v>3.599999999999999E-2</v>
      </c>
      <c r="S63" s="571">
        <f t="shared" si="9"/>
        <v>2.0798000000000014</v>
      </c>
      <c r="T63" s="573">
        <v>4.3600000000000083E-2</v>
      </c>
    </row>
    <row r="64" spans="2:20" ht="28" customHeight="1" thickBot="1" x14ac:dyDescent="0.35">
      <c r="B64" s="126">
        <f t="shared" si="14"/>
        <v>60</v>
      </c>
      <c r="C64" s="119" t="s">
        <v>128</v>
      </c>
      <c r="D64" s="120" t="s">
        <v>129</v>
      </c>
      <c r="E64" s="120" t="str">
        <f t="shared" si="11"/>
        <v>OddMusum</v>
      </c>
      <c r="F64" s="441">
        <v>202040</v>
      </c>
      <c r="G64" s="584" t="s">
        <v>283</v>
      </c>
      <c r="H64" s="587">
        <f t="shared" si="12"/>
        <v>2</v>
      </c>
      <c r="I64" s="585">
        <v>1942</v>
      </c>
      <c r="J64" s="590">
        <f t="shared" ca="1" si="13"/>
        <v>84</v>
      </c>
      <c r="K64" s="589">
        <f t="shared" ca="1" si="10"/>
        <v>2.1509999999999998</v>
      </c>
      <c r="L64" s="441"/>
      <c r="M64" s="122"/>
      <c r="N64" s="11"/>
      <c r="P64" s="570">
        <f t="shared" si="7"/>
        <v>74</v>
      </c>
      <c r="Q64" s="571">
        <f t="shared" si="8"/>
        <v>1.569</v>
      </c>
      <c r="R64" s="572">
        <v>3.599999999999999E-2</v>
      </c>
      <c r="S64" s="571">
        <f t="shared" si="9"/>
        <v>2.1234000000000015</v>
      </c>
      <c r="T64" s="573">
        <v>4.3600000000000083E-2</v>
      </c>
    </row>
    <row r="65" spans="2:20" ht="28" customHeight="1" thickBot="1" x14ac:dyDescent="0.35">
      <c r="B65" s="126">
        <f t="shared" si="14"/>
        <v>61</v>
      </c>
      <c r="C65" s="119" t="s">
        <v>130</v>
      </c>
      <c r="D65" s="120" t="s">
        <v>131</v>
      </c>
      <c r="E65" s="120" t="str">
        <f t="shared" si="11"/>
        <v>AtleMørk</v>
      </c>
      <c r="F65" s="441">
        <v>540164</v>
      </c>
      <c r="G65" s="584" t="s">
        <v>283</v>
      </c>
      <c r="H65" s="587">
        <f t="shared" si="12"/>
        <v>2</v>
      </c>
      <c r="I65" s="585">
        <v>1949</v>
      </c>
      <c r="J65" s="590">
        <f t="shared" ca="1" si="13"/>
        <v>77</v>
      </c>
      <c r="K65" s="589">
        <f t="shared" ca="1" si="10"/>
        <v>1.7050000000000001</v>
      </c>
      <c r="L65" s="441"/>
      <c r="M65" s="122"/>
      <c r="N65" s="11"/>
      <c r="P65" s="570">
        <f t="shared" si="7"/>
        <v>75</v>
      </c>
      <c r="Q65" s="571">
        <f t="shared" si="8"/>
        <v>1.605</v>
      </c>
      <c r="R65" s="572">
        <v>0.05</v>
      </c>
      <c r="S65" s="571">
        <f t="shared" si="9"/>
        <v>2.1670000000000016</v>
      </c>
      <c r="T65" s="573">
        <v>5.7600000000000054E-2</v>
      </c>
    </row>
    <row r="66" spans="2:20" ht="28" customHeight="1" thickBot="1" x14ac:dyDescent="0.35">
      <c r="B66" s="126">
        <f t="shared" si="14"/>
        <v>62</v>
      </c>
      <c r="C66" s="119" t="s">
        <v>132</v>
      </c>
      <c r="D66" s="120" t="s">
        <v>133</v>
      </c>
      <c r="E66" s="120" t="str">
        <f t="shared" si="11"/>
        <v>JarleNestvold</v>
      </c>
      <c r="F66" s="441">
        <v>228431</v>
      </c>
      <c r="G66" s="584" t="s">
        <v>283</v>
      </c>
      <c r="H66" s="587">
        <f t="shared" si="12"/>
        <v>2</v>
      </c>
      <c r="I66" s="585">
        <v>1937</v>
      </c>
      <c r="J66" s="590">
        <f t="shared" ca="1" si="13"/>
        <v>89</v>
      </c>
      <c r="K66" s="589">
        <f t="shared" ca="1" si="10"/>
        <v>2.5609999999999999</v>
      </c>
      <c r="L66" s="441"/>
      <c r="M66" s="122"/>
      <c r="N66" s="11"/>
      <c r="P66" s="570">
        <f t="shared" si="7"/>
        <v>76</v>
      </c>
      <c r="Q66" s="571">
        <f t="shared" si="8"/>
        <v>1.655</v>
      </c>
      <c r="R66" s="572">
        <v>0.05</v>
      </c>
      <c r="S66" s="571">
        <f t="shared" si="9"/>
        <v>2.2246000000000015</v>
      </c>
      <c r="T66" s="573">
        <v>5.7600000000000054E-2</v>
      </c>
    </row>
    <row r="67" spans="2:20" ht="28" customHeight="1" thickBot="1" x14ac:dyDescent="0.35">
      <c r="B67" s="126">
        <f t="shared" si="14"/>
        <v>63</v>
      </c>
      <c r="C67" s="119" t="s">
        <v>402</v>
      </c>
      <c r="D67" s="120" t="s">
        <v>403</v>
      </c>
      <c r="E67" s="120" t="str">
        <f t="shared" si="11"/>
        <v>BørgeNordli</v>
      </c>
      <c r="F67" s="441">
        <v>282045</v>
      </c>
      <c r="G67" s="584" t="s">
        <v>283</v>
      </c>
      <c r="H67" s="587">
        <f t="shared" si="12"/>
        <v>2</v>
      </c>
      <c r="I67" s="585">
        <v>1982</v>
      </c>
      <c r="J67" s="590">
        <f t="shared" ca="1" si="13"/>
        <v>44</v>
      </c>
      <c r="K67" s="589">
        <f t="shared" ca="1" si="10"/>
        <v>1.0399999999999996</v>
      </c>
      <c r="L67" s="441"/>
      <c r="M67" s="122"/>
      <c r="N67" s="11"/>
      <c r="P67" s="570">
        <f t="shared" si="7"/>
        <v>77</v>
      </c>
      <c r="Q67" s="571">
        <f t="shared" si="8"/>
        <v>1.7050000000000001</v>
      </c>
      <c r="R67" s="572">
        <v>0.05</v>
      </c>
      <c r="S67" s="571">
        <f t="shared" si="9"/>
        <v>2.2822000000000013</v>
      </c>
      <c r="T67" s="573">
        <v>5.7600000000000054E-2</v>
      </c>
    </row>
    <row r="68" spans="2:20" ht="28" customHeight="1" thickBot="1" x14ac:dyDescent="0.35">
      <c r="B68" s="126">
        <f t="shared" si="14"/>
        <v>64</v>
      </c>
      <c r="C68" s="119" t="s">
        <v>265</v>
      </c>
      <c r="D68" s="120" t="s">
        <v>344</v>
      </c>
      <c r="E68" s="120" t="str">
        <f t="shared" si="11"/>
        <v>ØysteinNytrø</v>
      </c>
      <c r="F68" s="441">
        <v>543408</v>
      </c>
      <c r="G68" s="584" t="s">
        <v>283</v>
      </c>
      <c r="H68" s="587">
        <f t="shared" si="12"/>
        <v>2</v>
      </c>
      <c r="I68" s="585">
        <v>1960</v>
      </c>
      <c r="J68" s="590">
        <f t="shared" ca="1" si="13"/>
        <v>66</v>
      </c>
      <c r="K68" s="589">
        <f t="shared" ca="1" si="10"/>
        <v>1.3209999999999997</v>
      </c>
      <c r="L68" s="441"/>
      <c r="M68" s="122"/>
      <c r="N68" s="11"/>
      <c r="P68" s="570">
        <f t="shared" si="7"/>
        <v>78</v>
      </c>
      <c r="Q68" s="571">
        <f t="shared" si="8"/>
        <v>1.7550000000000001</v>
      </c>
      <c r="R68" s="572">
        <v>0.05</v>
      </c>
      <c r="S68" s="571">
        <f t="shared" si="9"/>
        <v>2.3398000000000012</v>
      </c>
      <c r="T68" s="573">
        <v>5.7600000000000054E-2</v>
      </c>
    </row>
    <row r="69" spans="2:20" ht="28" customHeight="1" thickBot="1" x14ac:dyDescent="0.35">
      <c r="B69" s="126">
        <f t="shared" si="14"/>
        <v>65</v>
      </c>
      <c r="C69" s="119" t="s">
        <v>134</v>
      </c>
      <c r="D69" s="120" t="s">
        <v>135</v>
      </c>
      <c r="E69" s="120" t="str">
        <f t="shared" si="11"/>
        <v>IngeNørstebø</v>
      </c>
      <c r="F69" s="441">
        <v>519904</v>
      </c>
      <c r="G69" s="584" t="s">
        <v>283</v>
      </c>
      <c r="H69" s="587">
        <f t="shared" si="12"/>
        <v>2</v>
      </c>
      <c r="I69" s="585">
        <v>1956</v>
      </c>
      <c r="J69" s="590">
        <f t="shared" ca="1" si="13"/>
        <v>70</v>
      </c>
      <c r="K69" s="589">
        <f t="shared" ca="1" si="10"/>
        <v>1.4249999999999998</v>
      </c>
      <c r="L69" s="441"/>
      <c r="M69" s="122"/>
      <c r="N69" s="11"/>
      <c r="P69" s="570">
        <f t="shared" si="7"/>
        <v>79</v>
      </c>
      <c r="Q69" s="571">
        <f t="shared" si="8"/>
        <v>1.8050000000000002</v>
      </c>
      <c r="R69" s="572">
        <v>0.05</v>
      </c>
      <c r="S69" s="571">
        <f t="shared" si="9"/>
        <v>2.3974000000000011</v>
      </c>
      <c r="T69" s="573">
        <v>5.7600000000000054E-2</v>
      </c>
    </row>
    <row r="70" spans="2:20" ht="28" customHeight="1" thickBot="1" x14ac:dyDescent="0.35">
      <c r="B70" s="126">
        <f t="shared" si="14"/>
        <v>66</v>
      </c>
      <c r="C70" s="119" t="s">
        <v>138</v>
      </c>
      <c r="D70" s="120" t="s">
        <v>137</v>
      </c>
      <c r="E70" s="120" t="str">
        <f t="shared" si="11"/>
        <v>GunnhildOftedal</v>
      </c>
      <c r="F70" s="441">
        <v>277407</v>
      </c>
      <c r="G70" s="584" t="s">
        <v>282</v>
      </c>
      <c r="H70" s="587">
        <f t="shared" si="12"/>
        <v>4</v>
      </c>
      <c r="I70" s="585">
        <v>1953</v>
      </c>
      <c r="J70" s="590">
        <f t="shared" ca="1" si="13"/>
        <v>73</v>
      </c>
      <c r="K70" s="589">
        <f t="shared" ca="1" si="10"/>
        <v>2.0798000000000014</v>
      </c>
      <c r="L70" s="441"/>
      <c r="M70" s="122"/>
      <c r="N70" s="11"/>
      <c r="P70" s="570">
        <f t="shared" si="7"/>
        <v>80</v>
      </c>
      <c r="Q70" s="571">
        <f t="shared" si="8"/>
        <v>1.8550000000000002</v>
      </c>
      <c r="R70" s="572">
        <v>7.4000000000000024E-2</v>
      </c>
      <c r="S70" s="571">
        <f t="shared" si="9"/>
        <v>2.455000000000001</v>
      </c>
      <c r="T70" s="573">
        <v>8.1600000000000075E-2</v>
      </c>
    </row>
    <row r="71" spans="2:20" ht="26" thickBot="1" x14ac:dyDescent="0.35">
      <c r="B71" s="126">
        <f t="shared" si="14"/>
        <v>67</v>
      </c>
      <c r="C71" s="119" t="s">
        <v>136</v>
      </c>
      <c r="D71" s="120" t="s">
        <v>137</v>
      </c>
      <c r="E71" s="120" t="str">
        <f t="shared" si="11"/>
        <v>HaraldOftedal</v>
      </c>
      <c r="F71" s="441">
        <v>527353</v>
      </c>
      <c r="G71" s="584" t="s">
        <v>283</v>
      </c>
      <c r="H71" s="587">
        <f t="shared" si="12"/>
        <v>2</v>
      </c>
      <c r="I71" s="585">
        <v>1952</v>
      </c>
      <c r="J71" s="590">
        <f t="shared" ca="1" si="13"/>
        <v>74</v>
      </c>
      <c r="K71" s="589">
        <f t="shared" ca="1" si="10"/>
        <v>1.569</v>
      </c>
      <c r="L71" s="441"/>
      <c r="M71" s="122"/>
      <c r="N71" s="11"/>
      <c r="P71" s="570">
        <f t="shared" si="7"/>
        <v>81</v>
      </c>
      <c r="Q71" s="571">
        <f t="shared" si="8"/>
        <v>1.9290000000000003</v>
      </c>
      <c r="R71" s="572">
        <v>7.4000000000000024E-2</v>
      </c>
      <c r="S71" s="571">
        <f t="shared" si="9"/>
        <v>2.5366000000000009</v>
      </c>
      <c r="T71" s="573">
        <v>8.1600000000000075E-2</v>
      </c>
    </row>
    <row r="72" spans="2:20" ht="26" thickBot="1" x14ac:dyDescent="0.35">
      <c r="B72" s="126">
        <f t="shared" si="14"/>
        <v>68</v>
      </c>
      <c r="C72" s="119" t="s">
        <v>72</v>
      </c>
      <c r="D72" s="120" t="s">
        <v>139</v>
      </c>
      <c r="E72" s="120" t="str">
        <f t="shared" si="11"/>
        <v>KåreOnsøyen</v>
      </c>
      <c r="F72" s="441">
        <v>520904</v>
      </c>
      <c r="G72" s="584" t="s">
        <v>283</v>
      </c>
      <c r="H72" s="587">
        <f t="shared" si="12"/>
        <v>2</v>
      </c>
      <c r="I72" s="585">
        <v>1948</v>
      </c>
      <c r="J72" s="590">
        <f t="shared" ca="1" si="13"/>
        <v>78</v>
      </c>
      <c r="K72" s="589">
        <f t="shared" ref="K72:K95" ca="1" si="15">VLOOKUP(J72,P$6:T$84,H72,FALSE)</f>
        <v>1.7550000000000001</v>
      </c>
      <c r="L72" s="441"/>
      <c r="M72" s="122"/>
      <c r="N72" s="11"/>
      <c r="P72" s="570">
        <f t="shared" si="7"/>
        <v>82</v>
      </c>
      <c r="Q72" s="571">
        <f t="shared" si="8"/>
        <v>2.0030000000000001</v>
      </c>
      <c r="R72" s="572">
        <v>7.4000000000000024E-2</v>
      </c>
      <c r="S72" s="571">
        <f t="shared" si="9"/>
        <v>2.6182000000000007</v>
      </c>
      <c r="T72" s="573">
        <v>8.1600000000000075E-2</v>
      </c>
    </row>
    <row r="73" spans="2:20" ht="26" thickBot="1" x14ac:dyDescent="0.35">
      <c r="B73" s="126">
        <f t="shared" si="14"/>
        <v>69</v>
      </c>
      <c r="C73" s="119" t="s">
        <v>140</v>
      </c>
      <c r="D73" s="120" t="s">
        <v>141</v>
      </c>
      <c r="E73" s="120" t="str">
        <f t="shared" si="11"/>
        <v>Grete BergeOwren</v>
      </c>
      <c r="F73" s="441">
        <v>513582</v>
      </c>
      <c r="G73" s="584" t="s">
        <v>282</v>
      </c>
      <c r="H73" s="587">
        <f t="shared" si="12"/>
        <v>4</v>
      </c>
      <c r="I73" s="585">
        <v>1958</v>
      </c>
      <c r="J73" s="590">
        <f t="shared" ca="1" si="13"/>
        <v>68</v>
      </c>
      <c r="K73" s="589">
        <f t="shared" ca="1" si="15"/>
        <v>1.877800000000001</v>
      </c>
      <c r="L73" s="441"/>
      <c r="M73" s="122"/>
      <c r="N73" s="11"/>
      <c r="P73" s="570">
        <f t="shared" si="7"/>
        <v>83</v>
      </c>
      <c r="Q73" s="571">
        <f t="shared" si="8"/>
        <v>2.077</v>
      </c>
      <c r="R73" s="572">
        <v>7.4000000000000024E-2</v>
      </c>
      <c r="S73" s="571">
        <f t="shared" si="9"/>
        <v>2.6998000000000006</v>
      </c>
      <c r="T73" s="573">
        <v>8.1600000000000075E-2</v>
      </c>
    </row>
    <row r="74" spans="2:20" ht="26" thickBot="1" x14ac:dyDescent="0.35">
      <c r="B74" s="126">
        <f t="shared" si="14"/>
        <v>70</v>
      </c>
      <c r="C74" s="119" t="s">
        <v>142</v>
      </c>
      <c r="D74" s="120" t="s">
        <v>143</v>
      </c>
      <c r="E74" s="120" t="str">
        <f t="shared" si="11"/>
        <v>EgilRepvik</v>
      </c>
      <c r="F74" s="441">
        <v>520862</v>
      </c>
      <c r="G74" s="584" t="s">
        <v>283</v>
      </c>
      <c r="H74" s="587">
        <f t="shared" si="12"/>
        <v>2</v>
      </c>
      <c r="I74" s="585">
        <v>1946</v>
      </c>
      <c r="J74" s="590">
        <f t="shared" ca="1" si="13"/>
        <v>80</v>
      </c>
      <c r="K74" s="589">
        <f t="shared" ca="1" si="15"/>
        <v>1.8550000000000002</v>
      </c>
      <c r="L74" s="441"/>
      <c r="M74" s="122"/>
      <c r="N74" s="11"/>
      <c r="P74" s="570">
        <f t="shared" si="7"/>
        <v>84</v>
      </c>
      <c r="Q74" s="571">
        <f t="shared" si="8"/>
        <v>2.1509999999999998</v>
      </c>
      <c r="R74" s="572">
        <v>7.4000000000000024E-2</v>
      </c>
      <c r="S74" s="571">
        <f t="shared" si="9"/>
        <v>2.7814000000000005</v>
      </c>
      <c r="T74" s="573">
        <v>8.1600000000000075E-2</v>
      </c>
    </row>
    <row r="75" spans="2:20" ht="26" thickBot="1" x14ac:dyDescent="0.35">
      <c r="B75" s="126">
        <f t="shared" si="14"/>
        <v>71</v>
      </c>
      <c r="C75" s="119" t="s">
        <v>144</v>
      </c>
      <c r="D75" s="120" t="s">
        <v>145</v>
      </c>
      <c r="E75" s="120" t="str">
        <f t="shared" si="11"/>
        <v>Bjørn Rindstad</v>
      </c>
      <c r="F75" s="441">
        <v>241255</v>
      </c>
      <c r="G75" s="584" t="s">
        <v>283</v>
      </c>
      <c r="H75" s="587">
        <f t="shared" si="12"/>
        <v>2</v>
      </c>
      <c r="I75" s="585">
        <v>1951</v>
      </c>
      <c r="J75" s="590">
        <f t="shared" ca="1" si="13"/>
        <v>75</v>
      </c>
      <c r="K75" s="589">
        <f t="shared" ca="1" si="15"/>
        <v>1.605</v>
      </c>
      <c r="L75" s="441"/>
      <c r="M75" s="122"/>
      <c r="N75" s="11"/>
      <c r="P75" s="570">
        <f t="shared" si="7"/>
        <v>85</v>
      </c>
      <c r="Q75" s="571">
        <f t="shared" si="8"/>
        <v>2.2249999999999996</v>
      </c>
      <c r="R75" s="572">
        <v>8.3999999999999991E-2</v>
      </c>
      <c r="S75" s="571">
        <f t="shared" si="9"/>
        <v>2.8630000000000004</v>
      </c>
      <c r="T75" s="573">
        <v>8.9999999999999775E-2</v>
      </c>
    </row>
    <row r="76" spans="2:20" ht="26" thickBot="1" x14ac:dyDescent="0.35">
      <c r="B76" s="126">
        <f t="shared" si="14"/>
        <v>72</v>
      </c>
      <c r="C76" s="119" t="s">
        <v>298</v>
      </c>
      <c r="D76" s="120" t="s">
        <v>405</v>
      </c>
      <c r="E76" s="120" t="str">
        <f t="shared" si="11"/>
        <v>ØyvindRogndalen</v>
      </c>
      <c r="F76" s="441">
        <v>526029</v>
      </c>
      <c r="G76" s="584" t="s">
        <v>283</v>
      </c>
      <c r="H76" s="587">
        <f t="shared" ref="H76" si="16">IF(G76="H",2,4)</f>
        <v>2</v>
      </c>
      <c r="I76" s="585">
        <v>1945</v>
      </c>
      <c r="J76" s="590">
        <f t="shared" ref="J76" ca="1" si="17">YEAR(S$3)-I76</f>
        <v>81</v>
      </c>
      <c r="K76" s="589">
        <f t="shared" ca="1" si="15"/>
        <v>1.9290000000000003</v>
      </c>
      <c r="L76" s="441"/>
      <c r="M76" s="122"/>
      <c r="N76" s="11"/>
      <c r="P76" s="570">
        <f t="shared" ref="P76:P85" si="18">P75+1</f>
        <v>86</v>
      </c>
      <c r="Q76" s="571">
        <f t="shared" si="8"/>
        <v>2.3089999999999997</v>
      </c>
      <c r="R76" s="572">
        <v>8.3999999999999991E-2</v>
      </c>
      <c r="S76" s="571">
        <f t="shared" si="9"/>
        <v>2.9530000000000003</v>
      </c>
      <c r="T76" s="573">
        <v>8.9999999999999775E-2</v>
      </c>
    </row>
    <row r="77" spans="2:20" ht="26" thickBot="1" x14ac:dyDescent="0.35">
      <c r="B77" s="126">
        <f t="shared" si="14"/>
        <v>73</v>
      </c>
      <c r="C77" s="119" t="s">
        <v>78</v>
      </c>
      <c r="D77" s="120" t="s">
        <v>146</v>
      </c>
      <c r="E77" s="120" t="str">
        <f t="shared" si="11"/>
        <v>LeifRøhjell</v>
      </c>
      <c r="F77" s="441">
        <v>527371</v>
      </c>
      <c r="G77" s="584" t="s">
        <v>283</v>
      </c>
      <c r="H77" s="587">
        <f t="shared" si="12"/>
        <v>2</v>
      </c>
      <c r="I77" s="585">
        <v>1944</v>
      </c>
      <c r="J77" s="590">
        <f t="shared" ca="1" si="13"/>
        <v>82</v>
      </c>
      <c r="K77" s="589">
        <f t="shared" ca="1" si="15"/>
        <v>2.0030000000000001</v>
      </c>
      <c r="L77" s="441"/>
      <c r="M77" s="122"/>
      <c r="N77" s="11"/>
      <c r="P77" s="570">
        <f t="shared" si="18"/>
        <v>87</v>
      </c>
      <c r="Q77" s="571">
        <f t="shared" si="8"/>
        <v>2.3929999999999998</v>
      </c>
      <c r="R77" s="572">
        <v>8.3999999999999991E-2</v>
      </c>
      <c r="S77" s="571">
        <f t="shared" si="9"/>
        <v>3.0430000000000001</v>
      </c>
      <c r="T77" s="573">
        <v>8.9999999999999775E-2</v>
      </c>
    </row>
    <row r="78" spans="2:20" ht="26" thickBot="1" x14ac:dyDescent="0.35">
      <c r="B78" s="126">
        <f t="shared" si="14"/>
        <v>74</v>
      </c>
      <c r="C78" s="119" t="s">
        <v>228</v>
      </c>
      <c r="D78" s="120" t="s">
        <v>229</v>
      </c>
      <c r="E78" s="120" t="str">
        <f t="shared" si="11"/>
        <v>May-LisRønning</v>
      </c>
      <c r="F78" s="440">
        <v>256948</v>
      </c>
      <c r="G78" s="584" t="s">
        <v>282</v>
      </c>
      <c r="H78" s="587">
        <f t="shared" si="12"/>
        <v>4</v>
      </c>
      <c r="I78" s="585">
        <v>1970</v>
      </c>
      <c r="J78" s="590">
        <f t="shared" ca="1" si="13"/>
        <v>56</v>
      </c>
      <c r="K78" s="589">
        <f t="shared" ca="1" si="15"/>
        <v>1.5329999999999997</v>
      </c>
      <c r="L78" s="441"/>
      <c r="M78" s="122"/>
      <c r="N78" s="11"/>
      <c r="P78" s="570">
        <f t="shared" si="18"/>
        <v>88</v>
      </c>
      <c r="Q78" s="571">
        <f t="shared" si="8"/>
        <v>2.4769999999999999</v>
      </c>
      <c r="R78" s="572">
        <v>8.3999999999999991E-2</v>
      </c>
      <c r="S78" s="571">
        <f t="shared" si="9"/>
        <v>3.133</v>
      </c>
      <c r="T78" s="573">
        <v>8.9999999999999775E-2</v>
      </c>
    </row>
    <row r="79" spans="2:20" ht="26" thickBot="1" x14ac:dyDescent="0.35">
      <c r="B79" s="126">
        <f t="shared" si="14"/>
        <v>75</v>
      </c>
      <c r="C79" s="119" t="s">
        <v>147</v>
      </c>
      <c r="D79" s="120" t="s">
        <v>148</v>
      </c>
      <c r="E79" s="120" t="str">
        <f t="shared" ref="E79:E95" si="19">_xlfn.CONCAT(C79:D79)</f>
        <v>ViggoSchei</v>
      </c>
      <c r="F79" s="440">
        <v>243746</v>
      </c>
      <c r="G79" s="584" t="s">
        <v>283</v>
      </c>
      <c r="H79" s="587">
        <f t="shared" ref="H79:H95" si="20">IF(G79="H",2,4)</f>
        <v>2</v>
      </c>
      <c r="I79" s="585">
        <v>1951</v>
      </c>
      <c r="J79" s="590">
        <f t="shared" ca="1" si="13"/>
        <v>75</v>
      </c>
      <c r="K79" s="589">
        <f t="shared" ca="1" si="15"/>
        <v>1.605</v>
      </c>
      <c r="L79" s="441"/>
      <c r="M79" s="122"/>
      <c r="N79" s="11"/>
      <c r="P79" s="570">
        <f t="shared" si="18"/>
        <v>89</v>
      </c>
      <c r="Q79" s="571">
        <f t="shared" si="8"/>
        <v>2.5609999999999999</v>
      </c>
      <c r="R79" s="572">
        <v>8.3999999999999991E-2</v>
      </c>
      <c r="S79" s="571">
        <f t="shared" si="9"/>
        <v>3.2229999999999999</v>
      </c>
      <c r="T79" s="573">
        <v>8.9999999999999775E-2</v>
      </c>
    </row>
    <row r="80" spans="2:20" ht="26" thickBot="1" x14ac:dyDescent="0.35">
      <c r="B80" s="126">
        <f t="shared" si="14"/>
        <v>76</v>
      </c>
      <c r="C80" s="119" t="s">
        <v>298</v>
      </c>
      <c r="D80" s="120" t="s">
        <v>297</v>
      </c>
      <c r="E80" s="120" t="str">
        <f t="shared" si="19"/>
        <v>ØyvindSchjelderup</v>
      </c>
      <c r="F80" s="440">
        <v>516890</v>
      </c>
      <c r="G80" s="584" t="s">
        <v>283</v>
      </c>
      <c r="H80" s="587">
        <f t="shared" si="20"/>
        <v>2</v>
      </c>
      <c r="I80" s="585">
        <v>1965</v>
      </c>
      <c r="J80" s="590">
        <f t="shared" ref="J80:J95" ca="1" si="21">YEAR(S$3)-I80</f>
        <v>61</v>
      </c>
      <c r="K80" s="589">
        <f t="shared" ca="1" si="15"/>
        <v>1.2190000000000001</v>
      </c>
      <c r="L80" s="441"/>
      <c r="M80" s="122"/>
      <c r="N80" s="11"/>
      <c r="P80" s="570">
        <f t="shared" si="18"/>
        <v>90</v>
      </c>
      <c r="Q80" s="571">
        <f t="shared" si="8"/>
        <v>2.645</v>
      </c>
      <c r="R80" s="572">
        <v>8.3999999999999991E-2</v>
      </c>
      <c r="S80" s="571">
        <f t="shared" si="9"/>
        <v>3.3129999999999997</v>
      </c>
      <c r="T80" s="573">
        <v>8.9999999999999775E-2</v>
      </c>
    </row>
    <row r="81" spans="2:20" ht="26" thickBot="1" x14ac:dyDescent="0.35">
      <c r="B81" s="126">
        <f t="shared" si="14"/>
        <v>77</v>
      </c>
      <c r="C81" s="119" t="s">
        <v>149</v>
      </c>
      <c r="D81" s="120" t="s">
        <v>150</v>
      </c>
      <c r="E81" s="120" t="str">
        <f t="shared" si="19"/>
        <v>BenteSkorge</v>
      </c>
      <c r="F81" s="441">
        <v>275724</v>
      </c>
      <c r="G81" s="584" t="s">
        <v>282</v>
      </c>
      <c r="H81" s="587">
        <f t="shared" si="20"/>
        <v>4</v>
      </c>
      <c r="I81" s="585">
        <v>1959</v>
      </c>
      <c r="J81" s="590">
        <f t="shared" ca="1" si="21"/>
        <v>67</v>
      </c>
      <c r="K81" s="589">
        <f t="shared" ca="1" si="15"/>
        <v>1.8422000000000009</v>
      </c>
      <c r="L81" s="441"/>
      <c r="M81" s="122"/>
      <c r="N81" s="11"/>
      <c r="P81" s="570">
        <f>P80+1</f>
        <v>91</v>
      </c>
      <c r="Q81" s="571">
        <f>Q80+R80</f>
        <v>2.7290000000000001</v>
      </c>
      <c r="R81" s="572">
        <v>8.3999999999999991E-2</v>
      </c>
      <c r="S81" s="580"/>
      <c r="T81" s="575"/>
    </row>
    <row r="82" spans="2:20" ht="26" thickBot="1" x14ac:dyDescent="0.35">
      <c r="B82" s="126">
        <f t="shared" si="14"/>
        <v>78</v>
      </c>
      <c r="C82" s="119" t="s">
        <v>153</v>
      </c>
      <c r="D82" s="120" t="s">
        <v>154</v>
      </c>
      <c r="E82" s="120" t="str">
        <f t="shared" si="19"/>
        <v>ReidunSmaavik</v>
      </c>
      <c r="F82" s="441">
        <v>521321</v>
      </c>
      <c r="G82" s="584" t="s">
        <v>282</v>
      </c>
      <c r="H82" s="587">
        <f t="shared" si="20"/>
        <v>4</v>
      </c>
      <c r="I82" s="585">
        <v>1955</v>
      </c>
      <c r="J82" s="590">
        <f t="shared" ca="1" si="21"/>
        <v>71</v>
      </c>
      <c r="K82" s="589">
        <f t="shared" ca="1" si="15"/>
        <v>1.9926000000000013</v>
      </c>
      <c r="L82" s="125"/>
      <c r="M82" s="122"/>
      <c r="N82" s="11"/>
      <c r="P82" s="570">
        <f t="shared" si="18"/>
        <v>92</v>
      </c>
      <c r="Q82" s="571">
        <f t="shared" si="8"/>
        <v>2.8130000000000002</v>
      </c>
      <c r="R82" s="572">
        <v>8.3999999999999991E-2</v>
      </c>
      <c r="S82" s="580"/>
      <c r="T82" s="575"/>
    </row>
    <row r="83" spans="2:20" ht="26" thickBot="1" x14ac:dyDescent="0.35">
      <c r="B83" s="126">
        <f t="shared" si="14"/>
        <v>79</v>
      </c>
      <c r="C83" s="123" t="s">
        <v>155</v>
      </c>
      <c r="D83" s="124" t="s">
        <v>156</v>
      </c>
      <c r="E83" s="120" t="str">
        <f t="shared" si="19"/>
        <v>KjellrunSporild</v>
      </c>
      <c r="F83" s="125">
        <v>538019</v>
      </c>
      <c r="G83" s="584" t="s">
        <v>282</v>
      </c>
      <c r="H83" s="587">
        <f t="shared" si="20"/>
        <v>4</v>
      </c>
      <c r="I83" s="585">
        <v>1955</v>
      </c>
      <c r="J83" s="590">
        <f t="shared" ca="1" si="21"/>
        <v>71</v>
      </c>
      <c r="K83" s="589">
        <f t="shared" ca="1" si="15"/>
        <v>1.9926000000000013</v>
      </c>
      <c r="L83" s="125"/>
      <c r="M83" s="122"/>
      <c r="N83" s="11"/>
      <c r="P83" s="570">
        <f t="shared" si="18"/>
        <v>93</v>
      </c>
      <c r="Q83" s="571">
        <f t="shared" si="8"/>
        <v>2.8970000000000002</v>
      </c>
      <c r="R83" s="572">
        <v>8.3999999999999991E-2</v>
      </c>
      <c r="S83" s="580"/>
      <c r="T83" s="575"/>
    </row>
    <row r="84" spans="2:20" ht="26" thickBot="1" x14ac:dyDescent="0.35">
      <c r="B84" s="126">
        <f t="shared" si="14"/>
        <v>80</v>
      </c>
      <c r="C84" s="123" t="s">
        <v>411</v>
      </c>
      <c r="D84" s="124" t="s">
        <v>412</v>
      </c>
      <c r="E84" s="120" t="str">
        <f t="shared" si="19"/>
        <v>HenrySundsetvik</v>
      </c>
      <c r="F84" s="125">
        <v>246353</v>
      </c>
      <c r="G84" s="584" t="s">
        <v>283</v>
      </c>
      <c r="H84" s="587">
        <f t="shared" si="20"/>
        <v>2</v>
      </c>
      <c r="I84" s="585">
        <v>1940</v>
      </c>
      <c r="J84" s="590">
        <f t="shared" ca="1" si="21"/>
        <v>86</v>
      </c>
      <c r="K84" s="589">
        <f t="shared" ca="1" si="15"/>
        <v>2.3089999999999997</v>
      </c>
      <c r="L84" s="125"/>
      <c r="M84" s="122"/>
      <c r="N84" s="11"/>
      <c r="P84" s="570">
        <f t="shared" si="18"/>
        <v>94</v>
      </c>
      <c r="Q84" s="571">
        <f t="shared" si="8"/>
        <v>2.9810000000000003</v>
      </c>
      <c r="R84" s="572">
        <v>8.3999999999999991E-2</v>
      </c>
      <c r="S84" s="580"/>
      <c r="T84" s="575"/>
    </row>
    <row r="85" spans="2:20" ht="26" thickBot="1" x14ac:dyDescent="0.35">
      <c r="B85" s="126">
        <f t="shared" si="14"/>
        <v>81</v>
      </c>
      <c r="C85" s="123" t="s">
        <v>232</v>
      </c>
      <c r="D85" s="376" t="s">
        <v>231</v>
      </c>
      <c r="E85" s="120" t="str">
        <f t="shared" si="19"/>
        <v>BeritSunnset</v>
      </c>
      <c r="F85" s="445">
        <v>537944</v>
      </c>
      <c r="G85" s="584" t="s">
        <v>282</v>
      </c>
      <c r="H85" s="587">
        <f t="shared" si="20"/>
        <v>4</v>
      </c>
      <c r="I85" s="583">
        <v>1963</v>
      </c>
      <c r="J85" s="590">
        <f t="shared" ca="1" si="21"/>
        <v>63</v>
      </c>
      <c r="K85" s="589">
        <f t="shared" ca="1" si="15"/>
        <v>1.7126000000000006</v>
      </c>
      <c r="L85" s="125"/>
      <c r="M85" s="122"/>
      <c r="N85" s="11"/>
      <c r="P85" s="576">
        <f t="shared" si="18"/>
        <v>95</v>
      </c>
      <c r="Q85" s="577">
        <f t="shared" si="8"/>
        <v>3.0650000000000004</v>
      </c>
      <c r="R85" s="578">
        <v>8.3999999999999991E-2</v>
      </c>
      <c r="S85" s="581"/>
      <c r="T85" s="579"/>
    </row>
    <row r="86" spans="2:20" ht="26" thickBot="1" x14ac:dyDescent="0.35">
      <c r="B86" s="126">
        <f t="shared" si="14"/>
        <v>82</v>
      </c>
      <c r="C86" s="123" t="s">
        <v>230</v>
      </c>
      <c r="D86" s="125" t="s">
        <v>231</v>
      </c>
      <c r="E86" s="120" t="str">
        <f t="shared" si="19"/>
        <v>TrineSunnset</v>
      </c>
      <c r="F86" s="445">
        <v>537944</v>
      </c>
      <c r="G86" s="584" t="s">
        <v>282</v>
      </c>
      <c r="H86" s="587">
        <f t="shared" si="20"/>
        <v>4</v>
      </c>
      <c r="I86" s="585">
        <v>1963</v>
      </c>
      <c r="J86" s="590">
        <f t="shared" ca="1" si="21"/>
        <v>63</v>
      </c>
      <c r="K86" s="589">
        <f t="shared" ca="1" si="15"/>
        <v>1.7126000000000006</v>
      </c>
      <c r="L86" s="125"/>
      <c r="M86" s="122"/>
      <c r="N86" s="11"/>
    </row>
    <row r="87" spans="2:20" ht="26" thickBot="1" x14ac:dyDescent="0.35">
      <c r="B87" s="126">
        <f t="shared" si="14"/>
        <v>83</v>
      </c>
      <c r="C87" s="123" t="s">
        <v>159</v>
      </c>
      <c r="D87" s="124" t="s">
        <v>160</v>
      </c>
      <c r="E87" s="120" t="str">
        <f t="shared" si="19"/>
        <v>EigilSørli</v>
      </c>
      <c r="F87" s="125">
        <v>522360</v>
      </c>
      <c r="G87" s="584" t="s">
        <v>283</v>
      </c>
      <c r="H87" s="587">
        <f t="shared" si="20"/>
        <v>2</v>
      </c>
      <c r="I87" s="585">
        <v>1940</v>
      </c>
      <c r="J87" s="590">
        <f t="shared" ca="1" si="21"/>
        <v>86</v>
      </c>
      <c r="K87" s="589">
        <f t="shared" ca="1" si="15"/>
        <v>2.3089999999999997</v>
      </c>
      <c r="L87" s="125"/>
      <c r="M87" s="122"/>
      <c r="N87" s="11"/>
    </row>
    <row r="88" spans="2:20" ht="26" thickBot="1" x14ac:dyDescent="0.35">
      <c r="B88" s="126">
        <f t="shared" si="14"/>
        <v>84</v>
      </c>
      <c r="C88" s="123" t="s">
        <v>161</v>
      </c>
      <c r="D88" s="124" t="s">
        <v>162</v>
      </c>
      <c r="E88" s="120" t="str">
        <f t="shared" si="19"/>
        <v>Nils OlavVennevik</v>
      </c>
      <c r="F88" s="125">
        <v>515194</v>
      </c>
      <c r="G88" s="584" t="s">
        <v>283</v>
      </c>
      <c r="H88" s="587">
        <f t="shared" si="20"/>
        <v>2</v>
      </c>
      <c r="I88" s="585">
        <v>1948</v>
      </c>
      <c r="J88" s="590">
        <f t="shared" ca="1" si="21"/>
        <v>78</v>
      </c>
      <c r="K88" s="589">
        <f t="shared" ca="1" si="15"/>
        <v>1.7550000000000001</v>
      </c>
      <c r="L88" s="125"/>
      <c r="M88" s="122"/>
      <c r="N88" s="11"/>
    </row>
    <row r="89" spans="2:20" ht="26" thickBot="1" x14ac:dyDescent="0.35">
      <c r="B89" s="126">
        <f t="shared" si="14"/>
        <v>85</v>
      </c>
      <c r="C89" s="123" t="s">
        <v>163</v>
      </c>
      <c r="D89" s="125" t="s">
        <v>164</v>
      </c>
      <c r="E89" s="120" t="str">
        <f t="shared" si="19"/>
        <v>ArnulfVilmo</v>
      </c>
      <c r="F89" s="442">
        <v>518325</v>
      </c>
      <c r="G89" s="584" t="s">
        <v>283</v>
      </c>
      <c r="H89" s="587">
        <f t="shared" si="20"/>
        <v>2</v>
      </c>
      <c r="I89" s="585">
        <v>1953</v>
      </c>
      <c r="J89" s="590">
        <f t="shared" ca="1" si="21"/>
        <v>73</v>
      </c>
      <c r="K89" s="589">
        <f t="shared" ca="1" si="15"/>
        <v>1.5329999999999999</v>
      </c>
      <c r="L89" s="125"/>
      <c r="M89" s="122"/>
      <c r="N89" s="11"/>
    </row>
    <row r="90" spans="2:20" ht="26" thickBot="1" x14ac:dyDescent="0.25">
      <c r="B90" s="126">
        <f t="shared" si="14"/>
        <v>86</v>
      </c>
      <c r="C90" s="123" t="s">
        <v>265</v>
      </c>
      <c r="D90" s="125" t="s">
        <v>266</v>
      </c>
      <c r="E90" s="120" t="str">
        <f t="shared" si="19"/>
        <v>ØysteinWiggen</v>
      </c>
      <c r="F90" s="125">
        <v>519433</v>
      </c>
      <c r="G90" s="584" t="s">
        <v>283</v>
      </c>
      <c r="H90" s="587">
        <f t="shared" si="20"/>
        <v>2</v>
      </c>
      <c r="I90" s="585">
        <v>1966</v>
      </c>
      <c r="J90" s="590">
        <f t="shared" ca="1" si="21"/>
        <v>60</v>
      </c>
      <c r="K90" s="589">
        <f t="shared" ca="1" si="15"/>
        <v>1.2000000000000002</v>
      </c>
      <c r="L90" s="11"/>
      <c r="M90" s="11"/>
      <c r="N90" s="11"/>
    </row>
    <row r="91" spans="2:20" ht="26" thickBot="1" x14ac:dyDescent="0.25">
      <c r="B91" s="126">
        <f t="shared" si="14"/>
        <v>87</v>
      </c>
      <c r="C91" s="124" t="s">
        <v>307</v>
      </c>
      <c r="D91" s="125" t="s">
        <v>308</v>
      </c>
      <c r="E91" s="120" t="str">
        <f t="shared" si="19"/>
        <v>RolfWærnes</v>
      </c>
      <c r="F91" s="125">
        <v>520913</v>
      </c>
      <c r="G91" s="584" t="s">
        <v>283</v>
      </c>
      <c r="H91" s="587">
        <f t="shared" si="20"/>
        <v>2</v>
      </c>
      <c r="I91" s="585">
        <v>1951</v>
      </c>
      <c r="J91" s="590">
        <f t="shared" ca="1" si="21"/>
        <v>75</v>
      </c>
      <c r="K91" s="589">
        <f t="shared" ca="1" si="15"/>
        <v>1.605</v>
      </c>
      <c r="L91" s="11"/>
      <c r="M91" s="11"/>
      <c r="N91" s="11"/>
    </row>
    <row r="92" spans="2:20" ht="26" thickBot="1" x14ac:dyDescent="0.25">
      <c r="B92" s="126">
        <f t="shared" si="14"/>
        <v>88</v>
      </c>
      <c r="C92" s="124" t="s">
        <v>116</v>
      </c>
      <c r="D92" s="125" t="s">
        <v>165</v>
      </c>
      <c r="E92" s="120" t="str">
        <f t="shared" si="19"/>
        <v>AndersWaage</v>
      </c>
      <c r="F92" s="125">
        <v>531437</v>
      </c>
      <c r="G92" s="584" t="s">
        <v>283</v>
      </c>
      <c r="H92" s="587">
        <f t="shared" si="20"/>
        <v>2</v>
      </c>
      <c r="I92" s="585">
        <v>1948</v>
      </c>
      <c r="J92" s="590">
        <f t="shared" ca="1" si="21"/>
        <v>78</v>
      </c>
      <c r="K92" s="589">
        <f t="shared" ca="1" si="15"/>
        <v>1.7550000000000001</v>
      </c>
      <c r="L92" s="11"/>
      <c r="M92" s="11"/>
      <c r="N92" s="11"/>
    </row>
    <row r="93" spans="2:20" ht="26" thickBot="1" x14ac:dyDescent="0.25">
      <c r="B93" s="126">
        <f t="shared" si="14"/>
        <v>89</v>
      </c>
      <c r="C93" s="124" t="s">
        <v>166</v>
      </c>
      <c r="D93" s="125" t="s">
        <v>167</v>
      </c>
      <c r="E93" s="120" t="str">
        <f t="shared" si="19"/>
        <v>GunnarØsterbø</v>
      </c>
      <c r="F93" s="125">
        <v>533352</v>
      </c>
      <c r="G93" s="584" t="s">
        <v>283</v>
      </c>
      <c r="H93" s="587">
        <f t="shared" si="20"/>
        <v>2</v>
      </c>
      <c r="I93" s="585">
        <v>1939</v>
      </c>
      <c r="J93" s="591">
        <f t="shared" ca="1" si="21"/>
        <v>87</v>
      </c>
      <c r="K93" s="589">
        <f t="shared" ca="1" si="15"/>
        <v>2.3929999999999998</v>
      </c>
      <c r="L93" s="11"/>
      <c r="M93" s="11"/>
      <c r="N93" s="11"/>
    </row>
    <row r="94" spans="2:20" ht="26" thickBot="1" x14ac:dyDescent="0.35">
      <c r="B94" s="126">
        <f t="shared" si="14"/>
        <v>90</v>
      </c>
      <c r="C94" s="124" t="s">
        <v>168</v>
      </c>
      <c r="D94" s="125" t="s">
        <v>169</v>
      </c>
      <c r="E94" s="120" t="str">
        <f t="shared" si="19"/>
        <v>SteinØvstedal</v>
      </c>
      <c r="F94" s="443">
        <v>533300</v>
      </c>
      <c r="G94" s="584" t="s">
        <v>283</v>
      </c>
      <c r="H94" s="587">
        <f t="shared" si="20"/>
        <v>2</v>
      </c>
      <c r="I94" s="586">
        <v>1951</v>
      </c>
      <c r="J94" s="590">
        <f t="shared" ca="1" si="21"/>
        <v>75</v>
      </c>
      <c r="K94" s="589">
        <f t="shared" ca="1" si="15"/>
        <v>1.605</v>
      </c>
      <c r="L94" s="11"/>
      <c r="M94" s="11"/>
      <c r="N94" s="11"/>
    </row>
    <row r="95" spans="2:20" ht="26" thickBot="1" x14ac:dyDescent="0.25">
      <c r="B95" s="126">
        <f t="shared" si="14"/>
        <v>91</v>
      </c>
      <c r="C95" s="124" t="s">
        <v>170</v>
      </c>
      <c r="D95" s="125" t="s">
        <v>171</v>
      </c>
      <c r="E95" s="120" t="str">
        <f t="shared" si="19"/>
        <v>ØisteinÅsmul</v>
      </c>
      <c r="F95" s="125">
        <v>543396</v>
      </c>
      <c r="G95" s="584" t="s">
        <v>283</v>
      </c>
      <c r="H95" s="587">
        <f t="shared" si="20"/>
        <v>2</v>
      </c>
      <c r="I95" s="585">
        <v>1945</v>
      </c>
      <c r="J95" s="590">
        <f t="shared" ca="1" si="21"/>
        <v>81</v>
      </c>
      <c r="K95" s="589">
        <f t="shared" ca="1" si="15"/>
        <v>1.9290000000000003</v>
      </c>
      <c r="L95" s="11"/>
      <c r="M95" s="11"/>
      <c r="N95" s="11"/>
    </row>
    <row r="98" spans="6:10" ht="19" x14ac:dyDescent="0.25">
      <c r="F98" s="320" t="s">
        <v>259</v>
      </c>
      <c r="G98" s="208"/>
      <c r="H98" s="208"/>
      <c r="J98" s="112">
        <f ca="1">AVERAGE(J5:J95)</f>
        <v>74.483516483516482</v>
      </c>
    </row>
  </sheetData>
  <autoFilter ref="C5:K95" xr:uid="{F33A9B52-8A63-3842-983E-6EB17F4E7538}">
    <sortState xmlns:xlrd2="http://schemas.microsoft.com/office/spreadsheetml/2017/richdata2" ref="C6:K95">
      <sortCondition ref="D5:D95"/>
    </sortState>
  </autoFilter>
  <sortState xmlns:xlrd2="http://schemas.microsoft.com/office/spreadsheetml/2017/richdata2" ref="B5:F95">
    <sortCondition ref="D5:D95"/>
    <sortCondition ref="C5:C95"/>
  </sortState>
  <pageMargins left="0.7" right="0.7" top="0.75" bottom="0.75" header="0.3" footer="0.3"/>
  <pageSetup paperSize="9" scale="36" orientation="portrait" horizontalDpi="0" verticalDpi="0" copies="4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9CAE5-A6B4-9F45-B4EB-64F43160F1DE}">
  <dimension ref="B1:AC110"/>
  <sheetViews>
    <sheetView topLeftCell="A62" workbookViewId="0">
      <selection activeCell="A100" sqref="A100:XFD100"/>
    </sheetView>
  </sheetViews>
  <sheetFormatPr baseColWidth="10" defaultColWidth="10.83203125" defaultRowHeight="16" x14ac:dyDescent="0.2"/>
  <cols>
    <col min="3" max="3" width="14.5" customWidth="1"/>
    <col min="4" max="4" width="20.1640625" customWidth="1"/>
    <col min="5" max="5" width="20.1640625" hidden="1" customWidth="1"/>
    <col min="6" max="6" width="14.5" style="15" customWidth="1"/>
    <col min="7" max="7" width="14.5" style="15" hidden="1" customWidth="1"/>
    <col min="8" max="8" width="14" style="15" customWidth="1"/>
    <col min="9" max="10" width="19.1640625" style="15" customWidth="1"/>
    <col min="11" max="11" width="17.6640625" style="15" customWidth="1"/>
    <col min="12" max="12" width="10.83203125" style="15"/>
    <col min="14" max="14" width="10.83203125" style="15"/>
    <col min="18" max="18" width="12.5" customWidth="1"/>
    <col min="19" max="19" width="13.5" customWidth="1"/>
    <col min="22" max="22" width="1.83203125" customWidth="1"/>
    <col min="23" max="23" width="15.83203125" customWidth="1"/>
    <col min="24" max="24" width="11" customWidth="1"/>
  </cols>
  <sheetData>
    <row r="1" spans="2:29" ht="8" customHeight="1" x14ac:dyDescent="0.2"/>
    <row r="2" spans="2:29" ht="8" customHeight="1" x14ac:dyDescent="0.2"/>
    <row r="5" spans="2:29" ht="26" x14ac:dyDescent="0.3">
      <c r="B5" s="21" t="s">
        <v>333</v>
      </c>
      <c r="C5" s="245" t="s">
        <v>223</v>
      </c>
      <c r="F5" s="667"/>
      <c r="G5" s="667"/>
      <c r="H5" s="671" t="s">
        <v>189</v>
      </c>
      <c r="I5" s="670">
        <f>'Løp 24'!I5+7</f>
        <v>46105</v>
      </c>
    </row>
    <row r="6" spans="2:29" ht="17" thickBot="1" x14ac:dyDescent="0.25">
      <c r="B6" s="15"/>
    </row>
    <row r="7" spans="2:29" ht="59" customHeight="1" thickBot="1" x14ac:dyDescent="0.35">
      <c r="B7" s="12" t="s">
        <v>194</v>
      </c>
      <c r="C7" s="662" t="s">
        <v>57</v>
      </c>
      <c r="D7" s="391" t="s">
        <v>58</v>
      </c>
      <c r="E7" s="663"/>
      <c r="F7" s="663" t="s">
        <v>234</v>
      </c>
      <c r="G7" s="391" t="s">
        <v>280</v>
      </c>
      <c r="H7" s="391" t="s">
        <v>235</v>
      </c>
      <c r="I7" s="391" t="s">
        <v>302</v>
      </c>
      <c r="J7" s="391" t="s">
        <v>303</v>
      </c>
      <c r="K7" s="391" t="s">
        <v>192</v>
      </c>
      <c r="L7" s="194" t="s">
        <v>209</v>
      </c>
      <c r="M7" s="392" t="s">
        <v>55</v>
      </c>
      <c r="N7" s="393" t="s">
        <v>242</v>
      </c>
      <c r="O7" s="393" t="s">
        <v>240</v>
      </c>
      <c r="Q7" s="319"/>
      <c r="R7" s="319"/>
      <c r="S7" s="755" t="str">
        <f>B5</f>
        <v>Løp 25</v>
      </c>
      <c r="T7" s="754" t="str">
        <f>C5</f>
        <v>Flatåshaugen</v>
      </c>
      <c r="U7" s="730"/>
      <c r="V7" s="730"/>
      <c r="W7" s="941"/>
      <c r="X7" s="941"/>
    </row>
    <row r="8" spans="2:29" ht="23" customHeight="1" thickTop="1" thickBot="1" x14ac:dyDescent="0.35">
      <c r="B8" s="22"/>
      <c r="C8" s="394"/>
      <c r="D8" s="395"/>
      <c r="E8" s="597"/>
      <c r="F8" s="668"/>
      <c r="G8" s="668"/>
      <c r="H8" s="664"/>
      <c r="I8" s="789">
        <v>1.8</v>
      </c>
      <c r="J8" s="789">
        <v>3.2</v>
      </c>
      <c r="K8" s="391"/>
      <c r="N8" s="720"/>
      <c r="O8" s="390"/>
      <c r="S8" s="942" t="s">
        <v>312</v>
      </c>
      <c r="T8" s="943"/>
      <c r="U8" s="944"/>
      <c r="V8" s="779"/>
      <c r="W8" s="945" t="s">
        <v>313</v>
      </c>
      <c r="X8" s="940"/>
      <c r="AB8" s="836" t="s">
        <v>361</v>
      </c>
      <c r="AC8" s="827"/>
    </row>
    <row r="9" spans="2:29" ht="21" thickBot="1" x14ac:dyDescent="0.3">
      <c r="B9" s="22"/>
      <c r="C9" s="109"/>
      <c r="D9" s="105"/>
      <c r="E9" s="598"/>
      <c r="F9" s="669"/>
      <c r="G9" s="669"/>
      <c r="H9" s="665"/>
      <c r="I9" s="12"/>
      <c r="J9" s="12"/>
      <c r="K9" s="12"/>
      <c r="N9" s="722"/>
      <c r="O9" s="200"/>
      <c r="Q9" s="110"/>
      <c r="S9" s="731"/>
      <c r="T9" s="727" t="s">
        <v>311</v>
      </c>
      <c r="U9" s="750" t="s">
        <v>55</v>
      </c>
      <c r="V9" s="780"/>
      <c r="W9" s="774"/>
      <c r="X9" s="732" t="s">
        <v>55</v>
      </c>
      <c r="AB9" s="834" t="s">
        <v>234</v>
      </c>
      <c r="AC9" s="835" t="s">
        <v>362</v>
      </c>
    </row>
    <row r="10" spans="2:29" ht="21" thickBot="1" x14ac:dyDescent="0.3">
      <c r="B10" s="16">
        <f t="shared" ref="B10:B73" si="0">B9+1</f>
        <v>1</v>
      </c>
      <c r="C10" s="106" t="s">
        <v>222</v>
      </c>
      <c r="D10" s="107" t="s">
        <v>221</v>
      </c>
      <c r="E10" s="599" t="str">
        <f t="shared" ref="E10:E41" si="1">_xlfn.CONCAT(C10:D10)</f>
        <v>Kjell Maroni</v>
      </c>
      <c r="F10" s="192">
        <f>YEAR(I$5)-_xlfn.XLOOKUP(E10,Deltakerliste!E$5:E$98,Deltakerliste!I$5:I$98)</f>
        <v>70</v>
      </c>
      <c r="G10" s="192">
        <f>_xlfn.XLOOKUP(E10,Deltakerliste!E$5:E$98,Deltakerliste!H$5:H$98)</f>
        <v>2</v>
      </c>
      <c r="H10" s="592">
        <f>VLOOKUP(F10,Deltakerliste!P$6:T$84,G10,FALSE)</f>
        <v>1.4249999999999998</v>
      </c>
      <c r="I10" s="13"/>
      <c r="J10" s="13">
        <v>2.3136574074074073E-2</v>
      </c>
      <c r="K10" s="13"/>
      <c r="L10" s="600">
        <f t="shared" ref="L10:L57" si="2">IF(OR(I10="Arr",J10="Arr",K10="Arr"),"Arr",IF(OR(I10="Brutt",J10="Brutt",K10="Brutt"),"Brutt",IF(OR(I10="Disk",J10="Disk",K10="Disk"),"Disk",IF(OR(I10="Løype",J10="Løype",K10="Løype"),"Løype",IF(I10&gt;0,I10/I$8,J10/J$8)))))</f>
        <v>7.2301793981481479E-3</v>
      </c>
      <c r="M10" s="594">
        <f>IF(L10="Løype",Poengsammendrag!$F$2,IF(L10="Arr",Poengsammendrag!$F$3,IF(L10="Brutt",50,IF(L10="Disk",50,ROUND(MAXA(100*(MIN(L$10:L$95)/L10),50),0)))))</f>
        <v>100</v>
      </c>
      <c r="N10" s="724">
        <f t="shared" ref="N10:N57" si="3">IF(L10="Arr","Arr",IF(L10="Brutt","Brutt",IF(L10="Disk","Disk",IF(L10="Løype","Løype",L10/H10))))</f>
        <v>5.0738101039636135E-3</v>
      </c>
      <c r="O10" s="596">
        <f>IF(N10="Løype",Poengsammendrag!$F$2,IF(N10="Arr",Poengsammendrag!$F$3,IF(N10="Brutt",50,IF(N10="Disk",50,ROUND(MAXA(100*(MIN(N$10:N$95)/N10),50),0)))))</f>
        <v>88</v>
      </c>
      <c r="Q10" s="672"/>
      <c r="R10" s="672"/>
      <c r="S10" s="802" t="s">
        <v>222</v>
      </c>
      <c r="T10" s="734">
        <v>7.2301793981481479E-3</v>
      </c>
      <c r="U10" s="751">
        <v>100</v>
      </c>
      <c r="V10" s="781"/>
      <c r="W10" s="775" t="s">
        <v>138</v>
      </c>
      <c r="X10" s="739">
        <v>100</v>
      </c>
      <c r="AB10" s="832">
        <v>55</v>
      </c>
      <c r="AC10" s="833">
        <f t="shared" ref="AC10:AC50" si="4">COUNTIFS(F$10:F$98,AB10,M$10:M$98,"&gt;0")</f>
        <v>0</v>
      </c>
    </row>
    <row r="11" spans="2:29" ht="21" customHeight="1" thickBot="1" x14ac:dyDescent="0.3">
      <c r="B11" s="16">
        <f t="shared" si="0"/>
        <v>2</v>
      </c>
      <c r="C11" s="106" t="s">
        <v>298</v>
      </c>
      <c r="D11" s="107" t="s">
        <v>297</v>
      </c>
      <c r="E11" s="599" t="str">
        <f t="shared" si="1"/>
        <v>ØyvindSchjelderup</v>
      </c>
      <c r="F11" s="192">
        <f>YEAR(I$5)-_xlfn.XLOOKUP(E11,Deltakerliste!E$5:E$98,Deltakerliste!I$5:I$98)</f>
        <v>61</v>
      </c>
      <c r="G11" s="192">
        <f>_xlfn.XLOOKUP(E11,Deltakerliste!E$5:E$98,Deltakerliste!H$5:H$98)</f>
        <v>2</v>
      </c>
      <c r="H11" s="592">
        <f>VLOOKUP(F11,Deltakerliste!P$6:T$84,G11,FALSE)</f>
        <v>1.2190000000000001</v>
      </c>
      <c r="I11" s="18"/>
      <c r="J11" s="132">
        <v>2.3171296296296297E-2</v>
      </c>
      <c r="K11" s="18"/>
      <c r="L11" s="600">
        <f t="shared" si="2"/>
        <v>7.2410300925925923E-3</v>
      </c>
      <c r="M11" s="594">
        <f>IF(L11="Løype",Poengsammendrag!$F$2,IF(L11="Arr",Poengsammendrag!$F$3,IF(L11="Brutt",50,IF(L11="Disk",50,ROUND(MAXA(100*(MIN(L$10:L$95)/L11),50),0)))))</f>
        <v>100</v>
      </c>
      <c r="N11" s="724">
        <f t="shared" si="3"/>
        <v>5.9401395345304283E-3</v>
      </c>
      <c r="O11" s="596">
        <f>IF(N11="Løype",Poengsammendrag!$F$2,IF(N11="Arr",Poengsammendrag!$F$3,IF(N11="Brutt",50,IF(N11="Disk",50,ROUND(MAXA(100*(MIN(N$10:N$95)/N11),50),0)))))</f>
        <v>75</v>
      </c>
      <c r="Q11" s="672"/>
      <c r="R11" s="672"/>
      <c r="S11" s="803" t="s">
        <v>413</v>
      </c>
      <c r="T11" s="736">
        <v>7.2410300925925923E-3</v>
      </c>
      <c r="U11" s="752">
        <v>100</v>
      </c>
      <c r="V11" s="781"/>
      <c r="W11" s="776" t="s">
        <v>386</v>
      </c>
      <c r="X11" s="740">
        <v>92</v>
      </c>
      <c r="AB11" s="828">
        <f>AB10+1</f>
        <v>56</v>
      </c>
      <c r="AC11" s="829">
        <f t="shared" si="4"/>
        <v>0</v>
      </c>
    </row>
    <row r="12" spans="2:29" ht="21" customHeight="1" thickBot="1" x14ac:dyDescent="0.3">
      <c r="B12" s="16">
        <f t="shared" si="0"/>
        <v>3</v>
      </c>
      <c r="C12" s="106" t="s">
        <v>126</v>
      </c>
      <c r="D12" s="107" t="s">
        <v>127</v>
      </c>
      <c r="E12" s="599" t="str">
        <f t="shared" si="1"/>
        <v>ArneMikkelsen</v>
      </c>
      <c r="F12" s="192">
        <f>YEAR(I$5)-_xlfn.XLOOKUP(E12,Deltakerliste!E$5:E$98,Deltakerliste!I$5:I$98)</f>
        <v>73</v>
      </c>
      <c r="G12" s="192">
        <f>_xlfn.XLOOKUP(E12,Deltakerliste!E$5:E$98,Deltakerliste!H$5:H$98)</f>
        <v>2</v>
      </c>
      <c r="H12" s="592">
        <f>VLOOKUP(F12,Deltakerliste!P$6:T$84,G12,FALSE)</f>
        <v>1.5329999999999999</v>
      </c>
      <c r="I12" s="13"/>
      <c r="J12" s="13">
        <v>2.3854166666666666E-2</v>
      </c>
      <c r="K12" s="13"/>
      <c r="L12" s="600">
        <f t="shared" si="2"/>
        <v>7.4544270833333329E-3</v>
      </c>
      <c r="M12" s="594">
        <f>IF(L12="Løype",Poengsammendrag!$F$2,IF(L12="Arr",Poengsammendrag!$F$3,IF(L12="Brutt",50,IF(L12="Disk",50,ROUND(MAXA(100*(MIN(L$10:L$95)/L12),50),0)))))</f>
        <v>97</v>
      </c>
      <c r="N12" s="724">
        <f t="shared" si="3"/>
        <v>4.8626399760817573E-3</v>
      </c>
      <c r="O12" s="596">
        <f>IF(N12="Løype",Poengsammendrag!$F$2,IF(N12="Arr",Poengsammendrag!$F$3,IF(N12="Brutt",50,IF(N12="Disk",50,ROUND(MAXA(100*(MIN(N$10:N$95)/N12),50),0)))))</f>
        <v>92</v>
      </c>
      <c r="Q12" s="672"/>
      <c r="R12" s="672"/>
      <c r="S12" s="803" t="s">
        <v>386</v>
      </c>
      <c r="T12" s="736">
        <v>7.4544270833333329E-3</v>
      </c>
      <c r="U12" s="752">
        <v>97</v>
      </c>
      <c r="V12" s="781"/>
      <c r="W12" s="776" t="s">
        <v>222</v>
      </c>
      <c r="X12" s="740">
        <v>88</v>
      </c>
      <c r="AB12" s="828">
        <f t="shared" ref="AB12:AB50" si="5">AB11+1</f>
        <v>57</v>
      </c>
      <c r="AC12" s="829">
        <f t="shared" si="4"/>
        <v>0</v>
      </c>
    </row>
    <row r="13" spans="2:29" ht="21" customHeight="1" thickBot="1" x14ac:dyDescent="0.3">
      <c r="B13" s="16">
        <f t="shared" si="0"/>
        <v>4</v>
      </c>
      <c r="C13" s="106" t="s">
        <v>120</v>
      </c>
      <c r="D13" s="107" t="s">
        <v>121</v>
      </c>
      <c r="E13" s="599" t="str">
        <f t="shared" si="1"/>
        <v>KlausLivik</v>
      </c>
      <c r="F13" s="192">
        <f>YEAR(I$5)-_xlfn.XLOOKUP(E13,Deltakerliste!E$5:E$98,Deltakerliste!I$5:I$98)</f>
        <v>72</v>
      </c>
      <c r="G13" s="192">
        <f>_xlfn.XLOOKUP(E13,Deltakerliste!E$5:E$98,Deltakerliste!H$5:H$98)</f>
        <v>2</v>
      </c>
      <c r="H13" s="592">
        <f>VLOOKUP(F13,Deltakerliste!P$6:T$84,G13,FALSE)</f>
        <v>1.4969999999999999</v>
      </c>
      <c r="I13" s="13"/>
      <c r="J13" s="13">
        <v>2.7245370370370371E-2</v>
      </c>
      <c r="K13" s="17"/>
      <c r="L13" s="600">
        <f t="shared" si="2"/>
        <v>8.5141782407407406E-3</v>
      </c>
      <c r="M13" s="594">
        <f>IF(L13="Løype",Poengsammendrag!$F$2,IF(L13="Arr",Poengsammendrag!$F$3,IF(L13="Brutt",50,IF(L13="Disk",50,ROUND(MAXA(100*(MIN(L$10:L$95)/L13),50),0)))))</f>
        <v>85</v>
      </c>
      <c r="N13" s="724">
        <f t="shared" si="3"/>
        <v>5.687493814790074E-3</v>
      </c>
      <c r="O13" s="596">
        <f>IF(N13="Løype",Poengsammendrag!$F$2,IF(N13="Arr",Poengsammendrag!$F$3,IF(N13="Brutt",50,IF(N13="Disk",50,ROUND(MAXA(100*(MIN(N$10:N$95)/N13),50),0)))))</f>
        <v>79</v>
      </c>
      <c r="Q13" s="672"/>
      <c r="R13" s="672"/>
      <c r="S13" s="803" t="s">
        <v>120</v>
      </c>
      <c r="T13" s="736">
        <v>8.5141782407407406E-3</v>
      </c>
      <c r="U13" s="752">
        <v>85</v>
      </c>
      <c r="V13" s="781"/>
      <c r="W13" s="776" t="s">
        <v>118</v>
      </c>
      <c r="X13" s="740">
        <v>87</v>
      </c>
      <c r="AB13" s="828">
        <f t="shared" si="5"/>
        <v>58</v>
      </c>
      <c r="AC13" s="829">
        <f t="shared" si="4"/>
        <v>0</v>
      </c>
    </row>
    <row r="14" spans="2:29" ht="21" customHeight="1" thickBot="1" x14ac:dyDescent="0.3">
      <c r="B14" s="16">
        <f t="shared" si="0"/>
        <v>5</v>
      </c>
      <c r="C14" s="106" t="s">
        <v>118</v>
      </c>
      <c r="D14" s="107" t="s">
        <v>119</v>
      </c>
      <c r="E14" s="599" t="str">
        <f t="shared" si="1"/>
        <v>KnutLillealtern</v>
      </c>
      <c r="F14" s="192">
        <f>YEAR(I$5)-_xlfn.XLOOKUP(E14,Deltakerliste!E$5:E$98,Deltakerliste!I$5:I$98)</f>
        <v>77</v>
      </c>
      <c r="G14" s="192">
        <f>_xlfn.XLOOKUP(E14,Deltakerliste!E$5:E$98,Deltakerliste!H$5:H$98)</f>
        <v>2</v>
      </c>
      <c r="H14" s="592">
        <f>VLOOKUP(F14,Deltakerliste!P$6:T$84,G14,FALSE)</f>
        <v>1.7050000000000001</v>
      </c>
      <c r="I14" s="13"/>
      <c r="J14" s="13">
        <v>2.8125000000000001E-2</v>
      </c>
      <c r="K14" s="17"/>
      <c r="L14" s="600">
        <f t="shared" si="2"/>
        <v>8.7890625E-3</v>
      </c>
      <c r="M14" s="594">
        <f>IF(L14="Løype",Poengsammendrag!$F$2,IF(L14="Arr",Poengsammendrag!$F$3,IF(L14="Brutt",50,IF(L14="Disk",50,ROUND(MAXA(100*(MIN(L$10:L$95)/L14),50),0)))))</f>
        <v>82</v>
      </c>
      <c r="N14" s="724">
        <f t="shared" si="3"/>
        <v>5.1548753665689147E-3</v>
      </c>
      <c r="O14" s="596">
        <f>IF(N14="Løype",Poengsammendrag!$F$2,IF(N14="Arr",Poengsammendrag!$F$3,IF(N14="Brutt",50,IF(N14="Disk",50,ROUND(MAXA(100*(MIN(N$10:N$95)/N14),50),0)))))</f>
        <v>87</v>
      </c>
      <c r="Q14" s="672"/>
      <c r="R14" s="672"/>
      <c r="S14" s="803" t="s">
        <v>118</v>
      </c>
      <c r="T14" s="736">
        <v>8.7890625E-3</v>
      </c>
      <c r="U14" s="752">
        <v>82</v>
      </c>
      <c r="V14" s="781"/>
      <c r="W14" s="776" t="s">
        <v>80</v>
      </c>
      <c r="X14" s="740">
        <v>81</v>
      </c>
      <c r="AB14" s="828">
        <f t="shared" si="5"/>
        <v>59</v>
      </c>
      <c r="AC14" s="829">
        <f t="shared" si="4"/>
        <v>0</v>
      </c>
    </row>
    <row r="15" spans="2:29" ht="21" customHeight="1" thickBot="1" x14ac:dyDescent="0.3">
      <c r="B15" s="16">
        <f t="shared" si="0"/>
        <v>6</v>
      </c>
      <c r="C15" s="106" t="s">
        <v>136</v>
      </c>
      <c r="D15" s="107" t="s">
        <v>137</v>
      </c>
      <c r="E15" s="599" t="str">
        <f t="shared" si="1"/>
        <v>HaraldOftedal</v>
      </c>
      <c r="F15" s="192">
        <f>YEAR(I$5)-_xlfn.XLOOKUP(E15,Deltakerliste!E$5:E$98,Deltakerliste!I$5:I$98)</f>
        <v>74</v>
      </c>
      <c r="G15" s="192">
        <f>_xlfn.XLOOKUP(E15,Deltakerliste!E$5:E$98,Deltakerliste!H$5:H$98)</f>
        <v>2</v>
      </c>
      <c r="H15" s="592">
        <f>VLOOKUP(F15,Deltakerliste!P$6:T$84,G15,FALSE)</f>
        <v>1.569</v>
      </c>
      <c r="I15" s="132"/>
      <c r="J15" s="132">
        <v>2.8854166666666667E-2</v>
      </c>
      <c r="K15" s="134"/>
      <c r="L15" s="600">
        <f t="shared" si="2"/>
        <v>9.0169270833333325E-3</v>
      </c>
      <c r="M15" s="594">
        <f>IF(L15="Løype",Poengsammendrag!$F$2,IF(L15="Arr",Poengsammendrag!$F$3,IF(L15="Brutt",50,IF(L15="Disk",50,ROUND(MAXA(100*(MIN(L$10:L$95)/L15),50),0)))))</f>
        <v>80</v>
      </c>
      <c r="N15" s="724">
        <f t="shared" si="3"/>
        <v>5.7469261206713404E-3</v>
      </c>
      <c r="O15" s="596">
        <f>IF(N15="Løype",Poengsammendrag!$F$2,IF(N15="Arr",Poengsammendrag!$F$3,IF(N15="Brutt",50,IF(N15="Disk",50,ROUND(MAXA(100*(MIN(N$10:N$95)/N15),50),0)))))</f>
        <v>78</v>
      </c>
      <c r="Q15" s="672"/>
      <c r="R15" s="672"/>
      <c r="S15" s="803" t="s">
        <v>136</v>
      </c>
      <c r="T15" s="736">
        <v>9.0169270833333325E-3</v>
      </c>
      <c r="U15" s="752">
        <v>80</v>
      </c>
      <c r="V15" s="781"/>
      <c r="W15" s="776" t="s">
        <v>114</v>
      </c>
      <c r="X15" s="740">
        <v>80</v>
      </c>
      <c r="AB15" s="828">
        <f t="shared" si="5"/>
        <v>60</v>
      </c>
      <c r="AC15" s="829">
        <f t="shared" si="4"/>
        <v>1</v>
      </c>
    </row>
    <row r="16" spans="2:29" ht="21" customHeight="1" thickBot="1" x14ac:dyDescent="0.3">
      <c r="B16" s="16">
        <f t="shared" si="0"/>
        <v>7</v>
      </c>
      <c r="C16" s="106" t="s">
        <v>134</v>
      </c>
      <c r="D16" s="107" t="s">
        <v>135</v>
      </c>
      <c r="E16" s="599" t="str">
        <f t="shared" si="1"/>
        <v>IngeNørstebø</v>
      </c>
      <c r="F16" s="192">
        <f>YEAR(I$5)-_xlfn.XLOOKUP(E16,Deltakerliste!E$5:E$98,Deltakerliste!I$5:I$98)</f>
        <v>70</v>
      </c>
      <c r="G16" s="192">
        <f>_xlfn.XLOOKUP(E16,Deltakerliste!E$5:E$98,Deltakerliste!H$5:H$98)</f>
        <v>2</v>
      </c>
      <c r="H16" s="592">
        <f>VLOOKUP(F16,Deltakerliste!P$6:T$84,G16,FALSE)</f>
        <v>1.4249999999999998</v>
      </c>
      <c r="I16" s="13"/>
      <c r="J16" s="13">
        <v>2.9583333333333333E-2</v>
      </c>
      <c r="K16" s="13"/>
      <c r="L16" s="600">
        <f t="shared" si="2"/>
        <v>9.2447916666666668E-3</v>
      </c>
      <c r="M16" s="594">
        <f>IF(L16="Løype",Poengsammendrag!$F$2,IF(L16="Arr",Poengsammendrag!$F$3,IF(L16="Brutt",50,IF(L16="Disk",50,ROUND(MAXA(100*(MIN(L$10:L$95)/L16),50),0)))))</f>
        <v>78</v>
      </c>
      <c r="N16" s="724">
        <f t="shared" si="3"/>
        <v>6.4875730994152052E-3</v>
      </c>
      <c r="O16" s="596">
        <f>IF(N16="Løype",Poengsammendrag!$F$2,IF(N16="Arr",Poengsammendrag!$F$3,IF(N16="Brutt",50,IF(N16="Disk",50,ROUND(MAXA(100*(MIN(N$10:N$95)/N16),50),0)))))</f>
        <v>69</v>
      </c>
      <c r="Q16" s="672"/>
      <c r="R16" s="672"/>
      <c r="S16" s="803" t="s">
        <v>134</v>
      </c>
      <c r="T16" s="736">
        <v>9.2447916666666668E-3</v>
      </c>
      <c r="U16" s="752">
        <v>78</v>
      </c>
      <c r="V16" s="781"/>
      <c r="W16" s="776" t="s">
        <v>120</v>
      </c>
      <c r="X16" s="740">
        <v>79</v>
      </c>
      <c r="AB16" s="828">
        <f t="shared" si="5"/>
        <v>61</v>
      </c>
      <c r="AC16" s="829">
        <f t="shared" si="4"/>
        <v>1</v>
      </c>
    </row>
    <row r="17" spans="2:29" ht="21" customHeight="1" thickBot="1" x14ac:dyDescent="0.3">
      <c r="B17" s="16">
        <f t="shared" si="0"/>
        <v>8</v>
      </c>
      <c r="C17" s="106" t="s">
        <v>138</v>
      </c>
      <c r="D17" s="107" t="s">
        <v>137</v>
      </c>
      <c r="E17" s="599" t="str">
        <f t="shared" si="1"/>
        <v>GunnhildOftedal</v>
      </c>
      <c r="F17" s="192">
        <f>YEAR(I$5)-_xlfn.XLOOKUP(E17,Deltakerliste!E$5:E$98,Deltakerliste!I$5:I$98)</f>
        <v>73</v>
      </c>
      <c r="G17" s="192">
        <f>_xlfn.XLOOKUP(E17,Deltakerliste!E$5:E$98,Deltakerliste!H$5:H$98)</f>
        <v>4</v>
      </c>
      <c r="H17" s="592">
        <f>VLOOKUP(F17,Deltakerliste!P$6:T$84,G17,FALSE)</f>
        <v>2.0798000000000014</v>
      </c>
      <c r="I17" s="13"/>
      <c r="J17" s="13">
        <v>2.9722222222222223E-2</v>
      </c>
      <c r="K17" s="13"/>
      <c r="L17" s="600">
        <f t="shared" si="2"/>
        <v>9.2881944444444444E-3</v>
      </c>
      <c r="M17" s="594">
        <f>IF(L17="Løype",Poengsammendrag!$F$2,IF(L17="Arr",Poengsammendrag!$F$3,IF(L17="Brutt",50,IF(L17="Disk",50,ROUND(MAXA(100*(MIN(L$10:L$95)/L17),50),0)))))</f>
        <v>78</v>
      </c>
      <c r="N17" s="724">
        <f t="shared" si="3"/>
        <v>4.4659075124744872E-3</v>
      </c>
      <c r="O17" s="596">
        <f>IF(N17="Løype",Poengsammendrag!$F$2,IF(N17="Arr",Poengsammendrag!$F$3,IF(N17="Brutt",50,IF(N17="Disk",50,ROUND(MAXA(100*(MIN(N$10:N$95)/N17),50),0)))))</f>
        <v>100</v>
      </c>
      <c r="Q17" s="672"/>
      <c r="R17" s="672"/>
      <c r="S17" s="803" t="s">
        <v>138</v>
      </c>
      <c r="T17" s="736">
        <v>9.2881944444444444E-3</v>
      </c>
      <c r="U17" s="752">
        <v>78</v>
      </c>
      <c r="V17" s="781"/>
      <c r="W17" s="776" t="s">
        <v>88</v>
      </c>
      <c r="X17" s="740">
        <v>78</v>
      </c>
      <c r="AB17" s="828">
        <f t="shared" si="5"/>
        <v>62</v>
      </c>
      <c r="AC17" s="829">
        <f t="shared" si="4"/>
        <v>0</v>
      </c>
    </row>
    <row r="18" spans="2:29" ht="21" customHeight="1" thickBot="1" x14ac:dyDescent="0.3">
      <c r="B18" s="16">
        <f t="shared" si="0"/>
        <v>9</v>
      </c>
      <c r="C18" s="106" t="s">
        <v>99</v>
      </c>
      <c r="D18" s="107" t="s">
        <v>100</v>
      </c>
      <c r="E18" s="599" t="str">
        <f t="shared" si="1"/>
        <v>RobertHirsch</v>
      </c>
      <c r="F18" s="192">
        <f>YEAR(I$5)-_xlfn.XLOOKUP(E18,Deltakerliste!E$5:E$98,Deltakerliste!I$5:I$98)</f>
        <v>69</v>
      </c>
      <c r="G18" s="192">
        <f>_xlfn.XLOOKUP(E18,Deltakerliste!E$5:E$98,Deltakerliste!H$5:H$98)</f>
        <v>2</v>
      </c>
      <c r="H18" s="592">
        <f>VLOOKUP(F18,Deltakerliste!P$6:T$84,G18,FALSE)</f>
        <v>1.3989999999999998</v>
      </c>
      <c r="I18" s="86"/>
      <c r="J18" s="86">
        <v>2.9733796296296296E-2</v>
      </c>
      <c r="K18" s="13"/>
      <c r="L18" s="600">
        <f t="shared" si="2"/>
        <v>9.291811342592592E-3</v>
      </c>
      <c r="M18" s="594">
        <f>IF(L18="Løype",Poengsammendrag!$F$2,IF(L18="Arr",Poengsammendrag!$F$3,IF(L18="Brutt",50,IF(L18="Disk",50,ROUND(MAXA(100*(MIN(L$10:L$95)/L18),50),0)))))</f>
        <v>78</v>
      </c>
      <c r="N18" s="724">
        <f t="shared" si="3"/>
        <v>6.6417522105736903E-3</v>
      </c>
      <c r="O18" s="596">
        <f>IF(N18="Løype",Poengsammendrag!$F$2,IF(N18="Arr",Poengsammendrag!$F$3,IF(N18="Brutt",50,IF(N18="Disk",50,ROUND(MAXA(100*(MIN(N$10:N$95)/N18),50),0)))))</f>
        <v>67</v>
      </c>
      <c r="Q18" s="672"/>
      <c r="R18" s="672"/>
      <c r="S18" s="803" t="s">
        <v>346</v>
      </c>
      <c r="T18" s="736">
        <v>9.291811342592592E-3</v>
      </c>
      <c r="U18" s="752">
        <v>78</v>
      </c>
      <c r="V18" s="781"/>
      <c r="W18" s="776" t="s">
        <v>136</v>
      </c>
      <c r="X18" s="740">
        <v>78</v>
      </c>
      <c r="AB18" s="828">
        <f t="shared" si="5"/>
        <v>63</v>
      </c>
      <c r="AC18" s="829">
        <f t="shared" si="4"/>
        <v>0</v>
      </c>
    </row>
    <row r="19" spans="2:29" ht="21" thickBot="1" x14ac:dyDescent="0.3">
      <c r="B19" s="16">
        <f t="shared" si="0"/>
        <v>10</v>
      </c>
      <c r="C19" s="106" t="s">
        <v>63</v>
      </c>
      <c r="D19" s="107" t="s">
        <v>336</v>
      </c>
      <c r="E19" s="599" t="str">
        <f t="shared" si="1"/>
        <v>ToreFornes</v>
      </c>
      <c r="F19" s="192">
        <f>YEAR(I$5)-_xlfn.XLOOKUP(E19,Deltakerliste!E$5:E$98,Deltakerliste!I$5:I$98)</f>
        <v>67</v>
      </c>
      <c r="G19" s="192">
        <f>_xlfn.XLOOKUP(E19,Deltakerliste!E$5:E$98,Deltakerliste!H$5:H$98)</f>
        <v>2</v>
      </c>
      <c r="H19" s="592">
        <f>VLOOKUP(F19,Deltakerliste!P$6:T$84,G19,FALSE)</f>
        <v>1.3469999999999998</v>
      </c>
      <c r="I19" s="86"/>
      <c r="J19" s="86">
        <v>2.9733796296296296E-2</v>
      </c>
      <c r="K19" s="13"/>
      <c r="L19" s="600">
        <f t="shared" si="2"/>
        <v>9.291811342592592E-3</v>
      </c>
      <c r="M19" s="594">
        <f>IF(L19="Løype",Poengsammendrag!$F$2,IF(L19="Arr",Poengsammendrag!$F$3,IF(L19="Brutt",50,IF(L19="Disk",50,ROUND(MAXA(100*(MIN(L$10:L$95)/L19),50),0)))))</f>
        <v>78</v>
      </c>
      <c r="N19" s="724">
        <f t="shared" si="3"/>
        <v>6.8981524443894535E-3</v>
      </c>
      <c r="O19" s="596">
        <f>IF(N19="Løype",Poengsammendrag!$F$2,IF(N19="Arr",Poengsammendrag!$F$3,IF(N19="Brutt",50,IF(N19="Disk",50,ROUND(MAXA(100*(MIN(N$10:N$95)/N19),50),0)))))</f>
        <v>65</v>
      </c>
      <c r="Q19" s="672"/>
      <c r="R19" s="672"/>
      <c r="S19" s="803" t="s">
        <v>99</v>
      </c>
      <c r="T19" s="736">
        <v>9.291811342592592E-3</v>
      </c>
      <c r="U19" s="752">
        <v>78</v>
      </c>
      <c r="V19" s="781"/>
      <c r="W19" s="776" t="s">
        <v>122</v>
      </c>
      <c r="X19" s="740">
        <v>77</v>
      </c>
      <c r="AB19" s="828">
        <f t="shared" si="5"/>
        <v>64</v>
      </c>
      <c r="AC19" s="829">
        <f t="shared" si="4"/>
        <v>0</v>
      </c>
    </row>
    <row r="20" spans="2:29" ht="21" thickBot="1" x14ac:dyDescent="0.3">
      <c r="B20" s="16">
        <f t="shared" si="0"/>
        <v>11</v>
      </c>
      <c r="C20" s="106" t="s">
        <v>307</v>
      </c>
      <c r="D20" s="107" t="s">
        <v>308</v>
      </c>
      <c r="E20" s="599" t="str">
        <f t="shared" si="1"/>
        <v>RolfWærnes</v>
      </c>
      <c r="F20" s="192">
        <f>YEAR(I$5)-_xlfn.XLOOKUP(E20,Deltakerliste!E$5:E$98,Deltakerliste!I$5:I$98)</f>
        <v>75</v>
      </c>
      <c r="G20" s="192">
        <f>_xlfn.XLOOKUP(E20,Deltakerliste!E$5:E$98,Deltakerliste!H$5:H$98)</f>
        <v>2</v>
      </c>
      <c r="H20" s="592">
        <f>VLOOKUP(F20,Deltakerliste!P$6:T$84,G20,FALSE)</f>
        <v>1.605</v>
      </c>
      <c r="I20" s="18"/>
      <c r="J20" s="132">
        <v>3.1412037037037037E-2</v>
      </c>
      <c r="K20" s="18"/>
      <c r="L20" s="600">
        <f t="shared" si="2"/>
        <v>9.8162615740740727E-3</v>
      </c>
      <c r="M20" s="594">
        <f>IF(L20="Løype",Poengsammendrag!$F$2,IF(L20="Arr",Poengsammendrag!$F$3,IF(L20="Brutt",50,IF(L20="Disk",50,ROUND(MAXA(100*(MIN(L$10:L$95)/L20),50),0)))))</f>
        <v>74</v>
      </c>
      <c r="N20" s="724">
        <f t="shared" si="3"/>
        <v>6.1160508249682695E-3</v>
      </c>
      <c r="O20" s="596">
        <f>IF(N20="Løype",Poengsammendrag!$F$2,IF(N20="Arr",Poengsammendrag!$F$3,IF(N20="Brutt",50,IF(N20="Disk",50,ROUND(MAXA(100*(MIN(N$10:N$95)/N20),50),0)))))</f>
        <v>73</v>
      </c>
      <c r="Q20" s="672"/>
      <c r="R20" s="672"/>
      <c r="S20" s="803" t="s">
        <v>307</v>
      </c>
      <c r="T20" s="736">
        <v>9.8162615740740727E-3</v>
      </c>
      <c r="U20" s="752">
        <v>74</v>
      </c>
      <c r="V20" s="781"/>
      <c r="W20" s="776" t="s">
        <v>413</v>
      </c>
      <c r="X20" s="740">
        <v>75</v>
      </c>
      <c r="AB20" s="828">
        <f t="shared" si="5"/>
        <v>65</v>
      </c>
      <c r="AC20" s="829">
        <f t="shared" si="4"/>
        <v>0</v>
      </c>
    </row>
    <row r="21" spans="2:29" ht="21" customHeight="1" thickBot="1" x14ac:dyDescent="0.3">
      <c r="B21" s="16">
        <f t="shared" si="0"/>
        <v>12</v>
      </c>
      <c r="C21" s="106" t="s">
        <v>163</v>
      </c>
      <c r="D21" s="107" t="s">
        <v>164</v>
      </c>
      <c r="E21" s="599" t="str">
        <f t="shared" si="1"/>
        <v>ArnulfVilmo</v>
      </c>
      <c r="F21" s="192">
        <f>YEAR(I$5)-_xlfn.XLOOKUP(E21,Deltakerliste!E$5:E$98,Deltakerliste!I$5:I$98)</f>
        <v>73</v>
      </c>
      <c r="G21" s="192">
        <f>_xlfn.XLOOKUP(E21,Deltakerliste!E$5:E$98,Deltakerliste!H$5:H$98)</f>
        <v>2</v>
      </c>
      <c r="H21" s="592">
        <f>VLOOKUP(F21,Deltakerliste!P$6:T$84,G21,FALSE)</f>
        <v>1.5329999999999999</v>
      </c>
      <c r="I21" s="132"/>
      <c r="J21" s="132">
        <v>3.259259259259259E-2</v>
      </c>
      <c r="K21" s="18"/>
      <c r="L21" s="600">
        <f t="shared" si="2"/>
        <v>1.0185185185185184E-2</v>
      </c>
      <c r="M21" s="594">
        <f>IF(L21="Løype",Poengsammendrag!$F$2,IF(L21="Arr",Poengsammendrag!$F$3,IF(L21="Brutt",50,IF(L21="Disk",50,ROUND(MAXA(100*(MIN(L$10:L$95)/L21),50),0)))))</f>
        <v>71</v>
      </c>
      <c r="N21" s="724">
        <f t="shared" si="3"/>
        <v>6.643956415645913E-3</v>
      </c>
      <c r="O21" s="596">
        <f>IF(N21="Løype",Poengsammendrag!$F$2,IF(N21="Arr",Poengsammendrag!$F$3,IF(N21="Brutt",50,IF(N21="Disk",50,ROUND(MAXA(100*(MIN(N$10:N$95)/N21),50),0)))))</f>
        <v>67</v>
      </c>
      <c r="Q21" s="672"/>
      <c r="R21" s="672"/>
      <c r="S21" s="803" t="s">
        <v>163</v>
      </c>
      <c r="T21" s="736">
        <v>1.0185185185185184E-2</v>
      </c>
      <c r="U21" s="752">
        <v>71</v>
      </c>
      <c r="V21" s="781"/>
      <c r="W21" s="776" t="s">
        <v>106</v>
      </c>
      <c r="X21" s="740">
        <v>73</v>
      </c>
      <c r="AB21" s="828">
        <f t="shared" si="5"/>
        <v>66</v>
      </c>
      <c r="AC21" s="829">
        <f t="shared" si="4"/>
        <v>0</v>
      </c>
    </row>
    <row r="22" spans="2:29" ht="21" customHeight="1" thickBot="1" x14ac:dyDescent="0.3">
      <c r="B22" s="16">
        <f t="shared" si="0"/>
        <v>13</v>
      </c>
      <c r="C22" s="106" t="s">
        <v>80</v>
      </c>
      <c r="D22" s="107" t="s">
        <v>81</v>
      </c>
      <c r="E22" s="599" t="str">
        <f t="shared" si="1"/>
        <v>HalvorFlatberg</v>
      </c>
      <c r="F22" s="192">
        <f>YEAR(I$5)-_xlfn.XLOOKUP(E22,Deltakerliste!E$5:E$98,Deltakerliste!I$5:I$98)</f>
        <v>80</v>
      </c>
      <c r="G22" s="192">
        <f>_xlfn.XLOOKUP(E22,Deltakerliste!E$5:E$98,Deltakerliste!H$5:H$98)</f>
        <v>2</v>
      </c>
      <c r="H22" s="592">
        <f>VLOOKUP(F22,Deltakerliste!P$6:T$84,G22,FALSE)</f>
        <v>1.8550000000000002</v>
      </c>
      <c r="I22" s="86"/>
      <c r="J22" s="86">
        <v>3.2638888888888891E-2</v>
      </c>
      <c r="K22" s="13"/>
      <c r="L22" s="600">
        <f t="shared" si="2"/>
        <v>1.0199652777777778E-2</v>
      </c>
      <c r="M22" s="594">
        <f>IF(L22="Løype",Poengsammendrag!$F$2,IF(L22="Arr",Poengsammendrag!$F$3,IF(L22="Brutt",50,IF(L22="Disk",50,ROUND(MAXA(100*(MIN(L$10:L$95)/L22),50),0)))))</f>
        <v>71</v>
      </c>
      <c r="N22" s="724">
        <f t="shared" si="3"/>
        <v>5.4984651093141655E-3</v>
      </c>
      <c r="O22" s="596">
        <f>IF(N22="Løype",Poengsammendrag!$F$2,IF(N22="Arr",Poengsammendrag!$F$3,IF(N22="Brutt",50,IF(N22="Disk",50,ROUND(MAXA(100*(MIN(N$10:N$95)/N22),50),0)))))</f>
        <v>81</v>
      </c>
      <c r="Q22" s="672"/>
      <c r="R22" s="672"/>
      <c r="S22" s="803" t="s">
        <v>80</v>
      </c>
      <c r="T22" s="736">
        <v>1.0199652777777778E-2</v>
      </c>
      <c r="U22" s="752">
        <v>71</v>
      </c>
      <c r="V22" s="781"/>
      <c r="W22" s="776" t="s">
        <v>357</v>
      </c>
      <c r="X22" s="740">
        <v>73</v>
      </c>
      <c r="AB22" s="828">
        <f t="shared" si="5"/>
        <v>67</v>
      </c>
      <c r="AC22" s="829">
        <f t="shared" si="4"/>
        <v>1</v>
      </c>
    </row>
    <row r="23" spans="2:29" ht="21" customHeight="1" thickBot="1" x14ac:dyDescent="0.3">
      <c r="B23" s="16">
        <f t="shared" si="0"/>
        <v>14</v>
      </c>
      <c r="C23" s="106" t="s">
        <v>88</v>
      </c>
      <c r="D23" s="107" t="s">
        <v>89</v>
      </c>
      <c r="E23" s="599" t="str">
        <f t="shared" si="1"/>
        <v>EdgarFuruholt</v>
      </c>
      <c r="F23" s="192">
        <f>YEAR(I$5)-_xlfn.XLOOKUP(E23,Deltakerliste!E$5:E$98,Deltakerliste!I$5:I$98)</f>
        <v>79</v>
      </c>
      <c r="G23" s="192">
        <f>_xlfn.XLOOKUP(E23,Deltakerliste!E$5:E$98,Deltakerliste!H$5:H$98)</f>
        <v>2</v>
      </c>
      <c r="H23" s="592">
        <f>VLOOKUP(F23,Deltakerliste!P$6:T$84,G23,FALSE)</f>
        <v>1.8050000000000002</v>
      </c>
      <c r="I23" s="132">
        <v>1.8483796296296297E-2</v>
      </c>
      <c r="J23" s="132"/>
      <c r="K23" s="18"/>
      <c r="L23" s="600">
        <f t="shared" si="2"/>
        <v>1.0268775720164609E-2</v>
      </c>
      <c r="M23" s="594">
        <f>IF(L23="Løype",Poengsammendrag!$F$2,IF(L23="Arr",Poengsammendrag!$F$3,IF(L23="Brutt",50,IF(L23="Disk",50,ROUND(MAXA(100*(MIN(L$10:L$95)/L23),50),0)))))</f>
        <v>70</v>
      </c>
      <c r="N23" s="724">
        <f t="shared" si="3"/>
        <v>5.6890724211438272E-3</v>
      </c>
      <c r="O23" s="596">
        <f>IF(N23="Løype",Poengsammendrag!$F$2,IF(N23="Arr",Poengsammendrag!$F$3,IF(N23="Brutt",50,IF(N23="Disk",50,ROUND(MAXA(100*(MIN(N$10:N$95)/N23),50),0)))))</f>
        <v>78</v>
      </c>
      <c r="Q23" s="672"/>
      <c r="R23" s="672"/>
      <c r="S23" s="803" t="s">
        <v>88</v>
      </c>
      <c r="T23" s="736">
        <v>1.0268775720164609E-2</v>
      </c>
      <c r="U23" s="752">
        <v>70</v>
      </c>
      <c r="V23" s="781"/>
      <c r="W23" s="776" t="s">
        <v>307</v>
      </c>
      <c r="X23" s="740">
        <v>73</v>
      </c>
      <c r="AB23" s="828">
        <f t="shared" si="5"/>
        <v>68</v>
      </c>
      <c r="AC23" s="829">
        <f t="shared" si="4"/>
        <v>0</v>
      </c>
    </row>
    <row r="24" spans="2:29" ht="21" thickBot="1" x14ac:dyDescent="0.3">
      <c r="B24" s="16">
        <f t="shared" si="0"/>
        <v>15</v>
      </c>
      <c r="C24" s="106" t="s">
        <v>168</v>
      </c>
      <c r="D24" s="107" t="s">
        <v>169</v>
      </c>
      <c r="E24" s="599" t="str">
        <f t="shared" si="1"/>
        <v>SteinØvstedal</v>
      </c>
      <c r="F24" s="192">
        <f>YEAR(I$5)-_xlfn.XLOOKUP(E24,Deltakerliste!E$5:E$98,Deltakerliste!I$5:I$98)</f>
        <v>75</v>
      </c>
      <c r="G24" s="192">
        <f>_xlfn.XLOOKUP(E24,Deltakerliste!E$5:E$98,Deltakerliste!H$5:H$98)</f>
        <v>2</v>
      </c>
      <c r="H24" s="592">
        <f>VLOOKUP(F24,Deltakerliste!P$6:T$84,G24,FALSE)</f>
        <v>1.605</v>
      </c>
      <c r="I24" s="132"/>
      <c r="J24" s="132">
        <v>3.3148148148148149E-2</v>
      </c>
      <c r="K24" s="18"/>
      <c r="L24" s="600">
        <f t="shared" si="2"/>
        <v>1.0358796296296297E-2</v>
      </c>
      <c r="M24" s="594">
        <f>IF(L24="Løype",Poengsammendrag!$F$2,IF(L24="Arr",Poengsammendrag!$F$3,IF(L24="Brutt",50,IF(L24="Disk",50,ROUND(MAXA(100*(MIN(L$10:L$95)/L24),50),0)))))</f>
        <v>70</v>
      </c>
      <c r="N24" s="724">
        <f t="shared" si="3"/>
        <v>6.4540786892811819E-3</v>
      </c>
      <c r="O24" s="596">
        <f>IF(N24="Løype",Poengsammendrag!$F$2,IF(N24="Arr",Poengsammendrag!$F$3,IF(N24="Brutt",50,IF(N24="Disk",50,ROUND(MAXA(100*(MIN(N$10:N$95)/N24),50),0)))))</f>
        <v>69</v>
      </c>
      <c r="Q24" s="672"/>
      <c r="R24" s="672"/>
      <c r="S24" s="803" t="s">
        <v>168</v>
      </c>
      <c r="T24" s="736">
        <v>1.0358796296296297E-2</v>
      </c>
      <c r="U24" s="752">
        <v>70</v>
      </c>
      <c r="V24" s="781"/>
      <c r="W24" s="776" t="s">
        <v>338</v>
      </c>
      <c r="X24" s="740">
        <v>73</v>
      </c>
      <c r="AB24" s="828">
        <f t="shared" si="5"/>
        <v>69</v>
      </c>
      <c r="AC24" s="829">
        <f t="shared" si="4"/>
        <v>1</v>
      </c>
    </row>
    <row r="25" spans="2:29" ht="21" thickBot="1" x14ac:dyDescent="0.3">
      <c r="B25" s="16">
        <f t="shared" si="0"/>
        <v>16</v>
      </c>
      <c r="C25" s="106" t="s">
        <v>68</v>
      </c>
      <c r="D25" s="107" t="s">
        <v>69</v>
      </c>
      <c r="E25" s="599" t="str">
        <f t="shared" si="1"/>
        <v>JanBøhle</v>
      </c>
      <c r="F25" s="192">
        <f>YEAR(I$5)-_xlfn.XLOOKUP(E25,Deltakerliste!E$5:E$98,Deltakerliste!I$5:I$98)</f>
        <v>74</v>
      </c>
      <c r="G25" s="192">
        <f>_xlfn.XLOOKUP(E25,Deltakerliste!E$5:E$98,Deltakerliste!H$5:H$98)</f>
        <v>2</v>
      </c>
      <c r="H25" s="592">
        <f>VLOOKUP(F25,Deltakerliste!P$6:T$84,G25,FALSE)</f>
        <v>1.569</v>
      </c>
      <c r="I25" s="86"/>
      <c r="J25" s="86">
        <v>3.3171296296296296E-2</v>
      </c>
      <c r="K25" s="13"/>
      <c r="L25" s="600">
        <f t="shared" si="2"/>
        <v>1.0366030092592592E-2</v>
      </c>
      <c r="M25" s="594">
        <f>IF(L25="Løype",Poengsammendrag!$F$2,IF(L25="Arr",Poengsammendrag!$F$3,IF(L25="Brutt",50,IF(L25="Disk",50,ROUND(MAXA(100*(MIN(L$10:L$95)/L25),50),0)))))</f>
        <v>70</v>
      </c>
      <c r="N25" s="724">
        <f t="shared" si="3"/>
        <v>6.6067750749474775E-3</v>
      </c>
      <c r="O25" s="596">
        <f>IF(N25="Løype",Poengsammendrag!$F$2,IF(N25="Arr",Poengsammendrag!$F$3,IF(N25="Brutt",50,IF(N25="Disk",50,ROUND(MAXA(100*(MIN(N$10:N$95)/N25),50),0)))))</f>
        <v>68</v>
      </c>
      <c r="Q25" s="672"/>
      <c r="R25" s="672"/>
      <c r="S25" s="803" t="s">
        <v>68</v>
      </c>
      <c r="T25" s="736">
        <v>1.0366030092592592E-2</v>
      </c>
      <c r="U25" s="752">
        <v>70</v>
      </c>
      <c r="V25" s="781"/>
      <c r="W25" s="776" t="s">
        <v>124</v>
      </c>
      <c r="X25" s="740">
        <v>72</v>
      </c>
      <c r="AB25" s="828">
        <f t="shared" si="5"/>
        <v>70</v>
      </c>
      <c r="AC25" s="829">
        <f t="shared" si="4"/>
        <v>2</v>
      </c>
    </row>
    <row r="26" spans="2:29" ht="21" customHeight="1" thickBot="1" x14ac:dyDescent="0.3">
      <c r="B26" s="16">
        <f t="shared" si="0"/>
        <v>17</v>
      </c>
      <c r="C26" s="106" t="s">
        <v>106</v>
      </c>
      <c r="D26" s="107" t="s">
        <v>107</v>
      </c>
      <c r="E26" s="599" t="str">
        <f t="shared" si="1"/>
        <v>Jon ArneKlemetsaune</v>
      </c>
      <c r="F26" s="192">
        <f>YEAR(I$5)-_xlfn.XLOOKUP(E26,Deltakerliste!E$5:E$98,Deltakerliste!I$5:I$98)</f>
        <v>77</v>
      </c>
      <c r="G26" s="192">
        <f>_xlfn.XLOOKUP(E26,Deltakerliste!E$5:E$98,Deltakerliste!H$5:H$98)</f>
        <v>2</v>
      </c>
      <c r="H26" s="592">
        <f>VLOOKUP(F26,Deltakerliste!P$6:T$84,G26,FALSE)</f>
        <v>1.7050000000000001</v>
      </c>
      <c r="I26" s="86"/>
      <c r="J26" s="86">
        <v>3.318287037037037E-2</v>
      </c>
      <c r="K26" s="17"/>
      <c r="L26" s="600">
        <f t="shared" si="2"/>
        <v>1.0369646990740739E-2</v>
      </c>
      <c r="M26" s="594">
        <f>IF(L26="Løype",Poengsammendrag!$F$2,IF(L26="Arr",Poengsammendrag!$F$3,IF(L26="Brutt",50,IF(L26="Disk",50,ROUND(MAXA(100*(MIN(L$10:L$95)/L26),50),0)))))</f>
        <v>70</v>
      </c>
      <c r="N26" s="724">
        <f t="shared" si="3"/>
        <v>6.0819043933963276E-3</v>
      </c>
      <c r="O26" s="596">
        <f>IF(N26="Løype",Poengsammendrag!$F$2,IF(N26="Arr",Poengsammendrag!$F$3,IF(N26="Brutt",50,IF(N26="Disk",50,ROUND(MAXA(100*(MIN(N$10:N$95)/N26),50),0)))))</f>
        <v>73</v>
      </c>
      <c r="Q26" s="672"/>
      <c r="R26" s="672"/>
      <c r="S26" s="803" t="s">
        <v>106</v>
      </c>
      <c r="T26" s="736">
        <v>1.0369646990740739E-2</v>
      </c>
      <c r="U26" s="752">
        <v>70</v>
      </c>
      <c r="V26" s="781"/>
      <c r="W26" s="776" t="s">
        <v>168</v>
      </c>
      <c r="X26" s="740">
        <v>69</v>
      </c>
      <c r="AB26" s="828">
        <f t="shared" si="5"/>
        <v>71</v>
      </c>
      <c r="AC26" s="829">
        <f t="shared" si="4"/>
        <v>2</v>
      </c>
    </row>
    <row r="27" spans="2:29" ht="21" thickBot="1" x14ac:dyDescent="0.3">
      <c r="B27" s="16">
        <f t="shared" si="0"/>
        <v>18</v>
      </c>
      <c r="C27" s="106" t="s">
        <v>101</v>
      </c>
      <c r="D27" s="107" t="s">
        <v>102</v>
      </c>
      <c r="E27" s="599" t="str">
        <f t="shared" si="1"/>
        <v>EvenHofstad</v>
      </c>
      <c r="F27" s="192">
        <f>YEAR(I$5)-_xlfn.XLOOKUP(E27,Deltakerliste!E$5:E$98,Deltakerliste!I$5:I$98)</f>
        <v>72</v>
      </c>
      <c r="G27" s="192">
        <f>_xlfn.XLOOKUP(E27,Deltakerliste!E$5:E$98,Deltakerliste!H$5:H$98)</f>
        <v>2</v>
      </c>
      <c r="H27" s="592">
        <f>VLOOKUP(F27,Deltakerliste!P$6:T$84,G27,FALSE)</f>
        <v>1.4969999999999999</v>
      </c>
      <c r="I27" s="86"/>
      <c r="J27" s="86">
        <v>3.4525462962962966E-2</v>
      </c>
      <c r="K27" s="13"/>
      <c r="L27" s="600">
        <f t="shared" si="2"/>
        <v>1.0789207175925927E-2</v>
      </c>
      <c r="M27" s="594">
        <f>IF(L27="Løype",Poengsammendrag!$F$2,IF(L27="Arr",Poengsammendrag!$F$3,IF(L27="Brutt",50,IF(L27="Disk",50,ROUND(MAXA(100*(MIN(L$10:L$95)/L27),50),0)))))</f>
        <v>67</v>
      </c>
      <c r="N27" s="724">
        <f t="shared" si="3"/>
        <v>7.2072192223954093E-3</v>
      </c>
      <c r="O27" s="596">
        <f>IF(N27="Løype",Poengsammendrag!$F$2,IF(N27="Arr",Poengsammendrag!$F$3,IF(N27="Brutt",50,IF(N27="Disk",50,ROUND(MAXA(100*(MIN(N$10:N$95)/N27),50),0)))))</f>
        <v>62</v>
      </c>
      <c r="Q27" s="672"/>
      <c r="R27" s="672"/>
      <c r="S27" s="803" t="s">
        <v>101</v>
      </c>
      <c r="T27" s="736">
        <v>1.0789207175925927E-2</v>
      </c>
      <c r="U27" s="752">
        <v>67</v>
      </c>
      <c r="V27" s="781"/>
      <c r="W27" s="776" t="s">
        <v>134</v>
      </c>
      <c r="X27" s="740">
        <v>69</v>
      </c>
      <c r="AB27" s="828">
        <f t="shared" si="5"/>
        <v>72</v>
      </c>
      <c r="AC27" s="829">
        <f t="shared" si="4"/>
        <v>3</v>
      </c>
    </row>
    <row r="28" spans="2:29" ht="21" customHeight="1" thickBot="1" x14ac:dyDescent="0.3">
      <c r="B28" s="16">
        <f t="shared" si="0"/>
        <v>19</v>
      </c>
      <c r="C28" s="106" t="s">
        <v>63</v>
      </c>
      <c r="D28" s="107" t="s">
        <v>98</v>
      </c>
      <c r="E28" s="599" t="str">
        <f t="shared" si="1"/>
        <v>ToreHeggem</v>
      </c>
      <c r="F28" s="192">
        <f>YEAR(I$5)-_xlfn.XLOOKUP(E28,Deltakerliste!E$5:E$98,Deltakerliste!I$5:I$98)</f>
        <v>73</v>
      </c>
      <c r="G28" s="192">
        <f>_xlfn.XLOOKUP(E28,Deltakerliste!E$5:E$98,Deltakerliste!H$5:H$98)</f>
        <v>2</v>
      </c>
      <c r="H28" s="592">
        <f>VLOOKUP(F28,Deltakerliste!P$6:T$84,G28,FALSE)</f>
        <v>1.5329999999999999</v>
      </c>
      <c r="I28" s="86"/>
      <c r="J28" s="86">
        <v>3.5636574074074077E-2</v>
      </c>
      <c r="K28" s="13"/>
      <c r="L28" s="600">
        <f t="shared" si="2"/>
        <v>1.1136429398148148E-2</v>
      </c>
      <c r="M28" s="594">
        <f>IF(L28="Løype",Poengsammendrag!$F$2,IF(L28="Arr",Poengsammendrag!$F$3,IF(L28="Brutt",50,IF(L28="Disk",50,ROUND(MAXA(100*(MIN(L$10:L$95)/L28),50),0)))))</f>
        <v>65</v>
      </c>
      <c r="N28" s="724">
        <f t="shared" si="3"/>
        <v>7.264467970090116E-3</v>
      </c>
      <c r="O28" s="596">
        <f>IF(N28="Løype",Poengsammendrag!$F$2,IF(N28="Arr",Poengsammendrag!$F$3,IF(N28="Brutt",50,IF(N28="Disk",50,ROUND(MAXA(100*(MIN(N$10:N$95)/N28),50),0)))))</f>
        <v>61</v>
      </c>
      <c r="Q28" s="672"/>
      <c r="R28" s="672"/>
      <c r="S28" s="803" t="s">
        <v>340</v>
      </c>
      <c r="T28" s="736">
        <v>1.1136429398148148E-2</v>
      </c>
      <c r="U28" s="752">
        <v>65</v>
      </c>
      <c r="V28" s="781"/>
      <c r="W28" s="776" t="s">
        <v>68</v>
      </c>
      <c r="X28" s="740">
        <v>68</v>
      </c>
      <c r="AB28" s="828">
        <f t="shared" si="5"/>
        <v>73</v>
      </c>
      <c r="AC28" s="829">
        <f t="shared" si="4"/>
        <v>5</v>
      </c>
    </row>
    <row r="29" spans="2:29" ht="21" thickBot="1" x14ac:dyDescent="0.3">
      <c r="B29" s="16">
        <f t="shared" si="0"/>
        <v>20</v>
      </c>
      <c r="C29" s="106" t="s">
        <v>114</v>
      </c>
      <c r="D29" s="107" t="s">
        <v>115</v>
      </c>
      <c r="E29" s="599" t="str">
        <f t="shared" si="1"/>
        <v>MagnusLandstad</v>
      </c>
      <c r="F29" s="192">
        <f>YEAR(I$5)-_xlfn.XLOOKUP(E29,Deltakerliste!E$5:E$98,Deltakerliste!I$5:I$98)</f>
        <v>83</v>
      </c>
      <c r="G29" s="192">
        <f>_xlfn.XLOOKUP(E29,Deltakerliste!E$5:E$98,Deltakerliste!H$5:H$98)</f>
        <v>2</v>
      </c>
      <c r="H29" s="592">
        <f>VLOOKUP(F29,Deltakerliste!P$6:T$84,G29,FALSE)</f>
        <v>2.077</v>
      </c>
      <c r="I29" s="86"/>
      <c r="J29" s="86">
        <v>3.7199074074074072E-2</v>
      </c>
      <c r="K29" s="13"/>
      <c r="L29" s="600">
        <f t="shared" si="2"/>
        <v>1.1624710648148146E-2</v>
      </c>
      <c r="M29" s="594">
        <f>IF(L29="Løype",Poengsammendrag!$F$2,IF(L29="Arr",Poengsammendrag!$F$3,IF(L29="Brutt",50,IF(L29="Disk",50,ROUND(MAXA(100*(MIN(L$10:L$95)/L29),50),0)))))</f>
        <v>62</v>
      </c>
      <c r="N29" s="724">
        <f t="shared" si="3"/>
        <v>5.5968756129745533E-3</v>
      </c>
      <c r="O29" s="596">
        <f>IF(N29="Løype",Poengsammendrag!$F$2,IF(N29="Arr",Poengsammendrag!$F$3,IF(N29="Brutt",50,IF(N29="Disk",50,ROUND(MAXA(100*(MIN(N$10:N$95)/N29),50),0)))))</f>
        <v>80</v>
      </c>
      <c r="Q29" s="672"/>
      <c r="R29" s="672"/>
      <c r="S29" s="803" t="s">
        <v>114</v>
      </c>
      <c r="T29" s="736">
        <v>1.1624710648148146E-2</v>
      </c>
      <c r="U29" s="752">
        <v>62</v>
      </c>
      <c r="V29" s="781"/>
      <c r="W29" s="776" t="s">
        <v>99</v>
      </c>
      <c r="X29" s="740">
        <v>67</v>
      </c>
      <c r="AB29" s="828">
        <f t="shared" si="5"/>
        <v>74</v>
      </c>
      <c r="AC29" s="829">
        <f t="shared" si="4"/>
        <v>2</v>
      </c>
    </row>
    <row r="30" spans="2:29" ht="21" thickBot="1" x14ac:dyDescent="0.3">
      <c r="B30" s="16">
        <f t="shared" si="0"/>
        <v>21</v>
      </c>
      <c r="C30" s="106" t="s">
        <v>122</v>
      </c>
      <c r="D30" s="107" t="s">
        <v>123</v>
      </c>
      <c r="E30" s="599" t="str">
        <f t="shared" si="1"/>
        <v>MartinMelhuus</v>
      </c>
      <c r="F30" s="192">
        <f>YEAR(I$5)-_xlfn.XLOOKUP(E30,Deltakerliste!E$5:E$98,Deltakerliste!I$5:I$98)</f>
        <v>82</v>
      </c>
      <c r="G30" s="192">
        <f>_xlfn.XLOOKUP(E30,Deltakerliste!E$5:E$98,Deltakerliste!H$5:H$98)</f>
        <v>2</v>
      </c>
      <c r="H30" s="592">
        <f>VLOOKUP(F30,Deltakerliste!P$6:T$84,G30,FALSE)</f>
        <v>2.0030000000000001</v>
      </c>
      <c r="I30" s="13">
        <v>2.0925925925925924E-2</v>
      </c>
      <c r="J30" s="13"/>
      <c r="K30" s="13"/>
      <c r="L30" s="600">
        <f t="shared" si="2"/>
        <v>1.1625514403292179E-2</v>
      </c>
      <c r="M30" s="594">
        <f>IF(L30="Løype",Poengsammendrag!$F$2,IF(L30="Arr",Poengsammendrag!$F$3,IF(L30="Brutt",50,IF(L30="Disk",50,ROUND(MAXA(100*(MIN(L$10:L$95)/L30),50),0)))))</f>
        <v>62</v>
      </c>
      <c r="N30" s="724">
        <f t="shared" si="3"/>
        <v>5.8040511249586512E-3</v>
      </c>
      <c r="O30" s="596">
        <f>IF(N30="Løype",Poengsammendrag!$F$2,IF(N30="Arr",Poengsammendrag!$F$3,IF(N30="Brutt",50,IF(N30="Disk",50,ROUND(MAXA(100*(MIN(N$10:N$95)/N30),50),0)))))</f>
        <v>77</v>
      </c>
      <c r="Q30" s="672"/>
      <c r="R30" s="672"/>
      <c r="S30" s="803" t="s">
        <v>122</v>
      </c>
      <c r="T30" s="736">
        <v>1.1625514403292179E-2</v>
      </c>
      <c r="U30" s="752">
        <v>62</v>
      </c>
      <c r="V30" s="781"/>
      <c r="W30" s="776" t="s">
        <v>163</v>
      </c>
      <c r="X30" s="740">
        <v>67</v>
      </c>
      <c r="AB30" s="828">
        <f t="shared" si="5"/>
        <v>75</v>
      </c>
      <c r="AC30" s="829">
        <f t="shared" si="4"/>
        <v>6</v>
      </c>
    </row>
    <row r="31" spans="2:29" ht="21" customHeight="1" thickBot="1" x14ac:dyDescent="0.3">
      <c r="B31" s="16">
        <f t="shared" si="0"/>
        <v>22</v>
      </c>
      <c r="C31" s="106" t="s">
        <v>72</v>
      </c>
      <c r="D31" s="107" t="s">
        <v>73</v>
      </c>
      <c r="E31" s="599" t="str">
        <f t="shared" si="1"/>
        <v>KåreEggereide</v>
      </c>
      <c r="F31" s="192">
        <f>YEAR(I$5)-_xlfn.XLOOKUP(E31,Deltakerliste!E$5:E$98,Deltakerliste!I$5:I$98)</f>
        <v>75</v>
      </c>
      <c r="G31" s="192">
        <f>_xlfn.XLOOKUP(E31,Deltakerliste!E$5:E$98,Deltakerliste!H$5:H$98)</f>
        <v>2</v>
      </c>
      <c r="H31" s="592">
        <f>VLOOKUP(F31,Deltakerliste!P$6:T$84,G31,FALSE)</f>
        <v>1.605</v>
      </c>
      <c r="I31" s="86"/>
      <c r="J31" s="13">
        <v>3.7962962962962962E-2</v>
      </c>
      <c r="K31" s="13"/>
      <c r="L31" s="600">
        <f t="shared" si="2"/>
        <v>1.1863425925925925E-2</v>
      </c>
      <c r="M31" s="594">
        <f>IF(L31="Løype",Poengsammendrag!$F$2,IF(L31="Arr",Poengsammendrag!$F$3,IF(L31="Brutt",50,IF(L31="Disk",50,ROUND(MAXA(100*(MIN(L$10:L$95)/L31),50),0)))))</f>
        <v>61</v>
      </c>
      <c r="N31" s="724">
        <f t="shared" si="3"/>
        <v>7.3915426329756546E-3</v>
      </c>
      <c r="O31" s="596">
        <f>IF(N31="Løype",Poengsammendrag!$F$2,IF(N31="Arr",Poengsammendrag!$F$3,IF(N31="Brutt",50,IF(N31="Disk",50,ROUND(MAXA(100*(MIN(N$10:N$95)/N31),50),0)))))</f>
        <v>60</v>
      </c>
      <c r="Q31" s="672"/>
      <c r="R31" s="672"/>
      <c r="S31" s="803" t="s">
        <v>350</v>
      </c>
      <c r="T31" s="736">
        <v>1.1863425925925925E-2</v>
      </c>
      <c r="U31" s="752">
        <v>61</v>
      </c>
      <c r="V31" s="781"/>
      <c r="W31" s="776" t="s">
        <v>103</v>
      </c>
      <c r="X31" s="740">
        <v>65</v>
      </c>
      <c r="AB31" s="828">
        <f t="shared" si="5"/>
        <v>76</v>
      </c>
      <c r="AC31" s="829">
        <f t="shared" si="4"/>
        <v>1</v>
      </c>
    </row>
    <row r="32" spans="2:29" ht="21" customHeight="1" thickBot="1" x14ac:dyDescent="0.3">
      <c r="B32" s="16">
        <f t="shared" si="0"/>
        <v>23</v>
      </c>
      <c r="C32" s="106" t="s">
        <v>110</v>
      </c>
      <c r="D32" s="107" t="s">
        <v>111</v>
      </c>
      <c r="E32" s="599" t="str">
        <f t="shared" si="1"/>
        <v>Jan ErikKofoed</v>
      </c>
      <c r="F32" s="192">
        <f>YEAR(I$5)-_xlfn.XLOOKUP(E32,Deltakerliste!E$5:E$98,Deltakerliste!I$5:I$98)</f>
        <v>72</v>
      </c>
      <c r="G32" s="192">
        <f>_xlfn.XLOOKUP(E32,Deltakerliste!E$5:E$98,Deltakerliste!H$5:H$98)</f>
        <v>2</v>
      </c>
      <c r="H32" s="592">
        <f>VLOOKUP(F32,Deltakerliste!P$6:T$84,G32,FALSE)</f>
        <v>1.4969999999999999</v>
      </c>
      <c r="I32" s="86"/>
      <c r="J32" s="86">
        <v>3.878472222222222E-2</v>
      </c>
      <c r="K32" s="13"/>
      <c r="L32" s="600">
        <f t="shared" si="2"/>
        <v>1.2120225694444443E-2</v>
      </c>
      <c r="M32" s="594">
        <f>IF(L32="Løype",Poengsammendrag!$F$2,IF(L32="Arr",Poengsammendrag!$F$3,IF(L32="Brutt",50,IF(L32="Disk",50,ROUND(MAXA(100*(MIN(L$10:L$95)/L32),50),0)))))</f>
        <v>60</v>
      </c>
      <c r="N32" s="724">
        <f t="shared" si="3"/>
        <v>8.0963431492614858E-3</v>
      </c>
      <c r="O32" s="596">
        <f>IF(N32="Løype",Poengsammendrag!$F$2,IF(N32="Arr",Poengsammendrag!$F$3,IF(N32="Brutt",50,IF(N32="Disk",50,ROUND(MAXA(100*(MIN(N$10:N$95)/N32),50),0)))))</f>
        <v>55</v>
      </c>
      <c r="S32" s="803" t="s">
        <v>110</v>
      </c>
      <c r="T32" s="736">
        <v>1.2120225694444443E-2</v>
      </c>
      <c r="U32" s="752">
        <v>60</v>
      </c>
      <c r="V32" s="781"/>
      <c r="W32" s="776" t="s">
        <v>96</v>
      </c>
      <c r="X32" s="740">
        <v>65</v>
      </c>
      <c r="AB32" s="828">
        <f t="shared" si="5"/>
        <v>77</v>
      </c>
      <c r="AC32" s="829">
        <f t="shared" si="4"/>
        <v>3</v>
      </c>
    </row>
    <row r="33" spans="2:29" ht="21" customHeight="1" thickBot="1" x14ac:dyDescent="0.3">
      <c r="B33" s="16">
        <f t="shared" si="0"/>
        <v>24</v>
      </c>
      <c r="C33" s="106" t="s">
        <v>103</v>
      </c>
      <c r="D33" s="107" t="s">
        <v>104</v>
      </c>
      <c r="E33" s="599" t="str">
        <f t="shared" si="1"/>
        <v>SveinHove</v>
      </c>
      <c r="F33" s="192">
        <f>YEAR(I$5)-_xlfn.XLOOKUP(E33,Deltakerliste!E$5:E$98,Deltakerliste!I$5:I$98)</f>
        <v>79</v>
      </c>
      <c r="G33" s="192">
        <f>_xlfn.XLOOKUP(E33,Deltakerliste!E$5:E$98,Deltakerliste!H$5:H$98)</f>
        <v>2</v>
      </c>
      <c r="H33" s="592">
        <f>VLOOKUP(F33,Deltakerliste!P$6:T$84,G33,FALSE)</f>
        <v>1.8050000000000002</v>
      </c>
      <c r="I33" s="86">
        <v>2.2280092592592591E-2</v>
      </c>
      <c r="J33" s="86"/>
      <c r="K33" s="17"/>
      <c r="L33" s="600">
        <f t="shared" si="2"/>
        <v>1.2377829218106994E-2</v>
      </c>
      <c r="M33" s="594">
        <f>IF(L33="Løype",Poengsammendrag!$F$2,IF(L33="Arr",Poengsammendrag!$F$3,IF(L33="Brutt",50,IF(L33="Disk",50,ROUND(MAXA(100*(MIN(L$10:L$95)/L33),50),0)))))</f>
        <v>58</v>
      </c>
      <c r="N33" s="724">
        <f t="shared" si="3"/>
        <v>6.8575231125246501E-3</v>
      </c>
      <c r="O33" s="596">
        <f>IF(N33="Løype",Poengsammendrag!$F$2,IF(N33="Arr",Poengsammendrag!$F$3,IF(N33="Brutt",50,IF(N33="Disk",50,ROUND(MAXA(100*(MIN(N$10:N$95)/N33),50),0)))))</f>
        <v>65</v>
      </c>
      <c r="S33" s="803" t="s">
        <v>103</v>
      </c>
      <c r="T33" s="736">
        <v>1.2377829218106994E-2</v>
      </c>
      <c r="U33" s="752">
        <v>58</v>
      </c>
      <c r="V33" s="781"/>
      <c r="W33" s="776" t="s">
        <v>346</v>
      </c>
      <c r="X33" s="740">
        <v>65</v>
      </c>
      <c r="AB33" s="828">
        <f t="shared" si="5"/>
        <v>78</v>
      </c>
      <c r="AC33" s="829">
        <f t="shared" si="4"/>
        <v>3</v>
      </c>
    </row>
    <row r="34" spans="2:29" ht="21" customHeight="1" thickBot="1" x14ac:dyDescent="0.3">
      <c r="B34" s="16">
        <f t="shared" si="0"/>
        <v>25</v>
      </c>
      <c r="C34" s="106" t="s">
        <v>124</v>
      </c>
      <c r="D34" s="107" t="s">
        <v>125</v>
      </c>
      <c r="E34" s="599" t="str">
        <f t="shared" si="1"/>
        <v>Heidi Midttun</v>
      </c>
      <c r="F34" s="192">
        <f>YEAR(I$5)-_xlfn.XLOOKUP(E34,Deltakerliste!E$5:E$98,Deltakerliste!I$5:I$98)</f>
        <v>71</v>
      </c>
      <c r="G34" s="192">
        <f>_xlfn.XLOOKUP(E34,Deltakerliste!E$5:E$98,Deltakerliste!H$5:H$98)</f>
        <v>4</v>
      </c>
      <c r="H34" s="592">
        <f>VLOOKUP(F34,Deltakerliste!P$6:T$84,G34,FALSE)</f>
        <v>1.9926000000000013</v>
      </c>
      <c r="I34" s="13">
        <v>2.2291666666666668E-2</v>
      </c>
      <c r="J34" s="13"/>
      <c r="K34" s="13"/>
      <c r="L34" s="600">
        <f t="shared" si="2"/>
        <v>1.238425925925926E-2</v>
      </c>
      <c r="M34" s="594">
        <f>IF(L34="Løype",Poengsammendrag!$F$2,IF(L34="Arr",Poengsammendrag!$F$3,IF(L34="Brutt",50,IF(L34="Disk",50,ROUND(MAXA(100*(MIN(L$10:L$95)/L34),50),0)))))</f>
        <v>58</v>
      </c>
      <c r="N34" s="724">
        <f t="shared" si="3"/>
        <v>6.215125594328642E-3</v>
      </c>
      <c r="O34" s="596">
        <f>IF(N34="Løype",Poengsammendrag!$F$2,IF(N34="Arr",Poengsammendrag!$F$3,IF(N34="Brutt",50,IF(N34="Disk",50,ROUND(MAXA(100*(MIN(N$10:N$95)/N34),50),0)))))</f>
        <v>72</v>
      </c>
      <c r="S34" s="803" t="s">
        <v>124</v>
      </c>
      <c r="T34" s="736">
        <v>1.238425925925926E-2</v>
      </c>
      <c r="U34" s="752">
        <v>58</v>
      </c>
      <c r="V34" s="781"/>
      <c r="W34" s="776" t="s">
        <v>101</v>
      </c>
      <c r="X34" s="740">
        <v>62</v>
      </c>
      <c r="AB34" s="828">
        <f t="shared" si="5"/>
        <v>79</v>
      </c>
      <c r="AC34" s="829">
        <f t="shared" si="4"/>
        <v>4</v>
      </c>
    </row>
    <row r="35" spans="2:29" ht="21" customHeight="1" thickBot="1" x14ac:dyDescent="0.3">
      <c r="B35" s="16">
        <f t="shared" si="0"/>
        <v>26</v>
      </c>
      <c r="C35" s="106" t="s">
        <v>64</v>
      </c>
      <c r="D35" s="107" t="s">
        <v>366</v>
      </c>
      <c r="E35" s="599" t="str">
        <f t="shared" si="1"/>
        <v>BjørnHafskjold</v>
      </c>
      <c r="F35" s="192">
        <f>YEAR(I$5)-_xlfn.XLOOKUP(E35,Deltakerliste!E$5:E$98,Deltakerliste!I$5:I$98)</f>
        <v>79</v>
      </c>
      <c r="G35" s="192">
        <f>_xlfn.XLOOKUP(E35,Deltakerliste!E$5:E$98,Deltakerliste!H$5:H$98)</f>
        <v>2</v>
      </c>
      <c r="H35" s="592">
        <f>VLOOKUP(F35,Deltakerliste!P$6:T$84,G35,FALSE)</f>
        <v>1.8050000000000002</v>
      </c>
      <c r="I35" s="14">
        <v>2.3993055555555556E-2</v>
      </c>
      <c r="J35" s="14"/>
      <c r="K35" s="18"/>
      <c r="L35" s="600">
        <f t="shared" si="2"/>
        <v>1.3329475308641975E-2</v>
      </c>
      <c r="M35" s="594">
        <f>IF(L35="Løype",Poengsammendrag!$F$2,IF(L35="Arr",Poengsammendrag!$F$3,IF(L35="Brutt",50,IF(L35="Disk",50,ROUND(MAXA(100*(MIN(L$10:L$95)/L35),50),0)))))</f>
        <v>54</v>
      </c>
      <c r="N35" s="724">
        <f t="shared" si="3"/>
        <v>7.3847508635135591E-3</v>
      </c>
      <c r="O35" s="596">
        <f>IF(N35="Løype",Poengsammendrag!$F$2,IF(N35="Arr",Poengsammendrag!$F$3,IF(N35="Brutt",50,IF(N35="Disk",50,ROUND(MAXA(100*(MIN(N$10:N$95)/N35),50),0)))))</f>
        <v>60</v>
      </c>
      <c r="S35" s="803" t="s">
        <v>367</v>
      </c>
      <c r="T35" s="736">
        <v>1.3329475308641975E-2</v>
      </c>
      <c r="U35" s="752">
        <v>54</v>
      </c>
      <c r="V35" s="781"/>
      <c r="W35" s="776" t="s">
        <v>340</v>
      </c>
      <c r="X35" s="740">
        <v>61</v>
      </c>
      <c r="AB35" s="828">
        <f t="shared" si="5"/>
        <v>80</v>
      </c>
      <c r="AC35" s="829">
        <f t="shared" si="4"/>
        <v>2</v>
      </c>
    </row>
    <row r="36" spans="2:29" ht="21" thickBot="1" x14ac:dyDescent="0.3">
      <c r="B36" s="16">
        <f t="shared" si="0"/>
        <v>27</v>
      </c>
      <c r="C36" s="106" t="s">
        <v>78</v>
      </c>
      <c r="D36" s="107" t="s">
        <v>79</v>
      </c>
      <c r="E36" s="599" t="str">
        <f t="shared" si="1"/>
        <v>LeifEngen</v>
      </c>
      <c r="F36" s="192">
        <f>YEAR(I$5)-_xlfn.XLOOKUP(E36,Deltakerliste!E$5:E$98,Deltakerliste!I$5:I$98)</f>
        <v>85</v>
      </c>
      <c r="G36" s="192">
        <f>_xlfn.XLOOKUP(E36,Deltakerliste!E$5:E$98,Deltakerliste!H$5:H$98)</f>
        <v>2</v>
      </c>
      <c r="H36" s="592">
        <f>VLOOKUP(F36,Deltakerliste!P$6:T$84,G36,FALSE)</f>
        <v>2.2249999999999996</v>
      </c>
      <c r="I36" s="853">
        <v>2.4525462962962964E-2</v>
      </c>
      <c r="J36" s="86"/>
      <c r="K36" s="13"/>
      <c r="L36" s="600">
        <f t="shared" si="2"/>
        <v>1.362525720164609E-2</v>
      </c>
      <c r="M36" s="594">
        <f>IF(L36="Løype",Poengsammendrag!$F$2,IF(L36="Arr",Poengsammendrag!$F$3,IF(L36="Brutt",50,IF(L36="Disk",50,ROUND(MAXA(100*(MIN(L$10:L$95)/L36),50),0)))))</f>
        <v>53</v>
      </c>
      <c r="N36" s="724">
        <f t="shared" si="3"/>
        <v>6.1237111018634122E-3</v>
      </c>
      <c r="O36" s="596">
        <f>IF(N36="Løype",Poengsammendrag!$F$2,IF(N36="Arr",Poengsammendrag!$F$3,IF(N36="Brutt",50,IF(N36="Disk",50,ROUND(MAXA(100*(MIN(N$10:N$95)/N36),50),0)))))</f>
        <v>73</v>
      </c>
      <c r="S36" s="803" t="s">
        <v>338</v>
      </c>
      <c r="T36" s="736">
        <v>1.362525720164609E-2</v>
      </c>
      <c r="U36" s="752">
        <v>53</v>
      </c>
      <c r="V36" s="781"/>
      <c r="W36" s="776" t="s">
        <v>367</v>
      </c>
      <c r="X36" s="740">
        <v>60</v>
      </c>
      <c r="AB36" s="828">
        <f t="shared" si="5"/>
        <v>81</v>
      </c>
      <c r="AC36" s="829">
        <f t="shared" si="4"/>
        <v>1</v>
      </c>
    </row>
    <row r="37" spans="2:29" ht="21" customHeight="1" thickBot="1" x14ac:dyDescent="0.3">
      <c r="B37" s="16">
        <f t="shared" si="0"/>
        <v>28</v>
      </c>
      <c r="C37" s="106" t="s">
        <v>142</v>
      </c>
      <c r="D37" s="107" t="s">
        <v>143</v>
      </c>
      <c r="E37" s="599" t="str">
        <f t="shared" si="1"/>
        <v>EgilRepvik</v>
      </c>
      <c r="F37" s="192">
        <f>YEAR(I$5)-_xlfn.XLOOKUP(E37,Deltakerliste!E$5:E$98,Deltakerliste!I$5:I$98)</f>
        <v>80</v>
      </c>
      <c r="G37" s="192">
        <f>_xlfn.XLOOKUP(E37,Deltakerliste!E$5:E$98,Deltakerliste!H$5:H$98)</f>
        <v>2</v>
      </c>
      <c r="H37" s="592">
        <f>VLOOKUP(F37,Deltakerliste!P$6:T$84,G37,FALSE)</f>
        <v>1.8550000000000002</v>
      </c>
      <c r="I37" s="132">
        <v>2.4664351851851851E-2</v>
      </c>
      <c r="J37" s="18"/>
      <c r="K37" s="18"/>
      <c r="L37" s="600">
        <f t="shared" si="2"/>
        <v>1.370241769547325E-2</v>
      </c>
      <c r="M37" s="594">
        <f>IF(L37="Løype",Poengsammendrag!$F$2,IF(L37="Arr",Poengsammendrag!$F$3,IF(L37="Brutt",50,IF(L37="Disk",50,ROUND(MAXA(100*(MIN(L$10:L$95)/L37),50),0)))))</f>
        <v>53</v>
      </c>
      <c r="N37" s="724">
        <f t="shared" si="3"/>
        <v>7.3867480838130722E-3</v>
      </c>
      <c r="O37" s="596">
        <f>IF(N37="Løype",Poengsammendrag!$F$2,IF(N37="Arr",Poengsammendrag!$F$3,IF(N37="Brutt",50,IF(N37="Disk",50,ROUND(MAXA(100*(MIN(N$10:N$95)/N37),50),0)))))</f>
        <v>60</v>
      </c>
      <c r="S37" s="803" t="s">
        <v>356</v>
      </c>
      <c r="T37" s="736">
        <v>1.370241769547325E-2</v>
      </c>
      <c r="U37" s="752">
        <v>53</v>
      </c>
      <c r="V37" s="781"/>
      <c r="W37" s="776" t="s">
        <v>356</v>
      </c>
      <c r="X37" s="740">
        <v>60</v>
      </c>
      <c r="AB37" s="828">
        <f t="shared" si="5"/>
        <v>82</v>
      </c>
      <c r="AC37" s="829">
        <f t="shared" si="4"/>
        <v>2</v>
      </c>
    </row>
    <row r="38" spans="2:29" ht="21" customHeight="1" thickBot="1" x14ac:dyDescent="0.3">
      <c r="B38" s="16">
        <f t="shared" si="0"/>
        <v>29</v>
      </c>
      <c r="C38" s="106" t="s">
        <v>76</v>
      </c>
      <c r="D38" s="107" t="s">
        <v>77</v>
      </c>
      <c r="E38" s="599" t="str">
        <f t="shared" si="1"/>
        <v>ReinoldEllingsen</v>
      </c>
      <c r="F38" s="192">
        <f>YEAR(I$5)-_xlfn.XLOOKUP(E38,Deltakerliste!E$5:E$98,Deltakerliste!I$5:I$98)</f>
        <v>75</v>
      </c>
      <c r="G38" s="192">
        <f>_xlfn.XLOOKUP(E38,Deltakerliste!E$5:E$98,Deltakerliste!H$5:H$98)</f>
        <v>2</v>
      </c>
      <c r="H38" s="592">
        <f>VLOOKUP(F38,Deltakerliste!P$6:T$84,G38,FALSE)</f>
        <v>1.605</v>
      </c>
      <c r="I38" s="13">
        <v>2.5208333333333333E-2</v>
      </c>
      <c r="J38" s="13"/>
      <c r="K38" s="13"/>
      <c r="L38" s="600">
        <f t="shared" si="2"/>
        <v>1.4004629629629629E-2</v>
      </c>
      <c r="M38" s="594">
        <f>IF(L38="Løype",Poengsammendrag!$F$2,IF(L38="Arr",Poengsammendrag!$F$3,IF(L38="Brutt",50,IF(L38="Disk",50,ROUND(MAXA(100*(MIN(L$10:L$95)/L38),50),0)))))</f>
        <v>52</v>
      </c>
      <c r="N38" s="724">
        <f t="shared" si="3"/>
        <v>8.725625937463944E-3</v>
      </c>
      <c r="O38" s="596">
        <f>IF(N38="Løype",Poengsammendrag!$F$2,IF(N38="Arr",Poengsammendrag!$F$3,IF(N38="Brutt",50,IF(N38="Disk",50,ROUND(MAXA(100*(MIN(N$10:N$95)/N38),50),0)))))</f>
        <v>51</v>
      </c>
      <c r="S38" s="803" t="s">
        <v>76</v>
      </c>
      <c r="T38" s="736">
        <v>1.4004629629629629E-2</v>
      </c>
      <c r="U38" s="752">
        <v>52</v>
      </c>
      <c r="V38" s="781"/>
      <c r="W38" s="776" t="s">
        <v>350</v>
      </c>
      <c r="X38" s="740">
        <v>60</v>
      </c>
      <c r="AB38" s="828">
        <f t="shared" si="5"/>
        <v>83</v>
      </c>
      <c r="AC38" s="829">
        <f t="shared" si="4"/>
        <v>2</v>
      </c>
    </row>
    <row r="39" spans="2:29" ht="21" customHeight="1" thickBot="1" x14ac:dyDescent="0.3">
      <c r="B39" s="16">
        <f t="shared" si="0"/>
        <v>30</v>
      </c>
      <c r="C39" s="106" t="s">
        <v>159</v>
      </c>
      <c r="D39" s="107" t="s">
        <v>160</v>
      </c>
      <c r="E39" s="599" t="str">
        <f t="shared" si="1"/>
        <v>EigilSørli</v>
      </c>
      <c r="F39" s="192">
        <f>YEAR(I$5)-_xlfn.XLOOKUP(E39,Deltakerliste!E$5:E$98,Deltakerliste!I$5:I$98)</f>
        <v>86</v>
      </c>
      <c r="G39" s="192">
        <f>_xlfn.XLOOKUP(E39,Deltakerliste!E$5:E$98,Deltakerliste!H$5:H$98)</f>
        <v>2</v>
      </c>
      <c r="H39" s="592">
        <f>VLOOKUP(F39,Deltakerliste!P$6:T$84,G39,FALSE)</f>
        <v>2.3089999999999997</v>
      </c>
      <c r="I39" s="132">
        <v>2.5300925925925925E-2</v>
      </c>
      <c r="J39" s="18"/>
      <c r="K39" s="18"/>
      <c r="L39" s="600">
        <f t="shared" si="2"/>
        <v>1.4056069958847735E-2</v>
      </c>
      <c r="M39" s="594">
        <f>IF(L39="Løype",Poengsammendrag!$F$2,IF(L39="Arr",Poengsammendrag!$F$3,IF(L39="Brutt",50,IF(L39="Disk",50,ROUND(MAXA(100*(MIN(L$10:L$95)/L39),50),0)))))</f>
        <v>51</v>
      </c>
      <c r="N39" s="724">
        <f t="shared" si="3"/>
        <v>6.0875140575347491E-3</v>
      </c>
      <c r="O39" s="596">
        <f>IF(N39="Løype",Poengsammendrag!$F$2,IF(N39="Arr",Poengsammendrag!$F$3,IF(N39="Brutt",50,IF(N39="Disk",50,ROUND(MAXA(100*(MIN(N$10:N$95)/N39),50),0)))))</f>
        <v>73</v>
      </c>
      <c r="S39" s="803" t="s">
        <v>357</v>
      </c>
      <c r="T39" s="736">
        <v>1.4056069958847735E-2</v>
      </c>
      <c r="U39" s="752">
        <v>51</v>
      </c>
      <c r="V39" s="781"/>
      <c r="W39" s="776" t="s">
        <v>315</v>
      </c>
      <c r="X39" s="740">
        <v>56</v>
      </c>
      <c r="AB39" s="828">
        <f t="shared" si="5"/>
        <v>84</v>
      </c>
      <c r="AC39" s="829">
        <f t="shared" si="4"/>
        <v>1</v>
      </c>
    </row>
    <row r="40" spans="2:29" ht="21" thickBot="1" x14ac:dyDescent="0.3">
      <c r="B40" s="16">
        <f t="shared" si="0"/>
        <v>31</v>
      </c>
      <c r="C40" s="106" t="s">
        <v>116</v>
      </c>
      <c r="D40" s="107" t="s">
        <v>165</v>
      </c>
      <c r="E40" s="599" t="str">
        <f t="shared" si="1"/>
        <v>AndersWaage</v>
      </c>
      <c r="F40" s="192">
        <f>YEAR(I$5)-_xlfn.XLOOKUP(E40,Deltakerliste!E$5:E$98,Deltakerliste!I$5:I$98)</f>
        <v>78</v>
      </c>
      <c r="G40" s="192">
        <f>_xlfn.XLOOKUP(E40,Deltakerliste!E$5:E$98,Deltakerliste!H$5:H$98)</f>
        <v>2</v>
      </c>
      <c r="H40" s="592">
        <f>VLOOKUP(F40,Deltakerliste!P$6:T$84,G40,FALSE)</f>
        <v>1.7550000000000001</v>
      </c>
      <c r="I40" s="18"/>
      <c r="J40" s="132">
        <v>4.7824074074074074E-2</v>
      </c>
      <c r="K40" s="18"/>
      <c r="L40" s="600">
        <f t="shared" si="2"/>
        <v>1.4945023148148148E-2</v>
      </c>
      <c r="M40" s="594">
        <f>IF(L40="Løype",Poengsammendrag!$F$2,IF(L40="Arr",Poengsammendrag!$F$3,IF(L40="Brutt",50,IF(L40="Disk",50,ROUND(MAXA(100*(MIN(L$10:L$95)/L40),50),0)))))</f>
        <v>50</v>
      </c>
      <c r="N40" s="724">
        <f t="shared" si="3"/>
        <v>8.5156827054975199E-3</v>
      </c>
      <c r="O40" s="596">
        <f>IF(N40="Løype",Poengsammendrag!$F$2,IF(N40="Arr",Poengsammendrag!$F$3,IF(N40="Brutt",50,IF(N40="Disk",50,ROUND(MAXA(100*(MIN(N$10:N$95)/N40),50),0)))))</f>
        <v>52</v>
      </c>
      <c r="S40" s="803" t="s">
        <v>314</v>
      </c>
      <c r="T40" s="736">
        <v>1.4945023148148148E-2</v>
      </c>
      <c r="U40" s="752">
        <v>50</v>
      </c>
      <c r="V40" s="781"/>
      <c r="W40" s="776" t="s">
        <v>110</v>
      </c>
      <c r="X40" s="740">
        <v>55</v>
      </c>
      <c r="AB40" s="828">
        <f t="shared" si="5"/>
        <v>85</v>
      </c>
      <c r="AC40" s="829">
        <f t="shared" si="4"/>
        <v>1</v>
      </c>
    </row>
    <row r="41" spans="2:29" ht="21" thickBot="1" x14ac:dyDescent="0.3">
      <c r="B41" s="16">
        <f t="shared" si="0"/>
        <v>32</v>
      </c>
      <c r="C41" s="106" t="s">
        <v>170</v>
      </c>
      <c r="D41" s="107" t="s">
        <v>171</v>
      </c>
      <c r="E41" s="599" t="str">
        <f t="shared" si="1"/>
        <v>ØisteinÅsmul</v>
      </c>
      <c r="F41" s="192">
        <f>YEAR(I$5)-_xlfn.XLOOKUP(E41,Deltakerliste!E$5:E$98,Deltakerliste!I$5:I$98)</f>
        <v>81</v>
      </c>
      <c r="G41" s="192">
        <f>_xlfn.XLOOKUP(E41,Deltakerliste!E$5:E$98,Deltakerliste!H$5:H$98)</f>
        <v>2</v>
      </c>
      <c r="H41" s="592">
        <f>VLOOKUP(F41,Deltakerliste!P$6:T$84,G41,FALSE)</f>
        <v>1.9290000000000003</v>
      </c>
      <c r="I41" s="132">
        <v>2.8611111111111111E-2</v>
      </c>
      <c r="J41" s="132"/>
      <c r="K41" s="18"/>
      <c r="L41" s="600">
        <f t="shared" si="2"/>
        <v>1.5895061728395062E-2</v>
      </c>
      <c r="M41" s="594">
        <f>IF(L41="Løype",Poengsammendrag!$F$2,IF(L41="Arr",Poengsammendrag!$F$3,IF(L41="Brutt",50,IF(L41="Disk",50,ROUND(MAXA(100*(MIN(L$10:L$95)/L41),50),0)))))</f>
        <v>50</v>
      </c>
      <c r="N41" s="724">
        <f t="shared" si="3"/>
        <v>8.2400527363375112E-3</v>
      </c>
      <c r="O41" s="596">
        <f>IF(N41="Løype",Poengsammendrag!$F$2,IF(N41="Arr",Poengsammendrag!$F$3,IF(N41="Brutt",50,IF(N41="Disk",50,ROUND(MAXA(100*(MIN(N$10:N$95)/N41),50),0)))))</f>
        <v>54</v>
      </c>
      <c r="S41" s="803" t="s">
        <v>347</v>
      </c>
      <c r="T41" s="736">
        <v>1.5895061728395062E-2</v>
      </c>
      <c r="U41" s="752">
        <v>50</v>
      </c>
      <c r="V41" s="781"/>
      <c r="W41" s="776" t="s">
        <v>347</v>
      </c>
      <c r="X41" s="740">
        <v>54</v>
      </c>
      <c r="AB41" s="828">
        <f t="shared" si="5"/>
        <v>86</v>
      </c>
      <c r="AC41" s="829">
        <f t="shared" si="4"/>
        <v>2</v>
      </c>
    </row>
    <row r="42" spans="2:29" ht="21" customHeight="1" thickBot="1" x14ac:dyDescent="0.3">
      <c r="B42" s="16">
        <f t="shared" si="0"/>
        <v>33</v>
      </c>
      <c r="C42" s="106" t="s">
        <v>161</v>
      </c>
      <c r="D42" s="107" t="s">
        <v>162</v>
      </c>
      <c r="E42" s="599" t="str">
        <f t="shared" ref="E42:E73" si="6">_xlfn.CONCAT(C42:D42)</f>
        <v>Nils OlavVennevik</v>
      </c>
      <c r="F42" s="192">
        <f>YEAR(I$5)-_xlfn.XLOOKUP(E42,Deltakerliste!E$5:E$98,Deltakerliste!I$5:I$98)</f>
        <v>78</v>
      </c>
      <c r="G42" s="192">
        <f>_xlfn.XLOOKUP(E42,Deltakerliste!E$5:E$98,Deltakerliste!H$5:H$98)</f>
        <v>2</v>
      </c>
      <c r="H42" s="592">
        <f>VLOOKUP(F42,Deltakerliste!P$6:T$84,G42,FALSE)</f>
        <v>1.7550000000000001</v>
      </c>
      <c r="I42" s="132">
        <v>2.9085648148148149E-2</v>
      </c>
      <c r="J42" s="18"/>
      <c r="K42" s="18"/>
      <c r="L42" s="600">
        <f t="shared" si="2"/>
        <v>1.6158693415637859E-2</v>
      </c>
      <c r="M42" s="594">
        <f>IF(L42="Løype",Poengsammendrag!$F$2,IF(L42="Arr",Poengsammendrag!$F$3,IF(L42="Brutt",50,IF(L42="Disk",50,ROUND(MAXA(100*(MIN(L$10:L$95)/L42),50),0)))))</f>
        <v>50</v>
      </c>
      <c r="N42" s="724">
        <f t="shared" si="3"/>
        <v>9.2072327154631671E-3</v>
      </c>
      <c r="O42" s="596">
        <f>IF(N42="Løype",Poengsammendrag!$F$2,IF(N42="Arr",Poengsammendrag!$F$3,IF(N42="Brutt",50,IF(N42="Disk",50,ROUND(MAXA(100*(MIN(N$10:N$95)/N42),50),0)))))</f>
        <v>50</v>
      </c>
      <c r="S42" s="803" t="s">
        <v>161</v>
      </c>
      <c r="T42" s="796">
        <v>1.6158693415637859E-2</v>
      </c>
      <c r="U42" s="765">
        <v>50</v>
      </c>
      <c r="V42" s="782"/>
      <c r="W42" s="777" t="s">
        <v>314</v>
      </c>
      <c r="X42" s="762">
        <v>52</v>
      </c>
      <c r="AB42" s="828">
        <f t="shared" si="5"/>
        <v>87</v>
      </c>
      <c r="AC42" s="829">
        <f t="shared" si="4"/>
        <v>2</v>
      </c>
    </row>
    <row r="43" spans="2:29" ht="21" thickBot="1" x14ac:dyDescent="0.3">
      <c r="B43" s="16">
        <f t="shared" si="0"/>
        <v>34</v>
      </c>
      <c r="C43" s="106" t="s">
        <v>96</v>
      </c>
      <c r="D43" s="107" t="s">
        <v>97</v>
      </c>
      <c r="E43" s="599" t="str">
        <f t="shared" si="6"/>
        <v>StigHaugskott</v>
      </c>
      <c r="F43" s="192">
        <f>YEAR(I$5)-_xlfn.XLOOKUP(E43,Deltakerliste!E$5:E$98,Deltakerliste!I$5:I$98)</f>
        <v>87</v>
      </c>
      <c r="G43" s="192">
        <f>_xlfn.XLOOKUP(E43,Deltakerliste!E$5:E$98,Deltakerliste!H$5:H$98)</f>
        <v>2</v>
      </c>
      <c r="H43" s="592">
        <f>VLOOKUP(F43,Deltakerliste!P$6:T$84,G43,FALSE)</f>
        <v>2.3929999999999998</v>
      </c>
      <c r="I43" s="86">
        <v>2.9664351851851851E-2</v>
      </c>
      <c r="J43" s="86"/>
      <c r="K43" s="86"/>
      <c r="L43" s="600">
        <f t="shared" si="2"/>
        <v>1.6480195473251028E-2</v>
      </c>
      <c r="M43" s="594">
        <f>IF(L43="Løype",Poengsammendrag!$F$2,IF(L43="Arr",Poengsammendrag!$F$3,IF(L43="Brutt",50,IF(L43="Disk",50,ROUND(MAXA(100*(MIN(L$10:L$95)/L43),50),0)))))</f>
        <v>50</v>
      </c>
      <c r="N43" s="724">
        <f t="shared" si="3"/>
        <v>6.8868347151069906E-3</v>
      </c>
      <c r="O43" s="596">
        <f>IF(N43="Løype",Poengsammendrag!$F$2,IF(N43="Arr",Poengsammendrag!$F$3,IF(N43="Brutt",50,IF(N43="Disk",50,ROUND(MAXA(100*(MIN(N$10:N$95)/N43),50),0)))))</f>
        <v>65</v>
      </c>
      <c r="S43" s="803" t="s">
        <v>96</v>
      </c>
      <c r="T43" s="797">
        <v>1.6480195473251028E-2</v>
      </c>
      <c r="U43" s="770">
        <v>50</v>
      </c>
      <c r="V43" s="778"/>
      <c r="W43" s="783" t="s">
        <v>76</v>
      </c>
      <c r="X43" s="740">
        <v>51</v>
      </c>
      <c r="AB43" s="828">
        <f t="shared" si="5"/>
        <v>88</v>
      </c>
      <c r="AC43" s="829">
        <f t="shared" si="4"/>
        <v>0</v>
      </c>
    </row>
    <row r="44" spans="2:29" ht="21" customHeight="1" thickBot="1" x14ac:dyDescent="0.3">
      <c r="B44" s="16">
        <f t="shared" si="0"/>
        <v>35</v>
      </c>
      <c r="C44" s="106" t="s">
        <v>263</v>
      </c>
      <c r="D44" s="107" t="s">
        <v>264</v>
      </c>
      <c r="E44" s="599" t="str">
        <f t="shared" si="6"/>
        <v>RuneHolt</v>
      </c>
      <c r="F44" s="192">
        <f>YEAR(I$5)-_xlfn.XLOOKUP(E44,Deltakerliste!E$5:E$98,Deltakerliste!I$5:I$98)</f>
        <v>73</v>
      </c>
      <c r="G44" s="192">
        <f>_xlfn.XLOOKUP(E44,Deltakerliste!E$5:E$98,Deltakerliste!H$5:H$98)</f>
        <v>2</v>
      </c>
      <c r="H44" s="592">
        <f>VLOOKUP(F44,Deltakerliste!P$6:T$84,G44,FALSE)</f>
        <v>1.5329999999999999</v>
      </c>
      <c r="I44" s="86">
        <v>2.9733796296296296E-2</v>
      </c>
      <c r="J44" s="134"/>
      <c r="K44" s="17"/>
      <c r="L44" s="600">
        <f t="shared" si="2"/>
        <v>1.6518775720164608E-2</v>
      </c>
      <c r="M44" s="594">
        <f>IF(L44="Løype",Poengsammendrag!$F$2,IF(L44="Arr",Poengsammendrag!$F$3,IF(L44="Brutt",50,IF(L44="Disk",50,ROUND(MAXA(100*(MIN(L$10:L$95)/L44),50),0)))))</f>
        <v>50</v>
      </c>
      <c r="N44" s="724">
        <f t="shared" si="3"/>
        <v>1.0775457090779261E-2</v>
      </c>
      <c r="O44" s="596">
        <f>IF(N44="Løype",Poengsammendrag!$F$2,IF(N44="Arr",Poengsammendrag!$F$3,IF(N44="Brutt",50,IF(N44="Disk",50,ROUND(MAXA(100*(MIN(N$10:N$95)/N44),50),0)))))</f>
        <v>50</v>
      </c>
      <c r="S44" s="803" t="s">
        <v>263</v>
      </c>
      <c r="T44" s="797">
        <v>1.6518775720164608E-2</v>
      </c>
      <c r="U44" s="770">
        <v>50</v>
      </c>
      <c r="V44" s="772"/>
      <c r="W44" s="783" t="s">
        <v>108</v>
      </c>
      <c r="X44" s="740">
        <v>50</v>
      </c>
      <c r="AB44" s="828">
        <f t="shared" si="5"/>
        <v>89</v>
      </c>
      <c r="AC44" s="829">
        <f t="shared" si="4"/>
        <v>0</v>
      </c>
    </row>
    <row r="45" spans="2:29" ht="21" thickBot="1" x14ac:dyDescent="0.3">
      <c r="B45" s="16">
        <f t="shared" si="0"/>
        <v>36</v>
      </c>
      <c r="C45" s="106" t="s">
        <v>116</v>
      </c>
      <c r="D45" s="107" t="s">
        <v>117</v>
      </c>
      <c r="E45" s="599" t="str">
        <f t="shared" si="6"/>
        <v>AndersLauglo</v>
      </c>
      <c r="F45" s="192">
        <f>YEAR(I$5)-_xlfn.XLOOKUP(E45,Deltakerliste!E$5:E$98,Deltakerliste!I$5:I$98)</f>
        <v>87</v>
      </c>
      <c r="G45" s="192">
        <f>_xlfn.XLOOKUP(E45,Deltakerliste!E$5:E$98,Deltakerliste!H$5:H$98)</f>
        <v>2</v>
      </c>
      <c r="H45" s="592">
        <f>VLOOKUP(F45,Deltakerliste!P$6:T$84,G45,FALSE)</f>
        <v>2.3929999999999998</v>
      </c>
      <c r="I45" s="13">
        <v>3.4108796296296297E-2</v>
      </c>
      <c r="J45" s="13"/>
      <c r="K45" s="86"/>
      <c r="L45" s="600">
        <f t="shared" si="2"/>
        <v>1.8949331275720165E-2</v>
      </c>
      <c r="M45" s="594">
        <f>IF(L45="Løype",Poengsammendrag!$F$2,IF(L45="Arr",Poengsammendrag!$F$3,IF(L45="Brutt",50,IF(L45="Disk",50,ROUND(MAXA(100*(MIN(L$10:L$95)/L45),50),0)))))</f>
        <v>50</v>
      </c>
      <c r="N45" s="724">
        <f t="shared" si="3"/>
        <v>7.9186507629419832E-3</v>
      </c>
      <c r="O45" s="596">
        <f>IF(N45="Løype",Poengsammendrag!$F$2,IF(N45="Arr",Poengsammendrag!$F$3,IF(N45="Brutt",50,IF(N45="Disk",50,ROUND(MAXA(100*(MIN(N$10:N$95)/N45),50),0)))))</f>
        <v>56</v>
      </c>
      <c r="S45" s="803" t="s">
        <v>315</v>
      </c>
      <c r="T45" s="797">
        <v>1.8949331275720165E-2</v>
      </c>
      <c r="U45" s="770">
        <v>50</v>
      </c>
      <c r="V45" s="772"/>
      <c r="W45" s="783" t="s">
        <v>161</v>
      </c>
      <c r="X45" s="740">
        <v>50</v>
      </c>
      <c r="AB45" s="828">
        <f t="shared" si="5"/>
        <v>90</v>
      </c>
      <c r="AC45" s="829">
        <f t="shared" si="4"/>
        <v>0</v>
      </c>
    </row>
    <row r="46" spans="2:29" ht="21" thickBot="1" x14ac:dyDescent="0.3">
      <c r="B46" s="16">
        <f t="shared" si="0"/>
        <v>37</v>
      </c>
      <c r="C46" s="106" t="s">
        <v>108</v>
      </c>
      <c r="D46" s="107" t="s">
        <v>109</v>
      </c>
      <c r="E46" s="599" t="str">
        <f t="shared" si="6"/>
        <v>Finn FayeKnudsen</v>
      </c>
      <c r="F46" s="192">
        <f>YEAR(I$5)-_xlfn.XLOOKUP(E46,Deltakerliste!E$5:E$98,Deltakerliste!I$5:I$98)</f>
        <v>84</v>
      </c>
      <c r="G46" s="192">
        <f>_xlfn.XLOOKUP(E46,Deltakerliste!E$5:E$98,Deltakerliste!H$5:H$98)</f>
        <v>2</v>
      </c>
      <c r="H46" s="592">
        <f>VLOOKUP(F46,Deltakerliste!P$6:T$84,G46,FALSE)</f>
        <v>2.1509999999999998</v>
      </c>
      <c r="I46" s="86">
        <v>3.4791666666666665E-2</v>
      </c>
      <c r="J46" s="853"/>
      <c r="K46" s="13"/>
      <c r="L46" s="600">
        <f t="shared" si="2"/>
        <v>1.9328703703703702E-2</v>
      </c>
      <c r="M46" s="594">
        <f>IF(L46="Løype",Poengsammendrag!$F$2,IF(L46="Arr",Poengsammendrag!$F$3,IF(L46="Brutt",50,IF(L46="Disk",50,ROUND(MAXA(100*(MIN(L$10:L$95)/L46),50),0)))))</f>
        <v>50</v>
      </c>
      <c r="N46" s="724">
        <f t="shared" si="3"/>
        <v>8.9859152504433767E-3</v>
      </c>
      <c r="O46" s="596">
        <f>IF(N46="Løype",Poengsammendrag!$F$2,IF(N46="Arr",Poengsammendrag!$F$3,IF(N46="Brutt",50,IF(N46="Disk",50,ROUND(MAXA(100*(MIN(N$10:N$95)/N46),50),0)))))</f>
        <v>50</v>
      </c>
      <c r="S46" s="803" t="s">
        <v>108</v>
      </c>
      <c r="T46" s="797">
        <v>1.9328703703703702E-2</v>
      </c>
      <c r="U46" s="770">
        <v>50</v>
      </c>
      <c r="V46" s="772"/>
      <c r="W46" s="783" t="s">
        <v>411</v>
      </c>
      <c r="X46" s="740">
        <v>50</v>
      </c>
      <c r="AB46" s="828">
        <f t="shared" si="5"/>
        <v>91</v>
      </c>
      <c r="AC46" s="829">
        <f t="shared" si="4"/>
        <v>0</v>
      </c>
    </row>
    <row r="47" spans="2:29" ht="21" customHeight="1" thickBot="1" x14ac:dyDescent="0.3">
      <c r="B47" s="16">
        <f t="shared" si="0"/>
        <v>38</v>
      </c>
      <c r="C47" s="106" t="s">
        <v>248</v>
      </c>
      <c r="D47" s="107" t="s">
        <v>249</v>
      </c>
      <c r="E47" s="599" t="str">
        <f t="shared" si="6"/>
        <v>ErikLund</v>
      </c>
      <c r="F47" s="192">
        <f>YEAR(I$5)-_xlfn.XLOOKUP(E47,Deltakerliste!E$5:E$98,Deltakerliste!I$5:I$98)</f>
        <v>79</v>
      </c>
      <c r="G47" s="192">
        <f>_xlfn.XLOOKUP(E47,Deltakerliste!E$5:E$98,Deltakerliste!H$5:H$98)</f>
        <v>2</v>
      </c>
      <c r="H47" s="592">
        <f>VLOOKUP(F47,Deltakerliste!P$6:T$84,G47,FALSE)</f>
        <v>1.8050000000000002</v>
      </c>
      <c r="I47" s="13">
        <v>3.5474537037037034E-2</v>
      </c>
      <c r="J47" s="13"/>
      <c r="K47" s="17"/>
      <c r="L47" s="600">
        <f t="shared" si="2"/>
        <v>1.9708076131687239E-2</v>
      </c>
      <c r="M47" s="594">
        <f>IF(L47="Løype",Poengsammendrag!$F$2,IF(L47="Arr",Poengsammendrag!$F$3,IF(L47="Brutt",50,IF(L47="Disk",50,ROUND(MAXA(100*(MIN(L$10:L$95)/L47),50),0)))))</f>
        <v>50</v>
      </c>
      <c r="N47" s="724">
        <f t="shared" si="3"/>
        <v>1.0918601735006779E-2</v>
      </c>
      <c r="O47" s="596">
        <f>IF(N47="Løype",Poengsammendrag!$F$2,IF(N47="Arr",Poengsammendrag!$F$3,IF(N47="Brutt",50,IF(N47="Disk",50,ROUND(MAXA(100*(MIN(N$10:N$95)/N47),50),0)))))</f>
        <v>50</v>
      </c>
      <c r="S47" s="803" t="s">
        <v>248</v>
      </c>
      <c r="T47" s="797">
        <v>1.9708076131687239E-2</v>
      </c>
      <c r="U47" s="770">
        <v>50</v>
      </c>
      <c r="V47" s="772"/>
      <c r="W47" s="783" t="s">
        <v>263</v>
      </c>
      <c r="X47" s="740">
        <v>50</v>
      </c>
      <c r="AB47" s="828">
        <f t="shared" si="5"/>
        <v>92</v>
      </c>
      <c r="AC47" s="829">
        <f t="shared" si="4"/>
        <v>0</v>
      </c>
    </row>
    <row r="48" spans="2:29" ht="21" customHeight="1" thickBot="1" x14ac:dyDescent="0.3">
      <c r="B48" s="16">
        <f t="shared" si="0"/>
        <v>39</v>
      </c>
      <c r="C48" s="106" t="s">
        <v>130</v>
      </c>
      <c r="D48" s="107" t="s">
        <v>131</v>
      </c>
      <c r="E48" s="599" t="str">
        <f t="shared" si="6"/>
        <v>AtleMørk</v>
      </c>
      <c r="F48" s="192">
        <f>YEAR(I$5)-_xlfn.XLOOKUP(E48,Deltakerliste!E$5:E$98,Deltakerliste!I$5:I$98)</f>
        <v>77</v>
      </c>
      <c r="G48" s="192">
        <f>_xlfn.XLOOKUP(E48,Deltakerliste!E$5:E$98,Deltakerliste!H$5:H$98)</f>
        <v>2</v>
      </c>
      <c r="H48" s="592">
        <f>VLOOKUP(F48,Deltakerliste!P$6:T$84,G48,FALSE)</f>
        <v>1.7050000000000001</v>
      </c>
      <c r="I48" s="132">
        <v>3.6782407407407409E-2</v>
      </c>
      <c r="J48" s="132"/>
      <c r="K48" s="132"/>
      <c r="L48" s="600">
        <f t="shared" si="2"/>
        <v>2.0434670781893004E-2</v>
      </c>
      <c r="M48" s="594">
        <f>IF(L48="Løype",Poengsammendrag!$F$2,IF(L48="Arr",Poengsammendrag!$F$3,IF(L48="Brutt",50,IF(L48="Disk",50,ROUND(MAXA(100*(MIN(L$10:L$95)/L48),50),0)))))</f>
        <v>50</v>
      </c>
      <c r="N48" s="724">
        <f t="shared" si="3"/>
        <v>1.1985144153602934E-2</v>
      </c>
      <c r="O48" s="596">
        <f>IF(N48="Løype",Poengsammendrag!$F$2,IF(N48="Arr",Poengsammendrag!$F$3,IF(N48="Brutt",50,IF(N48="Disk",50,ROUND(MAXA(100*(MIN(N$10:N$95)/N48),50),0)))))</f>
        <v>50</v>
      </c>
      <c r="S48" s="803" t="s">
        <v>130</v>
      </c>
      <c r="T48" s="797">
        <v>2.0434670781893004E-2</v>
      </c>
      <c r="U48" s="770">
        <v>50</v>
      </c>
      <c r="V48" s="772"/>
      <c r="W48" s="783" t="s">
        <v>248</v>
      </c>
      <c r="X48" s="740">
        <v>50</v>
      </c>
      <c r="AB48" s="828">
        <f t="shared" si="5"/>
        <v>93</v>
      </c>
      <c r="AC48" s="829">
        <f t="shared" si="4"/>
        <v>0</v>
      </c>
    </row>
    <row r="49" spans="2:29" ht="21" customHeight="1" thickBot="1" x14ac:dyDescent="0.3">
      <c r="B49" s="16">
        <f t="shared" si="0"/>
        <v>40</v>
      </c>
      <c r="C49" s="106" t="s">
        <v>60</v>
      </c>
      <c r="D49" s="107" t="s">
        <v>372</v>
      </c>
      <c r="E49" s="599" t="str">
        <f t="shared" si="6"/>
        <v>JosteinGrepstad</v>
      </c>
      <c r="F49" s="192">
        <f>YEAR(I$5)-_xlfn.XLOOKUP(E49,Deltakerliste!E$5:E$98,Deltakerliste!I$5:I$98)</f>
        <v>75</v>
      </c>
      <c r="G49" s="192">
        <f>_xlfn.XLOOKUP(E49,Deltakerliste!E$5:E$98,Deltakerliste!H$5:H$98)</f>
        <v>2</v>
      </c>
      <c r="H49" s="592">
        <f>VLOOKUP(F49,Deltakerliste!P$6:T$84,G49,FALSE)</f>
        <v>1.605</v>
      </c>
      <c r="I49" s="14">
        <v>3.815972222222222E-2</v>
      </c>
      <c r="J49" s="14"/>
      <c r="K49" s="18"/>
      <c r="L49" s="600">
        <f t="shared" si="2"/>
        <v>2.1199845679012345E-2</v>
      </c>
      <c r="M49" s="594">
        <f>IF(L49="Løype",Poengsammendrag!$F$2,IF(L49="Arr",Poengsammendrag!$F$3,IF(L49="Brutt",50,IF(L49="Disk",50,ROUND(MAXA(100*(MIN(L$10:L$95)/L49),50),0)))))</f>
        <v>50</v>
      </c>
      <c r="N49" s="724">
        <f t="shared" si="3"/>
        <v>1.3208626591284951E-2</v>
      </c>
      <c r="O49" s="596">
        <f>IF(N49="Løype",Poengsammendrag!$F$2,IF(N49="Arr",Poengsammendrag!$F$3,IF(N49="Brutt",50,IF(N49="Disk",50,ROUND(MAXA(100*(MIN(N$10:N$95)/N49),50),0)))))</f>
        <v>50</v>
      </c>
      <c r="S49" s="803" t="s">
        <v>60</v>
      </c>
      <c r="T49" s="796">
        <v>2.1199845679012345E-2</v>
      </c>
      <c r="U49" s="793">
        <v>50</v>
      </c>
      <c r="V49" s="794"/>
      <c r="W49" s="795" t="s">
        <v>130</v>
      </c>
      <c r="X49" s="762">
        <v>50</v>
      </c>
      <c r="AB49" s="828">
        <f t="shared" si="5"/>
        <v>94</v>
      </c>
      <c r="AC49" s="829">
        <f t="shared" si="4"/>
        <v>0</v>
      </c>
    </row>
    <row r="50" spans="2:29" ht="21" thickBot="1" x14ac:dyDescent="0.3">
      <c r="B50" s="16">
        <f t="shared" si="0"/>
        <v>41</v>
      </c>
      <c r="C50" s="106" t="s">
        <v>411</v>
      </c>
      <c r="D50" s="107" t="s">
        <v>412</v>
      </c>
      <c r="E50" s="599" t="str">
        <f t="shared" si="6"/>
        <v>HenrySundsetvik</v>
      </c>
      <c r="F50" s="192">
        <f>YEAR(I$5)-_xlfn.XLOOKUP(E50,Deltakerliste!E$5:E$98,Deltakerliste!I$5:I$98)</f>
        <v>86</v>
      </c>
      <c r="G50" s="192">
        <f>_xlfn.XLOOKUP(E50,Deltakerliste!E$5:E$98,Deltakerliste!H$5:H$98)</f>
        <v>2</v>
      </c>
      <c r="H50" s="592">
        <f>VLOOKUP(F50,Deltakerliste!P$6:T$84,G50,FALSE)</f>
        <v>2.3089999999999997</v>
      </c>
      <c r="I50" s="132">
        <v>4.1377314814814818E-2</v>
      </c>
      <c r="J50" s="132"/>
      <c r="K50" s="18"/>
      <c r="L50" s="600">
        <f t="shared" si="2"/>
        <v>2.2987397119341564E-2</v>
      </c>
      <c r="M50" s="594">
        <f>IF(L50="Løype",Poengsammendrag!$F$2,IF(L50="Arr",Poengsammendrag!$F$3,IF(L50="Brutt",50,IF(L50="Disk",50,ROUND(MAXA(100*(MIN(L$10:L$95)/L50),50),0)))))</f>
        <v>50</v>
      </c>
      <c r="N50" s="724">
        <f t="shared" si="3"/>
        <v>9.9555639321531261E-3</v>
      </c>
      <c r="O50" s="596">
        <f>IF(N50="Løype",Poengsammendrag!$F$2,IF(N50="Arr",Poengsammendrag!$F$3,IF(N50="Brutt",50,IF(N50="Disk",50,ROUND(MAXA(100*(MIN(N$10:N$95)/N50),50),0)))))</f>
        <v>50</v>
      </c>
      <c r="S50" s="803" t="s">
        <v>411</v>
      </c>
      <c r="T50" s="851">
        <v>2.2987397119341564E-2</v>
      </c>
      <c r="U50" s="770">
        <v>50</v>
      </c>
      <c r="V50" s="772"/>
      <c r="W50" s="783" t="s">
        <v>60</v>
      </c>
      <c r="X50" s="740">
        <v>50</v>
      </c>
      <c r="AB50" s="830">
        <f t="shared" si="5"/>
        <v>95</v>
      </c>
      <c r="AC50" s="831">
        <f t="shared" si="4"/>
        <v>0</v>
      </c>
    </row>
    <row r="51" spans="2:29" ht="21" customHeight="1" thickBot="1" x14ac:dyDescent="0.3">
      <c r="B51" s="16">
        <f t="shared" si="0"/>
        <v>42</v>
      </c>
      <c r="C51" s="106" t="s">
        <v>94</v>
      </c>
      <c r="D51" s="107" t="s">
        <v>95</v>
      </c>
      <c r="E51" s="599" t="str">
        <f t="shared" si="6"/>
        <v>TerjeHanssen</v>
      </c>
      <c r="F51" s="192">
        <f>YEAR(I$5)-_xlfn.XLOOKUP(E51,Deltakerliste!E$5:E$98,Deltakerliste!I$5:I$98)</f>
        <v>78</v>
      </c>
      <c r="G51" s="192">
        <f>_xlfn.XLOOKUP(E51,Deltakerliste!E$5:E$98,Deltakerliste!H$5:H$98)</f>
        <v>2</v>
      </c>
      <c r="H51" s="592">
        <f>VLOOKUP(F51,Deltakerliste!P$6:T$84,G51,FALSE)</f>
        <v>1.7550000000000001</v>
      </c>
      <c r="I51" s="86"/>
      <c r="J51" s="86" t="s">
        <v>7</v>
      </c>
      <c r="K51" s="17"/>
      <c r="L51" s="600" t="str">
        <f t="shared" si="2"/>
        <v>Arr</v>
      </c>
      <c r="M51" s="594">
        <f>IF(L51="Løype",Poengsammendrag!$F$2,IF(L51="Arr",Poengsammendrag!$F$3,IF(L51="Brutt",50,IF(L51="Disk",50,ROUND(MAXA(100*(MIN(L$10:L$95)/L51),50),0)))))</f>
        <v>94</v>
      </c>
      <c r="N51" s="724" t="str">
        <f t="shared" si="3"/>
        <v>Arr</v>
      </c>
      <c r="O51" s="596">
        <f>IF(N51="Løype",Poengsammendrag!$F$2,IF(N51="Arr",Poengsammendrag!$F$3,IF(N51="Brutt",50,IF(N51="Disk",50,ROUND(MAXA(100*(MIN(N$10:N$95)/N51),50),0)))))</f>
        <v>94</v>
      </c>
      <c r="S51" s="803" t="s">
        <v>82</v>
      </c>
      <c r="T51" s="797" t="s">
        <v>306</v>
      </c>
      <c r="U51" s="770">
        <v>50</v>
      </c>
      <c r="V51" s="772"/>
      <c r="W51" s="783" t="s">
        <v>94</v>
      </c>
      <c r="X51" s="740">
        <v>94</v>
      </c>
    </row>
    <row r="52" spans="2:29" ht="21" thickBot="1" x14ac:dyDescent="0.3">
      <c r="B52" s="16">
        <f t="shared" si="0"/>
        <v>43</v>
      </c>
      <c r="C52" s="106" t="s">
        <v>82</v>
      </c>
      <c r="D52" s="107" t="s">
        <v>83</v>
      </c>
      <c r="E52" s="599" t="str">
        <f t="shared" si="6"/>
        <v>RoarForbord</v>
      </c>
      <c r="F52" s="192">
        <f>YEAR(I$5)-_xlfn.XLOOKUP(E52,Deltakerliste!E$5:E$98,Deltakerliste!I$5:I$98)</f>
        <v>83</v>
      </c>
      <c r="G52" s="192">
        <f>_xlfn.XLOOKUP(E52,Deltakerliste!E$5:E$98,Deltakerliste!H$5:H$98)</f>
        <v>2</v>
      </c>
      <c r="H52" s="592">
        <f>VLOOKUP(F52,Deltakerliste!P$6:T$84,G52,FALSE)</f>
        <v>2.077</v>
      </c>
      <c r="I52" s="86" t="s">
        <v>306</v>
      </c>
      <c r="J52" s="86"/>
      <c r="K52" s="13"/>
      <c r="L52" s="600" t="str">
        <f t="shared" si="2"/>
        <v>Brutt</v>
      </c>
      <c r="M52" s="594">
        <f>IF(L52="Løype",Poengsammendrag!$F$2,IF(L52="Arr",Poengsammendrag!$F$3,IF(L52="Brutt",50,IF(L52="Disk",50,ROUND(MAXA(100*(MIN(L$10:L$95)/L52),50),0)))))</f>
        <v>50</v>
      </c>
      <c r="N52" s="724" t="str">
        <f t="shared" si="3"/>
        <v>Brutt</v>
      </c>
      <c r="O52" s="596">
        <f>IF(N52="Løype",Poengsammendrag!$F$2,IF(N52="Arr",Poengsammendrag!$F$3,IF(N52="Brutt",50,IF(N52="Disk",50,ROUND(MAXA(100*(MIN(N$10:N$95)/N52),50),0)))))</f>
        <v>50</v>
      </c>
      <c r="S52" s="803" t="s">
        <v>94</v>
      </c>
      <c r="T52" s="797" t="s">
        <v>7</v>
      </c>
      <c r="U52" s="770">
        <v>94</v>
      </c>
      <c r="V52" s="772"/>
      <c r="W52" s="783" t="s">
        <v>82</v>
      </c>
      <c r="X52" s="740">
        <v>50</v>
      </c>
      <c r="AC52" s="651">
        <f>SUM(AC10:AC50)</f>
        <v>48</v>
      </c>
    </row>
    <row r="53" spans="2:29" ht="21" thickBot="1" x14ac:dyDescent="0.3">
      <c r="B53" s="16">
        <f t="shared" si="0"/>
        <v>44</v>
      </c>
      <c r="C53" s="106" t="s">
        <v>265</v>
      </c>
      <c r="D53" s="107" t="s">
        <v>266</v>
      </c>
      <c r="E53" s="599" t="str">
        <f t="shared" si="6"/>
        <v>ØysteinWiggen</v>
      </c>
      <c r="F53" s="192">
        <f>YEAR(I$5)-_xlfn.XLOOKUP(E53,Deltakerliste!E$5:E$98,Deltakerliste!I$5:I$98)</f>
        <v>60</v>
      </c>
      <c r="G53" s="192">
        <f>_xlfn.XLOOKUP(E53,Deltakerliste!E$5:E$98,Deltakerliste!H$5:H$98)</f>
        <v>2</v>
      </c>
      <c r="H53" s="592">
        <f>VLOOKUP(F53,Deltakerliste!P$6:T$84,G53,FALSE)</f>
        <v>1.2000000000000002</v>
      </c>
      <c r="I53" s="134"/>
      <c r="J53" s="132" t="s">
        <v>319</v>
      </c>
      <c r="K53" s="18"/>
      <c r="L53" s="600" t="str">
        <f t="shared" si="2"/>
        <v>Disk</v>
      </c>
      <c r="M53" s="594">
        <f>IF(L53="Løype",Poengsammendrag!$F$2,IF(L53="Arr",Poengsammendrag!$F$3,IF(L53="Brutt",50,IF(L53="Disk",50,ROUND(MAXA(100*(MIN(L$10:L$95)/L53),50),0)))))</f>
        <v>50</v>
      </c>
      <c r="N53" s="724" t="str">
        <f t="shared" si="3"/>
        <v>Disk</v>
      </c>
      <c r="O53" s="596">
        <f>IF(N53="Løype",Poengsammendrag!$F$2,IF(N53="Arr",Poengsammendrag!$F$3,IF(N53="Brutt",50,IF(N53="Disk",50,ROUND(MAXA(100*(MIN(N$10:N$95)/N53),50),0)))))</f>
        <v>50</v>
      </c>
      <c r="S53" s="803" t="s">
        <v>368</v>
      </c>
      <c r="T53" s="797" t="s">
        <v>319</v>
      </c>
      <c r="U53" s="770">
        <v>50</v>
      </c>
      <c r="V53" s="772"/>
      <c r="W53" s="783" t="s">
        <v>368</v>
      </c>
      <c r="X53" s="740">
        <v>50</v>
      </c>
    </row>
    <row r="54" spans="2:29" ht="21" thickBot="1" x14ac:dyDescent="0.3">
      <c r="B54" s="16">
        <f t="shared" si="0"/>
        <v>45</v>
      </c>
      <c r="C54" s="106" t="s">
        <v>299</v>
      </c>
      <c r="D54" s="107" t="s">
        <v>300</v>
      </c>
      <c r="E54" s="599" t="str">
        <f t="shared" si="6"/>
        <v>OlavKvittem</v>
      </c>
      <c r="F54" s="192">
        <f>YEAR(I$5)-_xlfn.XLOOKUP(E54,Deltakerliste!E$5:E$98,Deltakerliste!I$5:I$98)</f>
        <v>71</v>
      </c>
      <c r="G54" s="192">
        <f>_xlfn.XLOOKUP(E54,Deltakerliste!E$5:E$98,Deltakerliste!H$5:H$98)</f>
        <v>2</v>
      </c>
      <c r="H54" s="592">
        <f>VLOOKUP(F54,Deltakerliste!P$6:T$84,G54,FALSE)</f>
        <v>1.4609999999999999</v>
      </c>
      <c r="I54" s="86"/>
      <c r="J54" s="86" t="s">
        <v>319</v>
      </c>
      <c r="K54" s="13"/>
      <c r="L54" s="600" t="str">
        <f t="shared" si="2"/>
        <v>Disk</v>
      </c>
      <c r="M54" s="594">
        <f>IF(L54="Løype",Poengsammendrag!$F$2,IF(L54="Arr",Poengsammendrag!$F$3,IF(L54="Brutt",50,IF(L54="Disk",50,ROUND(MAXA(100*(MIN(L$10:L$95)/L54),50),0)))))</f>
        <v>50</v>
      </c>
      <c r="N54" s="724" t="str">
        <f t="shared" si="3"/>
        <v>Disk</v>
      </c>
      <c r="O54" s="596">
        <f>IF(N54="Løype",Poengsammendrag!$F$2,IF(N54="Arr",Poengsammendrag!$F$3,IF(N54="Brutt",50,IF(N54="Disk",50,ROUND(MAXA(100*(MIN(N$10:N$95)/N54),50),0)))))</f>
        <v>50</v>
      </c>
      <c r="S54" s="846" t="s">
        <v>299</v>
      </c>
      <c r="T54" s="847" t="s">
        <v>319</v>
      </c>
      <c r="U54" s="848">
        <v>50</v>
      </c>
      <c r="V54" s="778"/>
      <c r="W54" s="849" t="s">
        <v>299</v>
      </c>
      <c r="X54" s="850">
        <v>50</v>
      </c>
    </row>
    <row r="55" spans="2:29" ht="21" customHeight="1" thickBot="1" x14ac:dyDescent="0.3">
      <c r="B55" s="16">
        <f t="shared" si="0"/>
        <v>46</v>
      </c>
      <c r="C55" s="106" t="s">
        <v>78</v>
      </c>
      <c r="D55" s="107" t="s">
        <v>146</v>
      </c>
      <c r="E55" s="599" t="str">
        <f t="shared" si="6"/>
        <v>LeifRøhjell</v>
      </c>
      <c r="F55" s="192">
        <f>YEAR(I$5)-_xlfn.XLOOKUP(E55,Deltakerliste!E$5:E$98,Deltakerliste!I$5:I$98)</f>
        <v>82</v>
      </c>
      <c r="G55" s="192">
        <f>_xlfn.XLOOKUP(E55,Deltakerliste!E$5:E$98,Deltakerliste!H$5:H$98)</f>
        <v>2</v>
      </c>
      <c r="H55" s="592">
        <f>VLOOKUP(F55,Deltakerliste!P$6:T$84,G55,FALSE)</f>
        <v>2.0030000000000001</v>
      </c>
      <c r="I55" s="132" t="s">
        <v>319</v>
      </c>
      <c r="J55" s="18"/>
      <c r="K55" s="18"/>
      <c r="L55" s="600" t="str">
        <f t="shared" si="2"/>
        <v>Disk</v>
      </c>
      <c r="M55" s="594">
        <f>IF(L55="Løype",Poengsammendrag!$F$2,IF(L55="Arr",Poengsammendrag!$F$3,IF(L55="Brutt",50,IF(L55="Disk",50,ROUND(MAXA(100*(MIN(L$10:L$95)/L55),50),0)))))</f>
        <v>50</v>
      </c>
      <c r="N55" s="724" t="str">
        <f t="shared" si="3"/>
        <v>Disk</v>
      </c>
      <c r="O55" s="596">
        <f>IF(N55="Løype",Poengsammendrag!$F$2,IF(N55="Arr",Poengsammendrag!$F$3,IF(N55="Brutt",50,IF(N55="Disk",50,ROUND(MAXA(100*(MIN(N$10:N$95)/N55),50),0)))))</f>
        <v>50</v>
      </c>
      <c r="S55" s="803" t="s">
        <v>337</v>
      </c>
      <c r="T55" s="798" t="s">
        <v>319</v>
      </c>
      <c r="U55" s="770">
        <v>50</v>
      </c>
      <c r="V55" s="772"/>
      <c r="W55" s="783" t="s">
        <v>337</v>
      </c>
      <c r="X55" s="740">
        <v>50</v>
      </c>
    </row>
    <row r="56" spans="2:29" ht="21" thickBot="1" x14ac:dyDescent="0.3">
      <c r="B56" s="16">
        <f t="shared" si="0"/>
        <v>47</v>
      </c>
      <c r="C56" s="106" t="s">
        <v>90</v>
      </c>
      <c r="D56" s="107" t="s">
        <v>91</v>
      </c>
      <c r="E56" s="599" t="str">
        <f t="shared" si="6"/>
        <v>TorGjermstad</v>
      </c>
      <c r="F56" s="192">
        <f>YEAR(I$5)-_xlfn.XLOOKUP(E56,Deltakerliste!E$5:E$98,Deltakerliste!I$5:I$98)</f>
        <v>76</v>
      </c>
      <c r="G56" s="192">
        <f>_xlfn.XLOOKUP(E56,Deltakerliste!E$5:E$98,Deltakerliste!H$5:H$98)</f>
        <v>2</v>
      </c>
      <c r="H56" s="592">
        <f>VLOOKUP(F56,Deltakerliste!P$6:T$84,G56,FALSE)</f>
        <v>1.655</v>
      </c>
      <c r="I56" s="86" t="s">
        <v>319</v>
      </c>
      <c r="J56" s="86"/>
      <c r="K56" s="13"/>
      <c r="L56" s="600" t="str">
        <f t="shared" si="2"/>
        <v>Disk</v>
      </c>
      <c r="M56" s="594">
        <f>IF(L56="Løype",Poengsammendrag!$F$2,IF(L56="Arr",Poengsammendrag!$F$3,IF(L56="Brutt",50,IF(L56="Disk",50,ROUND(MAXA(100*(MIN(L$10:L$95)/L56),50),0)))))</f>
        <v>50</v>
      </c>
      <c r="N56" s="724" t="str">
        <f t="shared" si="3"/>
        <v>Disk</v>
      </c>
      <c r="O56" s="596">
        <f>IF(N56="Løype",Poengsammendrag!$F$2,IF(N56="Arr",Poengsammendrag!$F$3,IF(N56="Brutt",50,IF(N56="Disk",50,ROUND(MAXA(100*(MIN(N$10:N$95)/N56),50),0)))))</f>
        <v>50</v>
      </c>
      <c r="S56" s="803" t="s">
        <v>90</v>
      </c>
      <c r="T56" s="798" t="s">
        <v>319</v>
      </c>
      <c r="U56" s="770">
        <v>50</v>
      </c>
      <c r="V56" s="772"/>
      <c r="W56" s="783" t="s">
        <v>90</v>
      </c>
      <c r="X56" s="740">
        <v>50</v>
      </c>
    </row>
    <row r="57" spans="2:29" ht="21" thickBot="1" x14ac:dyDescent="0.3">
      <c r="B57" s="16">
        <f t="shared" si="0"/>
        <v>48</v>
      </c>
      <c r="C57" s="106" t="s">
        <v>64</v>
      </c>
      <c r="D57" s="107" t="s">
        <v>65</v>
      </c>
      <c r="E57" s="599" t="str">
        <f t="shared" si="6"/>
        <v>BjørnBerger</v>
      </c>
      <c r="F57" s="192">
        <f>YEAR(I$5)-_xlfn.XLOOKUP(E57,Deltakerliste!E$5:E$98,Deltakerliste!I$5:I$98)</f>
        <v>75</v>
      </c>
      <c r="G57" s="192">
        <f>_xlfn.XLOOKUP(E57,Deltakerliste!E$5:E$98,Deltakerliste!H$5:H$98)</f>
        <v>2</v>
      </c>
      <c r="H57" s="592">
        <f>VLOOKUP(F57,Deltakerliste!P$6:T$84,G57,FALSE)</f>
        <v>1.605</v>
      </c>
      <c r="I57" s="13"/>
      <c r="J57" s="13" t="s">
        <v>62</v>
      </c>
      <c r="K57" s="19"/>
      <c r="L57" s="600" t="str">
        <f t="shared" si="2"/>
        <v>Løype</v>
      </c>
      <c r="M57" s="594">
        <f>IF(L57="Løype",Poengsammendrag!$F$2,IF(L57="Arr",Poengsammendrag!$F$3,IF(L57="Brutt",50,IF(L57="Disk",50,ROUND(MAXA(100*(MIN(L$10:L$95)/L57),50),0)))))</f>
        <v>100</v>
      </c>
      <c r="N57" s="724" t="str">
        <f t="shared" si="3"/>
        <v>Løype</v>
      </c>
      <c r="O57" s="596">
        <f>IF(N57="Løype",Poengsammendrag!$F$2,IF(N57="Arr",Poengsammendrag!$F$3,IF(N57="Brutt",50,IF(N57="Disk",50,ROUND(MAXA(100*(MIN(N$10:N$95)/N57),50),0)))))</f>
        <v>100</v>
      </c>
      <c r="S57" s="803" t="s">
        <v>380</v>
      </c>
      <c r="T57" s="798" t="s">
        <v>62</v>
      </c>
      <c r="U57" s="770">
        <v>100</v>
      </c>
      <c r="V57" s="772"/>
      <c r="W57" s="783" t="s">
        <v>380</v>
      </c>
      <c r="X57" s="740">
        <v>100</v>
      </c>
    </row>
    <row r="58" spans="2:29" ht="20" customHeight="1" thickBot="1" x14ac:dyDescent="0.3">
      <c r="B58" s="16">
        <f t="shared" si="0"/>
        <v>49</v>
      </c>
      <c r="C58" s="106" t="s">
        <v>74</v>
      </c>
      <c r="D58" s="107" t="s">
        <v>75</v>
      </c>
      <c r="E58" s="599" t="str">
        <f t="shared" si="6"/>
        <v>StinaElfving</v>
      </c>
      <c r="F58" s="192">
        <f>YEAR(I$5)-_xlfn.XLOOKUP(E58,Deltakerliste!E$5:E$98,Deltakerliste!I$5:I$98)</f>
        <v>76</v>
      </c>
      <c r="G58" s="192">
        <f>_xlfn.XLOOKUP(E58,Deltakerliste!E$5:E$98,Deltakerliste!H$5:H$98)</f>
        <v>4</v>
      </c>
      <c r="H58" s="592">
        <f>VLOOKUP(F58,Deltakerliste!P$6:T$84,G58,FALSE)</f>
        <v>2.2246000000000015</v>
      </c>
      <c r="I58" s="13"/>
      <c r="J58" s="13"/>
      <c r="K58" s="17"/>
      <c r="L58" s="600"/>
      <c r="M58" s="594"/>
      <c r="N58" s="724"/>
      <c r="O58" s="596"/>
      <c r="S58" s="804"/>
      <c r="T58" s="801"/>
      <c r="U58" s="771"/>
      <c r="V58" s="773"/>
      <c r="W58" s="784"/>
      <c r="X58" s="741"/>
    </row>
    <row r="59" spans="2:29" ht="21" thickBot="1" x14ac:dyDescent="0.3">
      <c r="B59" s="16">
        <f t="shared" si="0"/>
        <v>50</v>
      </c>
      <c r="C59" s="106" t="s">
        <v>60</v>
      </c>
      <c r="D59" s="107" t="s">
        <v>61</v>
      </c>
      <c r="E59" s="599" t="str">
        <f t="shared" si="6"/>
        <v>JosteinAlvestad</v>
      </c>
      <c r="F59" s="192">
        <f>YEAR(I$5)-_xlfn.XLOOKUP(E59,Deltakerliste!E$5:E$98,Deltakerliste!I$5:I$98)</f>
        <v>71</v>
      </c>
      <c r="G59" s="192">
        <f>_xlfn.XLOOKUP(E59,Deltakerliste!E$5:E$98,Deltakerliste!H$5:H$98)</f>
        <v>2</v>
      </c>
      <c r="H59" s="592">
        <f>VLOOKUP(F59,Deltakerliste!P$6:T$84,G59,FALSE)</f>
        <v>1.4609999999999999</v>
      </c>
      <c r="I59" s="13"/>
      <c r="J59" s="13"/>
      <c r="K59" s="17"/>
      <c r="L59" s="600"/>
      <c r="M59" s="594"/>
      <c r="N59" s="724"/>
      <c r="O59" s="596"/>
    </row>
    <row r="60" spans="2:29" ht="21" customHeight="1" thickBot="1" x14ac:dyDescent="0.3">
      <c r="B60" s="16">
        <f t="shared" si="0"/>
        <v>51</v>
      </c>
      <c r="C60" s="106" t="s">
        <v>66</v>
      </c>
      <c r="D60" s="107" t="s">
        <v>67</v>
      </c>
      <c r="E60" s="599" t="str">
        <f t="shared" si="6"/>
        <v>FrankBjarkø</v>
      </c>
      <c r="F60" s="192">
        <f>YEAR(I$5)-_xlfn.XLOOKUP(E60,Deltakerliste!E$5:E$98,Deltakerliste!I$5:I$98)</f>
        <v>74</v>
      </c>
      <c r="G60" s="192">
        <f>_xlfn.XLOOKUP(E60,Deltakerliste!E$5:E$98,Deltakerliste!H$5:H$98)</f>
        <v>2</v>
      </c>
      <c r="H60" s="592">
        <f>VLOOKUP(F60,Deltakerliste!P$6:T$84,G60,FALSE)</f>
        <v>1.569</v>
      </c>
      <c r="I60" s="13"/>
      <c r="J60" s="13"/>
      <c r="K60" s="13"/>
      <c r="L60" s="600"/>
      <c r="M60" s="594"/>
      <c r="N60" s="724"/>
      <c r="O60" s="596"/>
    </row>
    <row r="61" spans="2:29" ht="21" customHeight="1" thickBot="1" x14ac:dyDescent="0.3">
      <c r="B61" s="16">
        <f t="shared" si="0"/>
        <v>52</v>
      </c>
      <c r="C61" s="106" t="s">
        <v>364</v>
      </c>
      <c r="D61" s="107" t="s">
        <v>365</v>
      </c>
      <c r="E61" s="599" t="str">
        <f t="shared" si="6"/>
        <v>GerdBjørset</v>
      </c>
      <c r="F61" s="192">
        <f>YEAR(I$5)-_xlfn.XLOOKUP(E61,Deltakerliste!E$5:E$98,Deltakerliste!I$5:I$98)</f>
        <v>72</v>
      </c>
      <c r="G61" s="192">
        <f>_xlfn.XLOOKUP(E61,Deltakerliste!E$5:E$98,Deltakerliste!H$5:H$98)</f>
        <v>4</v>
      </c>
      <c r="H61" s="592">
        <f>VLOOKUP(F61,Deltakerliste!P$6:T$84,G61,FALSE)</f>
        <v>2.0362000000000013</v>
      </c>
      <c r="I61" s="13"/>
      <c r="J61" s="13"/>
      <c r="K61" s="13"/>
      <c r="L61" s="600"/>
      <c r="M61" s="594"/>
      <c r="N61" s="724"/>
      <c r="O61" s="596"/>
    </row>
    <row r="62" spans="2:29" ht="21" customHeight="1" thickBot="1" x14ac:dyDescent="0.3">
      <c r="B62" s="16">
        <f t="shared" si="0"/>
        <v>53</v>
      </c>
      <c r="C62" s="106" t="s">
        <v>64</v>
      </c>
      <c r="D62" s="107" t="s">
        <v>267</v>
      </c>
      <c r="E62" s="599" t="str">
        <f t="shared" si="6"/>
        <v>BjørnBrenne</v>
      </c>
      <c r="F62" s="192">
        <f>YEAR(I$5)-_xlfn.XLOOKUP(E62,Deltakerliste!E$5:E$98,Deltakerliste!I$5:I$98)</f>
        <v>81</v>
      </c>
      <c r="G62" s="192">
        <f>_xlfn.XLOOKUP(E62,Deltakerliste!E$5:E$98,Deltakerliste!H$5:H$98)</f>
        <v>2</v>
      </c>
      <c r="H62" s="592">
        <f>VLOOKUP(F62,Deltakerliste!P$6:T$84,G62,FALSE)</f>
        <v>1.9290000000000003</v>
      </c>
      <c r="I62" s="86"/>
      <c r="J62" s="86"/>
      <c r="K62" s="13"/>
      <c r="L62" s="600"/>
      <c r="M62" s="594"/>
      <c r="N62" s="724"/>
      <c r="O62" s="596"/>
    </row>
    <row r="63" spans="2:29" ht="21" thickBot="1" x14ac:dyDescent="0.3">
      <c r="B63" s="16">
        <f t="shared" si="0"/>
        <v>54</v>
      </c>
      <c r="C63" s="106" t="s">
        <v>342</v>
      </c>
      <c r="D63" s="107" t="s">
        <v>388</v>
      </c>
      <c r="E63" s="599" t="str">
        <f t="shared" si="6"/>
        <v>ArildClausen</v>
      </c>
      <c r="F63" s="192">
        <f>YEAR(I$5)-_xlfn.XLOOKUP(E63,Deltakerliste!E$5:E$98,Deltakerliste!I$5:I$98)</f>
        <v>58</v>
      </c>
      <c r="G63" s="192">
        <f>_xlfn.XLOOKUP(E63,Deltakerliste!E$5:E$98,Deltakerliste!H$5:H$98)</f>
        <v>2</v>
      </c>
      <c r="H63" s="592">
        <f>VLOOKUP(F63,Deltakerliste!P$6:T$84,G63,FALSE)</f>
        <v>1.1720000000000002</v>
      </c>
      <c r="I63" s="86"/>
      <c r="J63" s="86"/>
      <c r="K63" s="13"/>
      <c r="L63" s="600"/>
      <c r="M63" s="594"/>
      <c r="N63" s="724"/>
      <c r="O63" s="596"/>
    </row>
    <row r="64" spans="2:29" ht="21" thickBot="1" x14ac:dyDescent="0.3">
      <c r="B64" s="16">
        <f t="shared" si="0"/>
        <v>55</v>
      </c>
      <c r="C64" s="106" t="s">
        <v>70</v>
      </c>
      <c r="D64" s="107" t="s">
        <v>71</v>
      </c>
      <c r="E64" s="599" t="str">
        <f t="shared" si="6"/>
        <v>TrondDamås</v>
      </c>
      <c r="F64" s="192">
        <f>YEAR(I$5)-_xlfn.XLOOKUP(E64,Deltakerliste!E$5:E$98,Deltakerliste!I$5:I$98)</f>
        <v>76</v>
      </c>
      <c r="G64" s="192">
        <f>_xlfn.XLOOKUP(E64,Deltakerliste!E$5:E$98,Deltakerliste!H$5:H$98)</f>
        <v>2</v>
      </c>
      <c r="H64" s="592">
        <f>VLOOKUP(F64,Deltakerliste!P$6:T$84,G64,FALSE)</f>
        <v>1.655</v>
      </c>
      <c r="I64" s="13"/>
      <c r="J64" s="13"/>
      <c r="K64" s="13"/>
      <c r="L64" s="600"/>
      <c r="M64" s="594"/>
      <c r="N64" s="724"/>
      <c r="O64" s="596"/>
    </row>
    <row r="65" spans="2:17" ht="21" thickBot="1" x14ac:dyDescent="0.3">
      <c r="B65" s="16">
        <f t="shared" si="0"/>
        <v>56</v>
      </c>
      <c r="C65" s="106" t="s">
        <v>216</v>
      </c>
      <c r="D65" s="107" t="s">
        <v>77</v>
      </c>
      <c r="E65" s="599" t="str">
        <f t="shared" si="6"/>
        <v>Åse RitaEllingsen</v>
      </c>
      <c r="F65" s="192">
        <f>YEAR(I$5)-_xlfn.XLOOKUP(E65,Deltakerliste!E$5:E$98,Deltakerliste!I$5:I$98)</f>
        <v>62</v>
      </c>
      <c r="G65" s="192">
        <f>_xlfn.XLOOKUP(E65,Deltakerliste!E$5:E$98,Deltakerliste!H$5:H$98)</f>
        <v>4</v>
      </c>
      <c r="H65" s="592">
        <f>VLOOKUP(F65,Deltakerliste!P$6:T$84,G65,FALSE)</f>
        <v>1.6834000000000005</v>
      </c>
      <c r="I65" s="86"/>
      <c r="J65" s="14"/>
      <c r="K65" s="13"/>
      <c r="L65" s="600"/>
      <c r="M65" s="594"/>
      <c r="N65" s="724"/>
      <c r="O65" s="596"/>
    </row>
    <row r="66" spans="2:17" ht="21" thickBot="1" x14ac:dyDescent="0.3">
      <c r="B66" s="16">
        <f t="shared" si="0"/>
        <v>57</v>
      </c>
      <c r="C66" s="106" t="s">
        <v>271</v>
      </c>
      <c r="D66" s="107" t="s">
        <v>272</v>
      </c>
      <c r="E66" s="599" t="str">
        <f t="shared" si="6"/>
        <v>Arne KjellFoldvik</v>
      </c>
      <c r="F66" s="192">
        <f>YEAR(I$5)-_xlfn.XLOOKUP(E66,Deltakerliste!E$5:E$98,Deltakerliste!I$5:I$98)</f>
        <v>92</v>
      </c>
      <c r="G66" s="192">
        <f>_xlfn.XLOOKUP(E66,Deltakerliste!E$5:E$98,Deltakerliste!H$5:H$98)</f>
        <v>2</v>
      </c>
      <c r="H66" s="592">
        <f>VLOOKUP(F66,Deltakerliste!P$6:T$84,G66,FALSE)</f>
        <v>2.8130000000000002</v>
      </c>
      <c r="I66" s="14"/>
      <c r="J66" s="14"/>
      <c r="K66" s="13"/>
      <c r="L66" s="600"/>
      <c r="M66" s="594"/>
      <c r="N66" s="724"/>
      <c r="O66" s="596"/>
    </row>
    <row r="67" spans="2:17" ht="21" thickBot="1" x14ac:dyDescent="0.3">
      <c r="B67" s="16">
        <f t="shared" si="0"/>
        <v>58</v>
      </c>
      <c r="C67" s="106" t="s">
        <v>377</v>
      </c>
      <c r="D67" s="107" t="s">
        <v>83</v>
      </c>
      <c r="E67" s="599" t="str">
        <f t="shared" si="6"/>
        <v>HildeForbord</v>
      </c>
      <c r="F67" s="192">
        <f>YEAR(I$5)-_xlfn.XLOOKUP(E67,Deltakerliste!E$5:E$98,Deltakerliste!I$5:I$98)</f>
        <v>60</v>
      </c>
      <c r="G67" s="192">
        <f>_xlfn.XLOOKUP(E67,Deltakerliste!E$5:E$98,Deltakerliste!H$5:H$98)</f>
        <v>4</v>
      </c>
      <c r="H67" s="592">
        <f>VLOOKUP(F67,Deltakerliste!P$6:T$84,G67,FALSE)</f>
        <v>1.6250000000000002</v>
      </c>
      <c r="I67" s="14"/>
      <c r="J67" s="14"/>
      <c r="K67" s="13"/>
      <c r="L67" s="600"/>
      <c r="M67" s="594"/>
      <c r="N67" s="724"/>
      <c r="O67" s="596"/>
    </row>
    <row r="68" spans="2:17" ht="21" thickBot="1" x14ac:dyDescent="0.3">
      <c r="B68" s="16">
        <f t="shared" si="0"/>
        <v>59</v>
      </c>
      <c r="C68" s="106" t="s">
        <v>84</v>
      </c>
      <c r="D68" s="107" t="s">
        <v>85</v>
      </c>
      <c r="E68" s="599" t="str">
        <f t="shared" si="6"/>
        <v>PaulForseth</v>
      </c>
      <c r="F68" s="192">
        <f>YEAR(I$5)-_xlfn.XLOOKUP(E68,Deltakerliste!E$5:E$98,Deltakerliste!I$5:I$98)</f>
        <v>94</v>
      </c>
      <c r="G68" s="192">
        <f>_xlfn.XLOOKUP(E68,Deltakerliste!E$5:E$98,Deltakerliste!H$5:H$98)</f>
        <v>2</v>
      </c>
      <c r="H68" s="592">
        <f>VLOOKUP(F68,Deltakerliste!P$6:T$84,G68,FALSE)</f>
        <v>2.9810000000000003</v>
      </c>
      <c r="I68" s="86"/>
      <c r="J68" s="86"/>
      <c r="K68" s="17"/>
      <c r="L68" s="600"/>
      <c r="M68" s="594"/>
      <c r="N68" s="724"/>
      <c r="O68" s="596"/>
    </row>
    <row r="69" spans="2:17" ht="21" thickBot="1" x14ac:dyDescent="0.3">
      <c r="B69" s="16">
        <f t="shared" si="0"/>
        <v>60</v>
      </c>
      <c r="C69" s="106" t="s">
        <v>86</v>
      </c>
      <c r="D69" s="107" t="s">
        <v>87</v>
      </c>
      <c r="E69" s="599" t="str">
        <f t="shared" si="6"/>
        <v>KristianFougner</v>
      </c>
      <c r="F69" s="192">
        <f>YEAR(I$5)-_xlfn.XLOOKUP(E69,Deltakerliste!E$5:E$98,Deltakerliste!I$5:I$98)</f>
        <v>76</v>
      </c>
      <c r="G69" s="192">
        <f>_xlfn.XLOOKUP(E69,Deltakerliste!E$5:E$98,Deltakerliste!H$5:H$98)</f>
        <v>2</v>
      </c>
      <c r="H69" s="592">
        <f>VLOOKUP(F69,Deltakerliste!P$6:T$84,G69,FALSE)</f>
        <v>1.655</v>
      </c>
      <c r="I69" s="86"/>
      <c r="J69" s="86"/>
      <c r="K69" s="13"/>
      <c r="L69" s="600"/>
      <c r="M69" s="594"/>
      <c r="N69" s="724"/>
      <c r="O69" s="596"/>
    </row>
    <row r="70" spans="2:17" ht="21" thickBot="1" x14ac:dyDescent="0.3">
      <c r="B70" s="16">
        <f t="shared" si="0"/>
        <v>61</v>
      </c>
      <c r="C70" s="106" t="s">
        <v>207</v>
      </c>
      <c r="D70" s="107" t="s">
        <v>89</v>
      </c>
      <c r="E70" s="599" t="str">
        <f t="shared" si="6"/>
        <v>AnneFuruholt</v>
      </c>
      <c r="F70" s="192">
        <f>YEAR(I$5)-_xlfn.XLOOKUP(E70,Deltakerliste!E$5:E$98,Deltakerliste!I$5:I$98)</f>
        <v>79</v>
      </c>
      <c r="G70" s="192">
        <f>_xlfn.XLOOKUP(E70,Deltakerliste!E$5:E$98,Deltakerliste!H$5:H$98)</f>
        <v>4</v>
      </c>
      <c r="H70" s="592">
        <f>VLOOKUP(F70,Deltakerliste!P$6:T$84,G70,FALSE)</f>
        <v>2.3974000000000011</v>
      </c>
      <c r="I70" s="13"/>
      <c r="J70" s="13"/>
      <c r="K70" s="13"/>
      <c r="L70" s="600"/>
      <c r="M70" s="594"/>
      <c r="N70" s="724"/>
      <c r="O70" s="596"/>
    </row>
    <row r="71" spans="2:17" ht="21" thickBot="1" x14ac:dyDescent="0.3">
      <c r="B71" s="16">
        <f t="shared" si="0"/>
        <v>62</v>
      </c>
      <c r="C71" s="106" t="s">
        <v>116</v>
      </c>
      <c r="D71" s="107" t="s">
        <v>353</v>
      </c>
      <c r="E71" s="599" t="str">
        <f t="shared" si="6"/>
        <v>AndersGjermo</v>
      </c>
      <c r="F71" s="192">
        <f>YEAR(I$5)-_xlfn.XLOOKUP(E71,Deltakerliste!E$5:E$98,Deltakerliste!I$5:I$98)</f>
        <v>68</v>
      </c>
      <c r="G71" s="192">
        <f>_xlfn.XLOOKUP(E71,Deltakerliste!E$5:E$98,Deltakerliste!H$5:H$98)</f>
        <v>2</v>
      </c>
      <c r="H71" s="592">
        <f>VLOOKUP(F71,Deltakerliste!P$6:T$84,G71,FALSE)</f>
        <v>1.3729999999999998</v>
      </c>
      <c r="I71" s="132"/>
      <c r="J71" s="132"/>
      <c r="K71" s="18"/>
      <c r="L71" s="600"/>
      <c r="M71" s="594"/>
      <c r="N71" s="724"/>
      <c r="O71" s="596"/>
    </row>
    <row r="72" spans="2:17" ht="21" thickBot="1" x14ac:dyDescent="0.3">
      <c r="B72" s="16">
        <f t="shared" si="0"/>
        <v>63</v>
      </c>
      <c r="C72" s="106" t="s">
        <v>92</v>
      </c>
      <c r="D72" s="107" t="s">
        <v>93</v>
      </c>
      <c r="E72" s="599" t="str">
        <f t="shared" si="6"/>
        <v>Jens ØysteinGjersvold</v>
      </c>
      <c r="F72" s="192">
        <f>YEAR(I$5)-_xlfn.XLOOKUP(E72,Deltakerliste!E$5:E$98,Deltakerliste!I$5:I$98)</f>
        <v>74</v>
      </c>
      <c r="G72" s="192">
        <f>_xlfn.XLOOKUP(E72,Deltakerliste!E$5:E$98,Deltakerliste!H$5:H$98)</f>
        <v>2</v>
      </c>
      <c r="H72" s="592">
        <f>VLOOKUP(F72,Deltakerliste!P$6:T$84,G72,FALSE)</f>
        <v>1.569</v>
      </c>
      <c r="I72" s="14"/>
      <c r="J72" s="14"/>
      <c r="K72" s="18"/>
      <c r="L72" s="600"/>
      <c r="M72" s="594"/>
      <c r="N72" s="724"/>
      <c r="O72" s="596"/>
    </row>
    <row r="73" spans="2:17" ht="21" thickBot="1" x14ac:dyDescent="0.3">
      <c r="B73" s="16">
        <f t="shared" si="0"/>
        <v>64</v>
      </c>
      <c r="C73" s="106" t="s">
        <v>342</v>
      </c>
      <c r="D73" s="107" t="s">
        <v>343</v>
      </c>
      <c r="E73" s="599" t="str">
        <f t="shared" si="6"/>
        <v>ArildHeggeset</v>
      </c>
      <c r="F73" s="192">
        <f>YEAR(I$5)-_xlfn.XLOOKUP(E73,Deltakerliste!E$5:E$98,Deltakerliste!I$5:I$98)</f>
        <v>59</v>
      </c>
      <c r="G73" s="192">
        <f>_xlfn.XLOOKUP(E73,Deltakerliste!E$5:E$98,Deltakerliste!H$5:H$98)</f>
        <v>2</v>
      </c>
      <c r="H73" s="592">
        <f>VLOOKUP(F73,Deltakerliste!P$6:T$84,G73,FALSE)</f>
        <v>1.1860000000000002</v>
      </c>
      <c r="I73" s="86"/>
      <c r="J73" s="86"/>
      <c r="K73" s="13"/>
      <c r="L73" s="600"/>
      <c r="M73" s="594"/>
      <c r="N73" s="724"/>
      <c r="O73" s="596"/>
    </row>
    <row r="74" spans="2:17" ht="21" thickBot="1" x14ac:dyDescent="0.3">
      <c r="B74" s="16">
        <f t="shared" ref="B74:B97" si="7">B73+1</f>
        <v>65</v>
      </c>
      <c r="C74" s="106" t="s">
        <v>309</v>
      </c>
      <c r="D74" s="107" t="s">
        <v>310</v>
      </c>
      <c r="E74" s="599" t="str">
        <f t="shared" ref="E74:E97" si="8">_xlfn.CONCAT(C74:D74)</f>
        <v>VigdisHeimly</v>
      </c>
      <c r="F74" s="192">
        <f>YEAR(I$5)-_xlfn.XLOOKUP(E74,Deltakerliste!E$5:E$98,Deltakerliste!I$5:I$98)</f>
        <v>67</v>
      </c>
      <c r="G74" s="192">
        <f>_xlfn.XLOOKUP(E74,Deltakerliste!E$5:E$98,Deltakerliste!H$5:H$98)</f>
        <v>4</v>
      </c>
      <c r="H74" s="592">
        <f>VLOOKUP(F74,Deltakerliste!P$6:T$84,G74,FALSE)</f>
        <v>1.8422000000000009</v>
      </c>
      <c r="I74" s="86"/>
      <c r="J74" s="86"/>
      <c r="K74" s="17"/>
      <c r="L74" s="600"/>
      <c r="M74" s="594"/>
      <c r="N74" s="724"/>
      <c r="O74" s="596"/>
    </row>
    <row r="75" spans="2:17" ht="21" thickBot="1" x14ac:dyDescent="0.3">
      <c r="B75" s="16">
        <f t="shared" si="7"/>
        <v>66</v>
      </c>
      <c r="C75" s="106" t="s">
        <v>126</v>
      </c>
      <c r="D75" s="107" t="s">
        <v>383</v>
      </c>
      <c r="E75" s="599" t="str">
        <f t="shared" si="8"/>
        <v>ArneHelland</v>
      </c>
      <c r="F75" s="192">
        <f>YEAR(I$5)-_xlfn.XLOOKUP(E75,Deltakerliste!E$5:E$98,Deltakerliste!I$5:I$98)</f>
        <v>61</v>
      </c>
      <c r="G75" s="192">
        <f>_xlfn.XLOOKUP(E75,Deltakerliste!E$5:E$98,Deltakerliste!H$5:H$98)</f>
        <v>2</v>
      </c>
      <c r="H75" s="592">
        <f>VLOOKUP(F75,Deltakerliste!P$6:T$84,G75,FALSE)</f>
        <v>1.2190000000000001</v>
      </c>
      <c r="I75" s="86"/>
      <c r="J75" s="86"/>
      <c r="K75" s="17"/>
      <c r="L75" s="600"/>
      <c r="M75" s="594"/>
      <c r="N75" s="724"/>
      <c r="O75" s="596"/>
      <c r="Q75" s="112"/>
    </row>
    <row r="76" spans="2:17" ht="21" thickBot="1" x14ac:dyDescent="0.3">
      <c r="B76" s="16">
        <f t="shared" si="7"/>
        <v>67</v>
      </c>
      <c r="C76" s="106" t="s">
        <v>118</v>
      </c>
      <c r="D76" s="107" t="s">
        <v>383</v>
      </c>
      <c r="E76" s="599" t="str">
        <f t="shared" si="8"/>
        <v>KnutHelland</v>
      </c>
      <c r="F76" s="192">
        <f>YEAR(I$5)-_xlfn.XLOOKUP(E76,Deltakerliste!E$5:E$98,Deltakerliste!I$5:I$98)</f>
        <v>64</v>
      </c>
      <c r="G76" s="192">
        <f>_xlfn.XLOOKUP(E76,Deltakerliste!E$5:E$98,Deltakerliste!H$5:H$98)</f>
        <v>2</v>
      </c>
      <c r="H76" s="592">
        <f>VLOOKUP(F76,Deltakerliste!P$6:T$84,G76,FALSE)</f>
        <v>1.2759999999999998</v>
      </c>
      <c r="I76" s="86"/>
      <c r="J76" s="86"/>
      <c r="K76" s="17"/>
      <c r="L76" s="600"/>
      <c r="M76" s="594"/>
      <c r="N76" s="724"/>
      <c r="O76" s="596"/>
    </row>
    <row r="77" spans="2:17" ht="21" thickBot="1" x14ac:dyDescent="0.3">
      <c r="B77" s="16">
        <f t="shared" si="7"/>
        <v>68</v>
      </c>
      <c r="C77" s="106" t="s">
        <v>269</v>
      </c>
      <c r="D77" s="107" t="s">
        <v>270</v>
      </c>
      <c r="E77" s="599" t="str">
        <f t="shared" si="8"/>
        <v>Per OlavJohansen</v>
      </c>
      <c r="F77" s="192">
        <f>YEAR(I$5)-_xlfn.XLOOKUP(E77,Deltakerliste!E$5:E$98,Deltakerliste!I$5:I$98)</f>
        <v>68</v>
      </c>
      <c r="G77" s="192">
        <f>_xlfn.XLOOKUP(E77,Deltakerliste!E$5:E$98,Deltakerliste!H$5:H$98)</f>
        <v>2</v>
      </c>
      <c r="H77" s="592">
        <f>VLOOKUP(F77,Deltakerliste!P$6:T$84,G77,FALSE)</f>
        <v>1.3729999999999998</v>
      </c>
      <c r="I77" s="132"/>
      <c r="J77" s="132"/>
      <c r="K77" s="134"/>
      <c r="L77" s="600"/>
      <c r="M77" s="594"/>
      <c r="N77" s="724"/>
      <c r="O77" s="596"/>
    </row>
    <row r="78" spans="2:17" ht="21" thickBot="1" x14ac:dyDescent="0.3">
      <c r="B78" s="16">
        <f t="shared" si="7"/>
        <v>69</v>
      </c>
      <c r="C78" s="106" t="s">
        <v>63</v>
      </c>
      <c r="D78" s="107" t="s">
        <v>105</v>
      </c>
      <c r="E78" s="599" t="str">
        <f t="shared" si="8"/>
        <v>ToreKiste</v>
      </c>
      <c r="F78" s="192">
        <f>YEAR(I$5)-_xlfn.XLOOKUP(E78,Deltakerliste!E$5:E$98,Deltakerliste!I$5:I$98)</f>
        <v>81</v>
      </c>
      <c r="G78" s="192">
        <f>_xlfn.XLOOKUP(E78,Deltakerliste!E$5:E$98,Deltakerliste!H$5:H$98)</f>
        <v>2</v>
      </c>
      <c r="H78" s="592">
        <f>VLOOKUP(F78,Deltakerliste!P$6:T$84,G78,FALSE)</f>
        <v>1.9290000000000003</v>
      </c>
      <c r="I78" s="86"/>
      <c r="J78" s="86"/>
      <c r="K78" s="13"/>
      <c r="L78" s="600"/>
      <c r="M78" s="594"/>
      <c r="N78" s="724"/>
      <c r="O78" s="596"/>
    </row>
    <row r="79" spans="2:17" ht="21" thickBot="1" x14ac:dyDescent="0.3">
      <c r="B79" s="16">
        <f t="shared" si="7"/>
        <v>70</v>
      </c>
      <c r="C79" s="106" t="s">
        <v>251</v>
      </c>
      <c r="D79" s="107" t="s">
        <v>252</v>
      </c>
      <c r="E79" s="599" t="str">
        <f t="shared" si="8"/>
        <v>OttarKristiansen</v>
      </c>
      <c r="F79" s="192">
        <f>YEAR(I$5)-_xlfn.XLOOKUP(E79,Deltakerliste!E$5:E$98,Deltakerliste!I$5:I$98)</f>
        <v>77</v>
      </c>
      <c r="G79" s="192">
        <f>_xlfn.XLOOKUP(E79,Deltakerliste!E$5:E$98,Deltakerliste!H$5:H$98)</f>
        <v>2</v>
      </c>
      <c r="H79" s="592">
        <f>VLOOKUP(F79,Deltakerliste!P$6:T$84,G79,FALSE)</f>
        <v>1.7050000000000001</v>
      </c>
      <c r="I79" s="86"/>
      <c r="J79" s="86"/>
      <c r="K79" s="17"/>
      <c r="L79" s="600"/>
      <c r="M79" s="594"/>
      <c r="N79" s="724"/>
      <c r="O79" s="596"/>
    </row>
    <row r="80" spans="2:17" ht="21" thickBot="1" x14ac:dyDescent="0.3">
      <c r="B80" s="16">
        <f t="shared" si="7"/>
        <v>71</v>
      </c>
      <c r="C80" s="106" t="s">
        <v>112</v>
      </c>
      <c r="D80" s="107" t="s">
        <v>113</v>
      </c>
      <c r="E80" s="599" t="str">
        <f t="shared" si="8"/>
        <v>ToridKvaal</v>
      </c>
      <c r="F80" s="192">
        <f>YEAR(I$5)-_xlfn.XLOOKUP(E80,Deltakerliste!E$5:E$98,Deltakerliste!I$5:I$98)</f>
        <v>84</v>
      </c>
      <c r="G80" s="192">
        <f>_xlfn.XLOOKUP(E80,Deltakerliste!E$5:E$98,Deltakerliste!H$5:H$98)</f>
        <v>4</v>
      </c>
      <c r="H80" s="592">
        <f>VLOOKUP(F80,Deltakerliste!P$6:T$84,G80,FALSE)</f>
        <v>2.7814000000000005</v>
      </c>
      <c r="I80" s="86"/>
      <c r="J80" s="86"/>
      <c r="K80" s="13"/>
      <c r="L80" s="600"/>
      <c r="M80" s="594"/>
      <c r="N80" s="724"/>
      <c r="O80" s="596"/>
    </row>
    <row r="81" spans="2:15" ht="21" thickBot="1" x14ac:dyDescent="0.3">
      <c r="B81" s="16">
        <f t="shared" si="7"/>
        <v>72</v>
      </c>
      <c r="C81" s="106" t="s">
        <v>254</v>
      </c>
      <c r="D81" s="107" t="s">
        <v>255</v>
      </c>
      <c r="E81" s="599" t="str">
        <f t="shared" si="8"/>
        <v>ArnfinnLangeland</v>
      </c>
      <c r="F81" s="192">
        <f>YEAR(I$5)-_xlfn.XLOOKUP(E81,Deltakerliste!E$5:E$98,Deltakerliste!I$5:I$98)</f>
        <v>90</v>
      </c>
      <c r="G81" s="192">
        <f>_xlfn.XLOOKUP(E81,Deltakerliste!E$5:E$98,Deltakerliste!H$5:H$98)</f>
        <v>2</v>
      </c>
      <c r="H81" s="592">
        <f>VLOOKUP(F81,Deltakerliste!P$6:T$84,G81,FALSE)</f>
        <v>2.645</v>
      </c>
      <c r="I81" s="86"/>
      <c r="J81" s="86"/>
      <c r="K81" s="13"/>
      <c r="L81" s="600"/>
      <c r="M81" s="594"/>
      <c r="N81" s="724"/>
      <c r="O81" s="596"/>
    </row>
    <row r="82" spans="2:15" ht="21" thickBot="1" x14ac:dyDescent="0.3">
      <c r="B82" s="16">
        <f t="shared" si="7"/>
        <v>73</v>
      </c>
      <c r="C82" s="106" t="s">
        <v>128</v>
      </c>
      <c r="D82" s="107" t="s">
        <v>129</v>
      </c>
      <c r="E82" s="599" t="str">
        <f t="shared" si="8"/>
        <v>OddMusum</v>
      </c>
      <c r="F82" s="192">
        <f>YEAR(I$5)-_xlfn.XLOOKUP(E82,Deltakerliste!E$5:E$98,Deltakerliste!I$5:I$98)</f>
        <v>84</v>
      </c>
      <c r="G82" s="192">
        <f>_xlfn.XLOOKUP(E82,Deltakerliste!E$5:E$98,Deltakerliste!H$5:H$98)</f>
        <v>2</v>
      </c>
      <c r="H82" s="592">
        <f>VLOOKUP(F82,Deltakerliste!P$6:T$84,G82,FALSE)</f>
        <v>2.1509999999999998</v>
      </c>
      <c r="I82" s="13"/>
      <c r="J82" s="13"/>
      <c r="K82" s="13"/>
      <c r="L82" s="600"/>
      <c r="M82" s="594"/>
      <c r="N82" s="724"/>
      <c r="O82" s="596"/>
    </row>
    <row r="83" spans="2:15" ht="21" thickBot="1" x14ac:dyDescent="0.3">
      <c r="B83" s="16">
        <f t="shared" si="7"/>
        <v>74</v>
      </c>
      <c r="C83" s="106" t="s">
        <v>132</v>
      </c>
      <c r="D83" s="107" t="s">
        <v>133</v>
      </c>
      <c r="E83" s="599" t="str">
        <f t="shared" si="8"/>
        <v>JarleNestvold</v>
      </c>
      <c r="F83" s="192">
        <f>YEAR(I$5)-_xlfn.XLOOKUP(E83,Deltakerliste!E$5:E$98,Deltakerliste!I$5:I$98)</f>
        <v>89</v>
      </c>
      <c r="G83" s="192">
        <f>_xlfn.XLOOKUP(E83,Deltakerliste!E$5:E$98,Deltakerliste!H$5:H$98)</f>
        <v>2</v>
      </c>
      <c r="H83" s="592">
        <f>VLOOKUP(F83,Deltakerliste!P$6:T$84,G83,FALSE)</f>
        <v>2.5609999999999999</v>
      </c>
      <c r="I83" s="132"/>
      <c r="J83" s="18"/>
      <c r="K83" s="18"/>
      <c r="L83" s="600"/>
      <c r="M83" s="594"/>
      <c r="N83" s="724"/>
      <c r="O83" s="596"/>
    </row>
    <row r="84" spans="2:15" ht="21" thickBot="1" x14ac:dyDescent="0.3">
      <c r="B84" s="16">
        <f t="shared" si="7"/>
        <v>75</v>
      </c>
      <c r="C84" s="106" t="s">
        <v>402</v>
      </c>
      <c r="D84" s="107" t="s">
        <v>403</v>
      </c>
      <c r="E84" s="599" t="str">
        <f t="shared" si="8"/>
        <v>BørgeNordli</v>
      </c>
      <c r="F84" s="192">
        <f>YEAR(I$5)-_xlfn.XLOOKUP(E84,Deltakerliste!E$5:E$98,Deltakerliste!I$5:I$98)</f>
        <v>44</v>
      </c>
      <c r="G84" s="192">
        <f>_xlfn.XLOOKUP(E84,Deltakerliste!E$5:E$98,Deltakerliste!H$5:H$98)</f>
        <v>2</v>
      </c>
      <c r="H84" s="592">
        <f>VLOOKUP(F84,Deltakerliste!P$6:T$84,G84,FALSE)</f>
        <v>1.0399999999999996</v>
      </c>
      <c r="I84" s="132"/>
      <c r="J84" s="132"/>
      <c r="K84" s="18"/>
      <c r="L84" s="600"/>
      <c r="M84" s="594"/>
      <c r="N84" s="724"/>
      <c r="O84" s="596"/>
    </row>
    <row r="85" spans="2:15" ht="21" thickBot="1" x14ac:dyDescent="0.3">
      <c r="B85" s="16">
        <f t="shared" si="7"/>
        <v>76</v>
      </c>
      <c r="C85" s="111" t="s">
        <v>265</v>
      </c>
      <c r="D85" s="193" t="s">
        <v>344</v>
      </c>
      <c r="E85" s="599" t="str">
        <f t="shared" si="8"/>
        <v>ØysteinNytrø</v>
      </c>
      <c r="F85" s="192">
        <f>YEAR(I$5)-_xlfn.XLOOKUP(E85,Deltakerliste!E$5:E$98,Deltakerliste!I$5:I$98)</f>
        <v>66</v>
      </c>
      <c r="G85" s="192">
        <f>_xlfn.XLOOKUP(E85,Deltakerliste!E$5:E$98,Deltakerliste!H$5:H$98)</f>
        <v>2</v>
      </c>
      <c r="H85" s="592">
        <f>VLOOKUP(F85,Deltakerliste!P$6:T$84,G85,FALSE)</f>
        <v>1.3209999999999997</v>
      </c>
      <c r="I85" s="18"/>
      <c r="J85" s="132"/>
      <c r="K85" s="18"/>
      <c r="L85" s="600"/>
      <c r="M85" s="594"/>
      <c r="N85" s="724"/>
      <c r="O85" s="596"/>
    </row>
    <row r="86" spans="2:15" ht="21" thickBot="1" x14ac:dyDescent="0.3">
      <c r="B86" s="16">
        <f t="shared" si="7"/>
        <v>77</v>
      </c>
      <c r="C86" s="111" t="s">
        <v>72</v>
      </c>
      <c r="D86" s="193" t="s">
        <v>139</v>
      </c>
      <c r="E86" s="599" t="str">
        <f t="shared" si="8"/>
        <v>KåreOnsøyen</v>
      </c>
      <c r="F86" s="192">
        <f>YEAR(I$5)-_xlfn.XLOOKUP(E86,Deltakerliste!E$5:E$98,Deltakerliste!I$5:I$98)</f>
        <v>78</v>
      </c>
      <c r="G86" s="192">
        <f>_xlfn.XLOOKUP(E86,Deltakerliste!E$5:E$98,Deltakerliste!H$5:H$98)</f>
        <v>2</v>
      </c>
      <c r="H86" s="592">
        <f>VLOOKUP(F86,Deltakerliste!P$6:T$84,G86,FALSE)</f>
        <v>1.7550000000000001</v>
      </c>
      <c r="I86" s="13"/>
      <c r="J86" s="13"/>
      <c r="K86" s="13"/>
      <c r="L86" s="600"/>
      <c r="M86" s="594"/>
      <c r="N86" s="724"/>
      <c r="O86" s="596"/>
    </row>
    <row r="87" spans="2:15" ht="21" thickBot="1" x14ac:dyDescent="0.3">
      <c r="B87" s="16">
        <f t="shared" si="7"/>
        <v>78</v>
      </c>
      <c r="C87" s="111" t="s">
        <v>140</v>
      </c>
      <c r="D87" s="108" t="s">
        <v>141</v>
      </c>
      <c r="E87" s="599" t="str">
        <f t="shared" si="8"/>
        <v>Grete BergeOwren</v>
      </c>
      <c r="F87" s="192">
        <f>YEAR(I$5)-_xlfn.XLOOKUP(E87,Deltakerliste!E$5:E$98,Deltakerliste!I$5:I$98)</f>
        <v>68</v>
      </c>
      <c r="G87" s="192">
        <f>_xlfn.XLOOKUP(E87,Deltakerliste!E$5:E$98,Deltakerliste!H$5:H$98)</f>
        <v>4</v>
      </c>
      <c r="H87" s="592">
        <f>VLOOKUP(F87,Deltakerliste!P$6:T$84,G87,FALSE)</f>
        <v>1.877800000000001</v>
      </c>
      <c r="I87" s="18"/>
      <c r="J87" s="18"/>
      <c r="K87" s="18"/>
      <c r="L87" s="600"/>
      <c r="M87" s="594"/>
      <c r="N87" s="724"/>
      <c r="O87" s="596"/>
    </row>
    <row r="88" spans="2:15" ht="21" thickBot="1" x14ac:dyDescent="0.3">
      <c r="B88" s="16">
        <f t="shared" si="7"/>
        <v>79</v>
      </c>
      <c r="C88" s="111" t="s">
        <v>144</v>
      </c>
      <c r="D88" s="193" t="s">
        <v>145</v>
      </c>
      <c r="E88" s="599" t="str">
        <f t="shared" si="8"/>
        <v>Bjørn Rindstad</v>
      </c>
      <c r="F88" s="192">
        <f>YEAR(I$5)-_xlfn.XLOOKUP(E88,Deltakerliste!E$5:E$98,Deltakerliste!I$5:I$98)</f>
        <v>75</v>
      </c>
      <c r="G88" s="192">
        <f>_xlfn.XLOOKUP(E88,Deltakerliste!E$5:E$98,Deltakerliste!H$5:H$98)</f>
        <v>2</v>
      </c>
      <c r="H88" s="592">
        <f>VLOOKUP(F88,Deltakerliste!P$6:T$84,G88,FALSE)</f>
        <v>1.605</v>
      </c>
      <c r="I88" s="18"/>
      <c r="J88" s="18"/>
      <c r="K88" s="18"/>
      <c r="L88" s="600"/>
      <c r="M88" s="594"/>
      <c r="N88" s="724"/>
      <c r="O88" s="596"/>
    </row>
    <row r="89" spans="2:15" ht="21" thickBot="1" x14ac:dyDescent="0.3">
      <c r="B89" s="16">
        <f t="shared" si="7"/>
        <v>80</v>
      </c>
      <c r="C89" s="111" t="s">
        <v>298</v>
      </c>
      <c r="D89" s="193" t="s">
        <v>405</v>
      </c>
      <c r="E89" s="599" t="str">
        <f t="shared" si="8"/>
        <v>ØyvindRogndalen</v>
      </c>
      <c r="F89" s="192">
        <f>YEAR(I$5)-_xlfn.XLOOKUP(E89,Deltakerliste!E$5:E$98,Deltakerliste!I$5:I$98)</f>
        <v>81</v>
      </c>
      <c r="G89" s="192">
        <f>_xlfn.XLOOKUP(E89,Deltakerliste!E$5:E$98,Deltakerliste!H$5:H$98)</f>
        <v>2</v>
      </c>
      <c r="H89" s="592">
        <f>VLOOKUP(F89,Deltakerliste!P$6:T$84,G89,FALSE)</f>
        <v>1.9290000000000003</v>
      </c>
      <c r="I89" s="132"/>
      <c r="J89" s="18"/>
      <c r="K89" s="18"/>
      <c r="L89" s="600"/>
      <c r="M89" s="594"/>
      <c r="N89" s="724"/>
      <c r="O89" s="596"/>
    </row>
    <row r="90" spans="2:15" ht="21" thickBot="1" x14ac:dyDescent="0.3">
      <c r="B90" s="16">
        <f t="shared" si="7"/>
        <v>81</v>
      </c>
      <c r="C90" s="111" t="s">
        <v>228</v>
      </c>
      <c r="D90" s="108" t="s">
        <v>229</v>
      </c>
      <c r="E90" s="599" t="str">
        <f t="shared" si="8"/>
        <v>May-LisRønning</v>
      </c>
      <c r="F90" s="192">
        <f>YEAR(I$5)-_xlfn.XLOOKUP(E90,Deltakerliste!E$5:E$98,Deltakerliste!I$5:I$98)</f>
        <v>56</v>
      </c>
      <c r="G90" s="192">
        <f>_xlfn.XLOOKUP(E90,Deltakerliste!E$5:E$98,Deltakerliste!H$5:H$98)</f>
        <v>4</v>
      </c>
      <c r="H90" s="592">
        <f>VLOOKUP(F90,Deltakerliste!P$6:T$84,G90,FALSE)</f>
        <v>1.5329999999999997</v>
      </c>
      <c r="I90" s="18"/>
      <c r="J90" s="18"/>
      <c r="K90" s="18"/>
      <c r="L90" s="600"/>
      <c r="M90" s="594"/>
      <c r="N90" s="724"/>
      <c r="O90" s="596"/>
    </row>
    <row r="91" spans="2:15" ht="21" thickBot="1" x14ac:dyDescent="0.3">
      <c r="B91" s="16">
        <f t="shared" si="7"/>
        <v>82</v>
      </c>
      <c r="C91" s="111" t="s">
        <v>147</v>
      </c>
      <c r="D91" s="108" t="s">
        <v>148</v>
      </c>
      <c r="E91" s="599" t="str">
        <f t="shared" si="8"/>
        <v>ViggoSchei</v>
      </c>
      <c r="F91" s="192">
        <f>YEAR(I$5)-_xlfn.XLOOKUP(E91,Deltakerliste!E$5:E$98,Deltakerliste!I$5:I$98)</f>
        <v>75</v>
      </c>
      <c r="G91" s="192">
        <f>_xlfn.XLOOKUP(E91,Deltakerliste!E$5:E$98,Deltakerliste!H$5:H$98)</f>
        <v>2</v>
      </c>
      <c r="H91" s="592">
        <f>VLOOKUP(F91,Deltakerliste!P$6:T$84,G91,FALSE)</f>
        <v>1.605</v>
      </c>
      <c r="I91" s="18"/>
      <c r="J91" s="132"/>
      <c r="K91" s="18"/>
      <c r="L91" s="600"/>
      <c r="M91" s="594"/>
      <c r="N91" s="724"/>
      <c r="O91" s="596"/>
    </row>
    <row r="92" spans="2:15" ht="21" thickBot="1" x14ac:dyDescent="0.3">
      <c r="B92" s="16">
        <f t="shared" si="7"/>
        <v>83</v>
      </c>
      <c r="C92" s="193" t="s">
        <v>149</v>
      </c>
      <c r="D92" s="108" t="s">
        <v>150</v>
      </c>
      <c r="E92" s="599" t="str">
        <f t="shared" si="8"/>
        <v>BenteSkorge</v>
      </c>
      <c r="F92" s="192">
        <f>YEAR(I$5)-_xlfn.XLOOKUP(E92,Deltakerliste!E$5:E$98,Deltakerliste!I$5:I$98)</f>
        <v>67</v>
      </c>
      <c r="G92" s="192">
        <f>_xlfn.XLOOKUP(E92,Deltakerliste!E$5:E$98,Deltakerliste!H$5:H$98)</f>
        <v>4</v>
      </c>
      <c r="H92" s="592">
        <f>VLOOKUP(F92,Deltakerliste!P$6:T$84,G92,FALSE)</f>
        <v>1.8422000000000009</v>
      </c>
      <c r="I92" s="132"/>
      <c r="J92" s="132"/>
      <c r="K92" s="18"/>
      <c r="L92" s="600"/>
      <c r="M92" s="594"/>
      <c r="N92" s="724"/>
      <c r="O92" s="596"/>
    </row>
    <row r="93" spans="2:15" ht="21" thickBot="1" x14ac:dyDescent="0.3">
      <c r="B93" s="16">
        <f t="shared" si="7"/>
        <v>84</v>
      </c>
      <c r="C93" s="193" t="s">
        <v>153</v>
      </c>
      <c r="D93" s="108" t="s">
        <v>154</v>
      </c>
      <c r="E93" s="599" t="str">
        <f t="shared" si="8"/>
        <v>ReidunSmaavik</v>
      </c>
      <c r="F93" s="192">
        <f>YEAR(I$5)-_xlfn.XLOOKUP(E93,Deltakerliste!E$5:E$98,Deltakerliste!I$5:I$98)</f>
        <v>71</v>
      </c>
      <c r="G93" s="192">
        <f>_xlfn.XLOOKUP(E93,Deltakerliste!E$5:E$98,Deltakerliste!H$5:H$98)</f>
        <v>4</v>
      </c>
      <c r="H93" s="592">
        <f>VLOOKUP(F93,Deltakerliste!P$6:T$84,G93,FALSE)</f>
        <v>1.9926000000000013</v>
      </c>
      <c r="I93" s="132"/>
      <c r="J93" s="18"/>
      <c r="K93" s="18"/>
      <c r="L93" s="600"/>
      <c r="M93" s="594"/>
      <c r="N93" s="724"/>
      <c r="O93" s="596"/>
    </row>
    <row r="94" spans="2:15" ht="21" thickBot="1" x14ac:dyDescent="0.3">
      <c r="B94" s="16">
        <f t="shared" si="7"/>
        <v>85</v>
      </c>
      <c r="C94" s="193" t="s">
        <v>155</v>
      </c>
      <c r="D94" s="108" t="s">
        <v>156</v>
      </c>
      <c r="E94" s="599" t="str">
        <f t="shared" si="8"/>
        <v>KjellrunSporild</v>
      </c>
      <c r="F94" s="192">
        <f>YEAR(I$5)-_xlfn.XLOOKUP(E94,Deltakerliste!E$5:E$98,Deltakerliste!I$5:I$98)</f>
        <v>71</v>
      </c>
      <c r="G94" s="192">
        <f>_xlfn.XLOOKUP(E94,Deltakerliste!E$5:E$98,Deltakerliste!H$5:H$98)</f>
        <v>4</v>
      </c>
      <c r="H94" s="592">
        <f>VLOOKUP(F94,Deltakerliste!P$6:T$84,G94,FALSE)</f>
        <v>1.9926000000000013</v>
      </c>
      <c r="I94" s="18"/>
      <c r="J94" s="132"/>
      <c r="K94" s="18"/>
      <c r="L94" s="600"/>
      <c r="M94" s="594"/>
      <c r="N94" s="724"/>
      <c r="O94" s="596"/>
    </row>
    <row r="95" spans="2:15" ht="21" thickBot="1" x14ac:dyDescent="0.3">
      <c r="B95" s="16">
        <f t="shared" si="7"/>
        <v>86</v>
      </c>
      <c r="C95" s="193" t="s">
        <v>232</v>
      </c>
      <c r="D95" s="133" t="s">
        <v>231</v>
      </c>
      <c r="E95" s="599" t="str">
        <f t="shared" si="8"/>
        <v>BeritSunnset</v>
      </c>
      <c r="F95" s="192">
        <f>YEAR(I$5)-_xlfn.XLOOKUP(E95,Deltakerliste!E$5:E$98,Deltakerliste!I$5:I$98)</f>
        <v>63</v>
      </c>
      <c r="G95" s="192">
        <f>_xlfn.XLOOKUP(E95,Deltakerliste!E$5:E$98,Deltakerliste!H$5:H$98)</f>
        <v>4</v>
      </c>
      <c r="H95" s="592">
        <f>VLOOKUP(F95,Deltakerliste!P$6:T$84,G95,FALSE)</f>
        <v>1.7126000000000006</v>
      </c>
      <c r="I95" s="18"/>
      <c r="J95" s="18"/>
      <c r="K95" s="18"/>
      <c r="L95" s="600"/>
      <c r="M95" s="594"/>
      <c r="N95" s="724"/>
      <c r="O95" s="596"/>
    </row>
    <row r="96" spans="2:15" ht="21" thickBot="1" x14ac:dyDescent="0.3">
      <c r="B96" s="16">
        <f t="shared" si="7"/>
        <v>87</v>
      </c>
      <c r="C96" s="193" t="s">
        <v>230</v>
      </c>
      <c r="D96" s="108" t="s">
        <v>231</v>
      </c>
      <c r="E96" s="599" t="str">
        <f t="shared" si="8"/>
        <v>TrineSunnset</v>
      </c>
      <c r="F96" s="192">
        <f>YEAR(I$5)-_xlfn.XLOOKUP(E96,Deltakerliste!E$5:E$98,Deltakerliste!I$5:I$98)</f>
        <v>63</v>
      </c>
      <c r="G96" s="192">
        <f>_xlfn.XLOOKUP(E96,Deltakerliste!E$5:E$98,Deltakerliste!H$5:H$98)</f>
        <v>4</v>
      </c>
      <c r="H96" s="592">
        <f>VLOOKUP(F96,Deltakerliste!P$6:T$84,G96,FALSE)</f>
        <v>1.7126000000000006</v>
      </c>
      <c r="I96" s="18"/>
      <c r="J96" s="18"/>
      <c r="K96" s="18"/>
      <c r="L96" s="600"/>
      <c r="M96" s="594"/>
      <c r="N96" s="724"/>
      <c r="O96" s="596"/>
    </row>
    <row r="97" spans="2:15" ht="21" thickBot="1" x14ac:dyDescent="0.3">
      <c r="B97" s="16">
        <f t="shared" si="7"/>
        <v>88</v>
      </c>
      <c r="C97" s="193" t="s">
        <v>166</v>
      </c>
      <c r="D97" s="108" t="s">
        <v>167</v>
      </c>
      <c r="E97" s="599" t="str">
        <f t="shared" si="8"/>
        <v>GunnarØsterbø</v>
      </c>
      <c r="F97" s="192">
        <f>YEAR(I$5)-_xlfn.XLOOKUP(E97,Deltakerliste!E$5:E$98,Deltakerliste!I$5:I$98)</f>
        <v>87</v>
      </c>
      <c r="G97" s="192">
        <f>_xlfn.XLOOKUP(E97,Deltakerliste!E$5:E$98,Deltakerliste!H$5:H$98)</f>
        <v>2</v>
      </c>
      <c r="H97" s="592">
        <f>VLOOKUP(F97,Deltakerliste!P$6:T$84,G97,FALSE)</f>
        <v>2.3929999999999998</v>
      </c>
      <c r="I97" s="18"/>
      <c r="J97" s="132"/>
      <c r="K97" s="18"/>
      <c r="L97" s="725"/>
      <c r="M97" s="717"/>
      <c r="N97" s="726"/>
      <c r="O97" s="719"/>
    </row>
    <row r="100" spans="2:15" ht="17" thickBot="1" x14ac:dyDescent="0.25"/>
    <row r="101" spans="2:15" ht="21" thickTop="1" thickBot="1" x14ac:dyDescent="0.3">
      <c r="D101" s="646" t="s">
        <v>288</v>
      </c>
      <c r="E101" s="647"/>
      <c r="F101" s="666"/>
      <c r="G101" s="666"/>
      <c r="H101" s="666"/>
      <c r="I101" s="648" t="s">
        <v>195</v>
      </c>
      <c r="J101" s="648" t="s">
        <v>196</v>
      </c>
      <c r="K101" s="649" t="s">
        <v>197</v>
      </c>
    </row>
    <row r="102" spans="2:15" ht="20" x14ac:dyDescent="0.25">
      <c r="D102" s="634" t="s">
        <v>172</v>
      </c>
      <c r="E102" s="320"/>
      <c r="F102" s="208"/>
      <c r="G102" s="208"/>
      <c r="H102" s="208"/>
      <c r="I102" s="635">
        <f>COUNT(I10:I98)+COUNTIF(I10:I98,"Brutt")+COUNTIF(I10:I98,"Disk")+COUNTIF(I10:I98,"(*)")</f>
        <v>22</v>
      </c>
      <c r="J102" s="635">
        <f>COUNT(J10:J98)+COUNTIF(J10:J98,"Brutt")+COUNTIF(J10:J98,"Disk")+COUNTIF(J10:J98,"(*)")</f>
        <v>24</v>
      </c>
      <c r="K102" s="636">
        <f>I102+J102</f>
        <v>46</v>
      </c>
    </row>
    <row r="103" spans="2:15" ht="19" x14ac:dyDescent="0.25">
      <c r="D103" s="637" t="s">
        <v>174</v>
      </c>
      <c r="E103" s="320"/>
      <c r="F103" s="208"/>
      <c r="G103" s="208"/>
      <c r="H103" s="208"/>
      <c r="I103" s="635">
        <f>COUNT(I10:I98)</f>
        <v>19</v>
      </c>
      <c r="J103" s="635">
        <f>COUNT(J10:J98)</f>
        <v>22</v>
      </c>
      <c r="K103" s="636">
        <f t="shared" ref="K103" si="9">I103+J103</f>
        <v>41</v>
      </c>
    </row>
    <row r="104" spans="2:15" ht="19" x14ac:dyDescent="0.25">
      <c r="D104" s="637" t="s">
        <v>173</v>
      </c>
      <c r="E104" s="320"/>
      <c r="F104" s="208"/>
      <c r="G104" s="208"/>
      <c r="H104" s="208"/>
      <c r="I104" s="208"/>
      <c r="J104" s="208"/>
      <c r="K104" s="636">
        <f>K102+COUNTIF(L10:L98,"Arr")+COUNTIF(L10:L98,"Løype")</f>
        <v>48</v>
      </c>
    </row>
    <row r="105" spans="2:15" ht="19" x14ac:dyDescent="0.25">
      <c r="D105" s="637" t="s">
        <v>341</v>
      </c>
      <c r="E105" s="320"/>
      <c r="F105" s="208"/>
      <c r="G105" s="208"/>
      <c r="H105" s="208"/>
      <c r="I105" s="208"/>
      <c r="J105" s="208"/>
      <c r="K105" s="638">
        <f>IF(SUM(L10:L98)=0," ",AVERAGEIF(M10:M98,"&gt;0",F10:F98))</f>
        <v>76.270833333333329</v>
      </c>
    </row>
    <row r="106" spans="2:15" ht="19" x14ac:dyDescent="0.25">
      <c r="D106" s="637" t="s">
        <v>296</v>
      </c>
      <c r="E106" s="320"/>
      <c r="F106" s="208"/>
      <c r="G106" s="208"/>
      <c r="H106" s="208"/>
      <c r="I106" s="208"/>
      <c r="J106" s="208"/>
      <c r="K106" s="638">
        <f>AVERAGE(I8:J8)</f>
        <v>2.5</v>
      </c>
    </row>
    <row r="107" spans="2:15" ht="19" x14ac:dyDescent="0.25">
      <c r="D107" s="637" t="s">
        <v>176</v>
      </c>
      <c r="E107" s="320"/>
      <c r="F107" s="208"/>
      <c r="G107" s="208"/>
      <c r="H107" s="208"/>
      <c r="I107" s="112">
        <f>I8*I103</f>
        <v>34.200000000000003</v>
      </c>
      <c r="J107" s="112">
        <f>J8*J103</f>
        <v>70.400000000000006</v>
      </c>
      <c r="K107" s="638">
        <f>I107+J107</f>
        <v>104.60000000000001</v>
      </c>
    </row>
    <row r="108" spans="2:15" ht="19" x14ac:dyDescent="0.25">
      <c r="D108" s="639" t="s">
        <v>286</v>
      </c>
      <c r="E108" s="320"/>
      <c r="F108" s="208"/>
      <c r="G108" s="208"/>
      <c r="H108" s="208"/>
      <c r="I108" s="103">
        <f>IF(SUM(I10:I98)=0," ",AVERAGE(I10:I98))</f>
        <v>2.870857699805068E-2</v>
      </c>
      <c r="J108" s="103">
        <f>IF(SUM(J10:J98)=0," ",AVERAGE(J10:J98))</f>
        <v>3.1874473905723906E-2</v>
      </c>
      <c r="K108" s="640">
        <f>IF(SUM(I10:J98)=0," ",AVERAGE(I10:J98))</f>
        <v>3.0407350948509493E-2</v>
      </c>
    </row>
    <row r="109" spans="2:15" ht="20" thickBot="1" x14ac:dyDescent="0.3">
      <c r="D109" s="641" t="s">
        <v>287</v>
      </c>
      <c r="E109" s="642"/>
      <c r="F109" s="644"/>
      <c r="G109" s="644"/>
      <c r="H109" s="644"/>
      <c r="I109" s="643"/>
      <c r="J109" s="644"/>
      <c r="K109" s="645">
        <f>MIN(L10:L98)</f>
        <v>7.2301793981481479E-3</v>
      </c>
    </row>
    <row r="110" spans="2:15" ht="17" thickTop="1" x14ac:dyDescent="0.2"/>
  </sheetData>
  <autoFilter ref="C9:O97" xr:uid="{C879CAE5-A6B4-9F45-B4EB-64F43160F1DE}">
    <sortState xmlns:xlrd2="http://schemas.microsoft.com/office/spreadsheetml/2017/richdata2" ref="C10:O97">
      <sortCondition ref="L9:L97"/>
    </sortState>
  </autoFilter>
  <mergeCells count="3">
    <mergeCell ref="W7:X7"/>
    <mergeCell ref="S8:U8"/>
    <mergeCell ref="W8:X8"/>
  </mergeCells>
  <pageMargins left="0.7" right="0.7" top="0.75" bottom="0.75" header="0.3" footer="0.3"/>
  <pageSetup paperSize="9" orientation="portrait" horizontalDpi="0" verticalDpi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F8F78-F20C-F84B-ACF5-922F0E0F3488}">
  <dimension ref="B1:AC110"/>
  <sheetViews>
    <sheetView topLeftCell="A65" workbookViewId="0">
      <selection activeCell="W46" sqref="W46"/>
    </sheetView>
  </sheetViews>
  <sheetFormatPr baseColWidth="10" defaultColWidth="10.83203125" defaultRowHeight="16" x14ac:dyDescent="0.2"/>
  <cols>
    <col min="3" max="3" width="14.5" customWidth="1"/>
    <col min="4" max="4" width="20.1640625" customWidth="1"/>
    <col min="5" max="5" width="20.1640625" hidden="1" customWidth="1"/>
    <col min="6" max="6" width="14.5" style="15" customWidth="1"/>
    <col min="7" max="7" width="14.5" style="15" hidden="1" customWidth="1"/>
    <col min="8" max="8" width="14" style="15" customWidth="1"/>
    <col min="9" max="10" width="19.1640625" style="15" customWidth="1"/>
    <col min="11" max="11" width="17.6640625" style="15" customWidth="1"/>
    <col min="12" max="12" width="10.83203125" style="15"/>
    <col min="14" max="14" width="10.83203125" style="15"/>
    <col min="18" max="18" width="12.5" customWidth="1"/>
    <col min="19" max="19" width="13.5" customWidth="1"/>
    <col min="22" max="22" width="1.83203125" customWidth="1"/>
    <col min="23" max="23" width="15.83203125" customWidth="1"/>
    <col min="24" max="24" width="11" customWidth="1"/>
  </cols>
  <sheetData>
    <row r="1" spans="2:29" ht="8" customHeight="1" x14ac:dyDescent="0.2"/>
    <row r="2" spans="2:29" ht="8" customHeight="1" x14ac:dyDescent="0.2"/>
    <row r="5" spans="2:29" ht="26" x14ac:dyDescent="0.3">
      <c r="B5" s="21" t="s">
        <v>334</v>
      </c>
      <c r="C5" s="245" t="s">
        <v>416</v>
      </c>
      <c r="F5" s="667"/>
      <c r="G5" s="667"/>
      <c r="H5" s="671" t="s">
        <v>189</v>
      </c>
      <c r="I5" s="670">
        <f>'Løp 25'!I5+7</f>
        <v>46112</v>
      </c>
    </row>
    <row r="6" spans="2:29" ht="17" thickBot="1" x14ac:dyDescent="0.25">
      <c r="B6" s="15"/>
    </row>
    <row r="7" spans="2:29" ht="59" customHeight="1" thickBot="1" x14ac:dyDescent="0.35">
      <c r="B7" s="12" t="s">
        <v>194</v>
      </c>
      <c r="C7" s="662" t="s">
        <v>57</v>
      </c>
      <c r="D7" s="391" t="s">
        <v>58</v>
      </c>
      <c r="E7" s="663"/>
      <c r="F7" s="663" t="s">
        <v>234</v>
      </c>
      <c r="G7" s="391" t="s">
        <v>280</v>
      </c>
      <c r="H7" s="391" t="s">
        <v>235</v>
      </c>
      <c r="I7" s="391" t="s">
        <v>302</v>
      </c>
      <c r="J7" s="391" t="s">
        <v>303</v>
      </c>
      <c r="K7" s="391" t="s">
        <v>192</v>
      </c>
      <c r="L7" s="194" t="s">
        <v>209</v>
      </c>
      <c r="M7" s="392" t="s">
        <v>55</v>
      </c>
      <c r="N7" s="393" t="s">
        <v>242</v>
      </c>
      <c r="O7" s="393" t="s">
        <v>240</v>
      </c>
      <c r="Q7" s="319"/>
      <c r="R7" s="319"/>
      <c r="S7" s="755" t="str">
        <f>B5</f>
        <v>Løp 26</v>
      </c>
      <c r="T7" s="754" t="str">
        <f>C5</f>
        <v>Sommerseter</v>
      </c>
      <c r="U7" s="730"/>
      <c r="V7" s="730"/>
      <c r="W7" s="941"/>
      <c r="X7" s="941"/>
    </row>
    <row r="8" spans="2:29" ht="23" customHeight="1" thickTop="1" thickBot="1" x14ac:dyDescent="0.35">
      <c r="B8" s="22"/>
      <c r="C8" s="394"/>
      <c r="D8" s="395"/>
      <c r="E8" s="597"/>
      <c r="F8" s="668"/>
      <c r="G8" s="668"/>
      <c r="H8" s="664"/>
      <c r="I8" s="789">
        <v>2.6</v>
      </c>
      <c r="J8" s="789">
        <v>3.4</v>
      </c>
      <c r="K8" s="391"/>
      <c r="N8" s="720"/>
      <c r="O8" s="390"/>
      <c r="S8" s="942" t="s">
        <v>312</v>
      </c>
      <c r="T8" s="943"/>
      <c r="U8" s="944"/>
      <c r="V8" s="779"/>
      <c r="W8" s="945" t="s">
        <v>313</v>
      </c>
      <c r="X8" s="940"/>
      <c r="AB8" s="836" t="s">
        <v>361</v>
      </c>
      <c r="AC8" s="827"/>
    </row>
    <row r="9" spans="2:29" ht="21" thickBot="1" x14ac:dyDescent="0.3">
      <c r="B9" s="22"/>
      <c r="C9" s="109"/>
      <c r="D9" s="105"/>
      <c r="E9" s="598"/>
      <c r="F9" s="669"/>
      <c r="G9" s="669"/>
      <c r="H9" s="665"/>
      <c r="I9" s="12"/>
      <c r="J9" s="12"/>
      <c r="K9" s="12"/>
      <c r="N9" s="722"/>
      <c r="O9" s="200"/>
      <c r="Q9" s="110"/>
      <c r="S9" s="731"/>
      <c r="T9" s="727" t="s">
        <v>311</v>
      </c>
      <c r="U9" s="750" t="s">
        <v>55</v>
      </c>
      <c r="V9" s="780"/>
      <c r="W9" s="774"/>
      <c r="X9" s="732" t="s">
        <v>55</v>
      </c>
      <c r="AB9" s="834" t="s">
        <v>234</v>
      </c>
      <c r="AC9" s="835" t="s">
        <v>362</v>
      </c>
    </row>
    <row r="10" spans="2:29" ht="21" thickBot="1" x14ac:dyDescent="0.3">
      <c r="B10" s="16">
        <f t="shared" ref="B10:B74" si="0">B9+1</f>
        <v>1</v>
      </c>
      <c r="C10" s="106" t="s">
        <v>78</v>
      </c>
      <c r="D10" s="107" t="s">
        <v>79</v>
      </c>
      <c r="E10" s="599" t="str">
        <f t="shared" ref="E10:E41" si="1">_xlfn.CONCAT(C10:D10)</f>
        <v>LeifEngen</v>
      </c>
      <c r="F10" s="192">
        <f>YEAR(I$5)-_xlfn.XLOOKUP(E10,Deltakerliste!E$5:E$98,Deltakerliste!I$5:I$98)</f>
        <v>85</v>
      </c>
      <c r="G10" s="192">
        <f>_xlfn.XLOOKUP(E10,Deltakerliste!E$5:E$98,Deltakerliste!H$5:H$98)</f>
        <v>2</v>
      </c>
      <c r="H10" s="592">
        <f>VLOOKUP(F10,Deltakerliste!P$6:T$84,G10,FALSE)</f>
        <v>2.2249999999999996</v>
      </c>
      <c r="I10" s="86">
        <v>2.6458333333333334E-2</v>
      </c>
      <c r="J10" s="86"/>
      <c r="K10" s="13"/>
      <c r="L10" s="600">
        <f t="shared" ref="L10:L43" si="2">IF(OR(I10="Arr",J10="Arr",K10="Arr"),"Arr",IF(OR(I10="Brutt",J10="Brutt",K10="Brutt"),"Brutt",IF(OR(I10="Disk",J10="Disk",K10="Disk"),"Disk",IF(OR(I10="Løype",J10="Løype",K10="Løype"),"Løype",IF(I10&gt;0,I10/I$8,J10/J$8)))))</f>
        <v>1.0176282051282052E-2</v>
      </c>
      <c r="M10" s="594">
        <f>IF(L10="Løype",Poengsammendrag!$F$2,IF(L10="Arr",Poengsammendrag!$F$3,IF(L10="Brutt",50,IF(L10="Disk",50,ROUND(MAXA(100*(MIN(L$10:L$96)/L10),50),0)))))</f>
        <v>70</v>
      </c>
      <c r="N10" s="724">
        <f t="shared" ref="N10:N43" si="3">IF(L10="Arr","Arr",IF(L10="Brutt","Brutt",IF(L10="Disk","Disk",IF(L10="Løype","Løype",L10/H10))))</f>
        <v>4.5736099106885629E-3</v>
      </c>
      <c r="O10" s="596">
        <f>IF(N10="Løype",Poengsammendrag!$F$2,IF(N10="Arr",Poengsammendrag!$F$3,IF(N10="Brutt",50,IF(N10="Disk",50,ROUND(MAXA(100*(MIN(N$10:N$96)/N10),50),0)))))</f>
        <v>100</v>
      </c>
      <c r="Q10" s="672"/>
      <c r="R10" s="672"/>
      <c r="S10" s="802" t="s">
        <v>385</v>
      </c>
      <c r="T10" s="734">
        <v>7.080610021786493E-3</v>
      </c>
      <c r="U10" s="751">
        <v>100</v>
      </c>
      <c r="V10" s="781"/>
      <c r="W10" s="775" t="s">
        <v>338</v>
      </c>
      <c r="X10" s="739">
        <v>100</v>
      </c>
      <c r="AB10" s="832">
        <v>55</v>
      </c>
      <c r="AC10" s="833">
        <f t="shared" ref="AC10:AC50" si="4">COUNTIFS(F$10:F$99,AB10,M$10:M$99,"&gt;0")</f>
        <v>0</v>
      </c>
    </row>
    <row r="11" spans="2:29" ht="21" customHeight="1" thickBot="1" x14ac:dyDescent="0.3">
      <c r="B11" s="16">
        <f>B10+1</f>
        <v>2</v>
      </c>
      <c r="C11" s="106" t="s">
        <v>136</v>
      </c>
      <c r="D11" s="107" t="s">
        <v>137</v>
      </c>
      <c r="E11" s="599" t="str">
        <f t="shared" si="1"/>
        <v>HaraldOftedal</v>
      </c>
      <c r="F11" s="192">
        <f>YEAR(I$5)-_xlfn.XLOOKUP(E11,Deltakerliste!E$5:E$98,Deltakerliste!I$5:I$98)</f>
        <v>74</v>
      </c>
      <c r="G11" s="192">
        <f>_xlfn.XLOOKUP(E11,Deltakerliste!E$5:E$98,Deltakerliste!H$5:H$98)</f>
        <v>2</v>
      </c>
      <c r="H11" s="592">
        <f>VLOOKUP(F11,Deltakerliste!P$6:T$84,G11,FALSE)</f>
        <v>1.569</v>
      </c>
      <c r="I11" s="132"/>
      <c r="J11" s="132">
        <v>2.6851851851851852E-2</v>
      </c>
      <c r="K11" s="134"/>
      <c r="L11" s="600">
        <f t="shared" si="2"/>
        <v>7.8976034858387802E-3</v>
      </c>
      <c r="M11" s="594">
        <f>IF(L11="Løype",Poengsammendrag!$F$2,IF(L11="Arr",Poengsammendrag!$F$3,IF(L11="Brutt",50,IF(L11="Disk",50,ROUND(MAXA(100*(MIN(L$10:L$96)/L11),50),0)))))</f>
        <v>90</v>
      </c>
      <c r="N11" s="724">
        <f t="shared" si="3"/>
        <v>5.0335267596168139E-3</v>
      </c>
      <c r="O11" s="596">
        <f>IF(N11="Løype",Poengsammendrag!$F$2,IF(N11="Arr",Poengsammendrag!$F$3,IF(N11="Brutt",50,IF(N11="Disk",50,ROUND(MAXA(100*(MIN(N$10:N$96)/N11),50),0)))))</f>
        <v>91</v>
      </c>
      <c r="Q11" s="672"/>
      <c r="R11" s="672"/>
      <c r="S11" s="803" t="s">
        <v>136</v>
      </c>
      <c r="T11" s="736">
        <v>7.8976034858387802E-3</v>
      </c>
      <c r="U11" s="752">
        <v>90</v>
      </c>
      <c r="V11" s="781"/>
      <c r="W11" s="776" t="s">
        <v>136</v>
      </c>
      <c r="X11" s="740">
        <v>91</v>
      </c>
      <c r="AB11" s="828">
        <f>AB10+1</f>
        <v>56</v>
      </c>
      <c r="AC11" s="829">
        <f t="shared" si="4"/>
        <v>0</v>
      </c>
    </row>
    <row r="12" spans="2:29" ht="21" customHeight="1" thickBot="1" x14ac:dyDescent="0.3">
      <c r="B12" s="16">
        <f>B11+1</f>
        <v>3</v>
      </c>
      <c r="C12" s="106" t="s">
        <v>149</v>
      </c>
      <c r="D12" s="107" t="s">
        <v>150</v>
      </c>
      <c r="E12" s="599" t="str">
        <f t="shared" si="1"/>
        <v>BenteSkorge</v>
      </c>
      <c r="F12" s="192">
        <f>YEAR(I$5)-_xlfn.XLOOKUP(E12,Deltakerliste!E$5:E$98,Deltakerliste!I$5:I$98)</f>
        <v>67</v>
      </c>
      <c r="G12" s="192">
        <f>_xlfn.XLOOKUP(E12,Deltakerliste!E$5:E$98,Deltakerliste!H$5:H$98)</f>
        <v>4</v>
      </c>
      <c r="H12" s="592">
        <f>VLOOKUP(F12,Deltakerliste!P$6:T$84,G12,FALSE)</f>
        <v>1.8422000000000009</v>
      </c>
      <c r="I12" s="132"/>
      <c r="J12" s="132">
        <v>3.2488425925925928E-2</v>
      </c>
      <c r="K12" s="18"/>
      <c r="L12" s="600">
        <f t="shared" si="2"/>
        <v>9.5554193899782137E-3</v>
      </c>
      <c r="M12" s="594">
        <f>IF(L12="Løype",Poengsammendrag!$F$2,IF(L12="Arr",Poengsammendrag!$F$3,IF(L12="Brutt",50,IF(L12="Disk",50,ROUND(MAXA(100*(MIN(L$10:L$96)/L12),50),0)))))</f>
        <v>74</v>
      </c>
      <c r="N12" s="724">
        <f t="shared" si="3"/>
        <v>5.1869609108556123E-3</v>
      </c>
      <c r="O12" s="596">
        <f>IF(N12="Løype",Poengsammendrag!$F$2,IF(N12="Arr",Poengsammendrag!$F$3,IF(N12="Brutt",50,IF(N12="Disk",50,ROUND(MAXA(100*(MIN(N$10:N$96)/N12),50),0)))))</f>
        <v>88</v>
      </c>
      <c r="Q12" s="672"/>
      <c r="R12" s="672"/>
      <c r="S12" s="803" t="s">
        <v>99</v>
      </c>
      <c r="T12" s="736">
        <v>8.2516339869281047E-3</v>
      </c>
      <c r="U12" s="752">
        <v>86</v>
      </c>
      <c r="V12" s="781"/>
      <c r="W12" s="776" t="s">
        <v>149</v>
      </c>
      <c r="X12" s="740">
        <v>88</v>
      </c>
      <c r="AB12" s="828">
        <f t="shared" ref="AB12:AB50" si="5">AB11+1</f>
        <v>57</v>
      </c>
      <c r="AC12" s="829">
        <f t="shared" si="4"/>
        <v>0</v>
      </c>
    </row>
    <row r="13" spans="2:29" ht="21" customHeight="1" thickBot="1" x14ac:dyDescent="0.3">
      <c r="B13" s="16">
        <f t="shared" si="0"/>
        <v>4</v>
      </c>
      <c r="C13" s="106" t="s">
        <v>114</v>
      </c>
      <c r="D13" s="107" t="s">
        <v>115</v>
      </c>
      <c r="E13" s="599" t="str">
        <f t="shared" si="1"/>
        <v>MagnusLandstad</v>
      </c>
      <c r="F13" s="192">
        <f>YEAR(I$5)-_xlfn.XLOOKUP(E13,Deltakerliste!E$5:E$98,Deltakerliste!I$5:I$98)</f>
        <v>83</v>
      </c>
      <c r="G13" s="192">
        <f>_xlfn.XLOOKUP(E13,Deltakerliste!E$5:E$98,Deltakerliste!H$5:H$98)</f>
        <v>2</v>
      </c>
      <c r="H13" s="592">
        <f>VLOOKUP(F13,Deltakerliste!P$6:T$84,G13,FALSE)</f>
        <v>2.077</v>
      </c>
      <c r="I13" s="86"/>
      <c r="J13" s="86">
        <v>3.7465277777777778E-2</v>
      </c>
      <c r="K13" s="13"/>
      <c r="L13" s="600">
        <f t="shared" si="2"/>
        <v>1.101919934640523E-2</v>
      </c>
      <c r="M13" s="594">
        <f>IF(L13="Løype",Poengsammendrag!$F$2,IF(L13="Arr",Poengsammendrag!$F$3,IF(L13="Brutt",50,IF(L13="Disk",50,ROUND(MAXA(100*(MIN(L$10:L$96)/L13),50),0)))))</f>
        <v>64</v>
      </c>
      <c r="N13" s="724">
        <f t="shared" si="3"/>
        <v>5.3053439318272652E-3</v>
      </c>
      <c r="O13" s="596">
        <f>IF(N13="Løype",Poengsammendrag!$F$2,IF(N13="Arr",Poengsammendrag!$F$3,IF(N13="Brutt",50,IF(N13="Disk",50,ROUND(MAXA(100*(MIN(N$10:N$96)/N13),50),0)))))</f>
        <v>86</v>
      </c>
      <c r="Q13" s="672"/>
      <c r="R13" s="672"/>
      <c r="S13" s="803" t="s">
        <v>345</v>
      </c>
      <c r="T13" s="736">
        <v>8.3605664488017439E-3</v>
      </c>
      <c r="U13" s="752">
        <v>85</v>
      </c>
      <c r="V13" s="781"/>
      <c r="W13" s="776" t="s">
        <v>114</v>
      </c>
      <c r="X13" s="740">
        <v>86</v>
      </c>
      <c r="AB13" s="828">
        <f t="shared" si="5"/>
        <v>58</v>
      </c>
      <c r="AC13" s="829">
        <f t="shared" si="4"/>
        <v>0</v>
      </c>
    </row>
    <row r="14" spans="2:29" ht="21" customHeight="1" thickBot="1" x14ac:dyDescent="0.3">
      <c r="B14" s="16">
        <f t="shared" si="0"/>
        <v>5</v>
      </c>
      <c r="C14" s="106" t="s">
        <v>116</v>
      </c>
      <c r="D14" s="107" t="s">
        <v>165</v>
      </c>
      <c r="E14" s="599" t="str">
        <f t="shared" si="1"/>
        <v>AndersWaage</v>
      </c>
      <c r="F14" s="192">
        <f>YEAR(I$5)-_xlfn.XLOOKUP(E14,Deltakerliste!E$5:E$98,Deltakerliste!I$5:I$98)</f>
        <v>78</v>
      </c>
      <c r="G14" s="192">
        <f>_xlfn.XLOOKUP(E14,Deltakerliste!E$5:E$98,Deltakerliste!H$5:H$98)</f>
        <v>2</v>
      </c>
      <c r="H14" s="592">
        <f>VLOOKUP(F14,Deltakerliste!P$6:T$84,G14,FALSE)</f>
        <v>1.7550000000000001</v>
      </c>
      <c r="I14" s="18"/>
      <c r="J14" s="132">
        <v>3.2384259259259258E-2</v>
      </c>
      <c r="K14" s="18"/>
      <c r="L14" s="600">
        <f t="shared" si="2"/>
        <v>9.524782135076253E-3</v>
      </c>
      <c r="M14" s="594">
        <f>IF(L14="Løype",Poengsammendrag!$F$2,IF(L14="Arr",Poengsammendrag!$F$3,IF(L14="Brutt",50,IF(L14="Disk",50,ROUND(MAXA(100*(MIN(L$10:L$96)/L14),50),0)))))</f>
        <v>74</v>
      </c>
      <c r="N14" s="724">
        <f t="shared" si="3"/>
        <v>5.4272262877927361E-3</v>
      </c>
      <c r="O14" s="596">
        <f>IF(N14="Løype",Poengsammendrag!$F$2,IF(N14="Arr",Poengsammendrag!$F$3,IF(N14="Brutt",50,IF(N14="Disk",50,ROUND(MAXA(100*(MIN(N$10:N$96)/N14),50),0)))))</f>
        <v>84</v>
      </c>
      <c r="Q14" s="672"/>
      <c r="R14" s="672"/>
      <c r="S14" s="803" t="s">
        <v>414</v>
      </c>
      <c r="T14" s="736">
        <v>8.5239651416122008E-3</v>
      </c>
      <c r="U14" s="752">
        <v>83</v>
      </c>
      <c r="V14" s="781"/>
      <c r="W14" s="776" t="s">
        <v>314</v>
      </c>
      <c r="X14" s="740">
        <v>84</v>
      </c>
      <c r="AB14" s="828">
        <f t="shared" si="5"/>
        <v>59</v>
      </c>
      <c r="AC14" s="829">
        <f t="shared" si="4"/>
        <v>0</v>
      </c>
    </row>
    <row r="15" spans="2:29" ht="21" customHeight="1" thickBot="1" x14ac:dyDescent="0.3">
      <c r="B15" s="16">
        <f t="shared" si="0"/>
        <v>6</v>
      </c>
      <c r="C15" s="106" t="s">
        <v>88</v>
      </c>
      <c r="D15" s="107" t="s">
        <v>89</v>
      </c>
      <c r="E15" s="599" t="str">
        <f t="shared" si="1"/>
        <v>EdgarFuruholt</v>
      </c>
      <c r="F15" s="192">
        <f>YEAR(I$5)-_xlfn.XLOOKUP(E15,Deltakerliste!E$5:E$98,Deltakerliste!I$5:I$98)</f>
        <v>79</v>
      </c>
      <c r="G15" s="192">
        <f>_xlfn.XLOOKUP(E15,Deltakerliste!E$5:E$98,Deltakerliste!H$5:H$98)</f>
        <v>2</v>
      </c>
      <c r="H15" s="592">
        <f>VLOOKUP(F15,Deltakerliste!P$6:T$84,G15,FALSE)</f>
        <v>1.8050000000000002</v>
      </c>
      <c r="I15" s="132"/>
      <c r="J15" s="132">
        <v>3.363425925925926E-2</v>
      </c>
      <c r="K15" s="18"/>
      <c r="L15" s="600">
        <f t="shared" si="2"/>
        <v>9.8924291938997828E-3</v>
      </c>
      <c r="M15" s="594">
        <f>IF(L15="Løype",Poengsammendrag!$F$2,IF(L15="Arr",Poengsammendrag!$F$3,IF(L15="Brutt",50,IF(L15="Disk",50,ROUND(MAXA(100*(MIN(L$10:L$96)/L15),50),0)))))</f>
        <v>72</v>
      </c>
      <c r="N15" s="724">
        <f t="shared" si="3"/>
        <v>5.4805701905261952E-3</v>
      </c>
      <c r="O15" s="596">
        <f>IF(N15="Løype",Poengsammendrag!$F$2,IF(N15="Arr",Poengsammendrag!$F$3,IF(N15="Brutt",50,IF(N15="Disk",50,ROUND(MAXA(100*(MIN(N$10:N$96)/N15),50),0)))))</f>
        <v>83</v>
      </c>
      <c r="Q15" s="672"/>
      <c r="R15" s="672"/>
      <c r="S15" s="803" t="s">
        <v>163</v>
      </c>
      <c r="T15" s="736">
        <v>9.1503267973856214E-3</v>
      </c>
      <c r="U15" s="752">
        <v>77</v>
      </c>
      <c r="V15" s="781"/>
      <c r="W15" s="776" t="s">
        <v>88</v>
      </c>
      <c r="X15" s="740">
        <v>83</v>
      </c>
      <c r="AB15" s="828">
        <f t="shared" si="5"/>
        <v>60</v>
      </c>
      <c r="AC15" s="829">
        <f t="shared" si="4"/>
        <v>0</v>
      </c>
    </row>
    <row r="16" spans="2:29" ht="21" customHeight="1" thickBot="1" x14ac:dyDescent="0.3">
      <c r="B16" s="16">
        <f t="shared" si="0"/>
        <v>7</v>
      </c>
      <c r="C16" s="106" t="s">
        <v>106</v>
      </c>
      <c r="D16" s="107" t="s">
        <v>107</v>
      </c>
      <c r="E16" s="599" t="str">
        <f t="shared" si="1"/>
        <v>Jon ArneKlemetsaune</v>
      </c>
      <c r="F16" s="192">
        <f>YEAR(I$5)-_xlfn.XLOOKUP(E16,Deltakerliste!E$5:E$98,Deltakerliste!I$5:I$98)</f>
        <v>77</v>
      </c>
      <c r="G16" s="192">
        <f>_xlfn.XLOOKUP(E16,Deltakerliste!E$5:E$98,Deltakerliste!H$5:H$98)</f>
        <v>2</v>
      </c>
      <c r="H16" s="592">
        <f>VLOOKUP(F16,Deltakerliste!P$6:T$84,G16,FALSE)</f>
        <v>1.7050000000000001</v>
      </c>
      <c r="I16" s="86"/>
      <c r="J16" s="86">
        <v>3.1875000000000001E-2</v>
      </c>
      <c r="K16" s="17"/>
      <c r="L16" s="600">
        <f t="shared" si="2"/>
        <v>9.3749999999999997E-3</v>
      </c>
      <c r="M16" s="594">
        <f>IF(L16="Løype",Poengsammendrag!$F$2,IF(L16="Arr",Poengsammendrag!$F$3,IF(L16="Brutt",50,IF(L16="Disk",50,ROUND(MAXA(100*(MIN(L$10:L$96)/L16),50),0)))))</f>
        <v>76</v>
      </c>
      <c r="N16" s="724">
        <f t="shared" si="3"/>
        <v>5.4985337243401754E-3</v>
      </c>
      <c r="O16" s="596">
        <f>IF(N16="Løype",Poengsammendrag!$F$2,IF(N16="Arr",Poengsammendrag!$F$3,IF(N16="Brutt",50,IF(N16="Disk",50,ROUND(MAXA(100*(MIN(N$10:N$96)/N16),50),0)))))</f>
        <v>83</v>
      </c>
      <c r="Q16" s="672"/>
      <c r="R16" s="672"/>
      <c r="S16" s="803" t="s">
        <v>106</v>
      </c>
      <c r="T16" s="736">
        <v>9.3749999999999997E-3</v>
      </c>
      <c r="U16" s="752">
        <v>76</v>
      </c>
      <c r="V16" s="781"/>
      <c r="W16" s="776" t="s">
        <v>106</v>
      </c>
      <c r="X16" s="740">
        <v>83</v>
      </c>
      <c r="AB16" s="828">
        <f t="shared" si="5"/>
        <v>61</v>
      </c>
      <c r="AC16" s="829">
        <f t="shared" si="4"/>
        <v>2</v>
      </c>
    </row>
    <row r="17" spans="2:29" ht="21" customHeight="1" thickBot="1" x14ac:dyDescent="0.3">
      <c r="B17" s="16">
        <f t="shared" si="0"/>
        <v>8</v>
      </c>
      <c r="C17" s="106" t="s">
        <v>159</v>
      </c>
      <c r="D17" s="107" t="s">
        <v>160</v>
      </c>
      <c r="E17" s="599" t="str">
        <f t="shared" si="1"/>
        <v>EigilSørli</v>
      </c>
      <c r="F17" s="192">
        <f>YEAR(I$5)-_xlfn.XLOOKUP(E17,Deltakerliste!E$5:E$98,Deltakerliste!I$5:I$98)</f>
        <v>86</v>
      </c>
      <c r="G17" s="192">
        <f>_xlfn.XLOOKUP(E17,Deltakerliste!E$5:E$98,Deltakerliste!H$5:H$98)</f>
        <v>2</v>
      </c>
      <c r="H17" s="592">
        <f>VLOOKUP(F17,Deltakerliste!P$6:T$84,G17,FALSE)</f>
        <v>2.3089999999999997</v>
      </c>
      <c r="I17" s="132">
        <v>3.4247685185185187E-2</v>
      </c>
      <c r="J17" s="18"/>
      <c r="K17" s="18"/>
      <c r="L17" s="600">
        <f t="shared" si="2"/>
        <v>1.3172186609686609E-2</v>
      </c>
      <c r="M17" s="594">
        <f>IF(L17="Løype",Poengsammendrag!$F$2,IF(L17="Arr",Poengsammendrag!$F$3,IF(L17="Brutt",50,IF(L17="Disk",50,ROUND(MAXA(100*(MIN(L$10:L$96)/L17),50),0)))))</f>
        <v>54</v>
      </c>
      <c r="N17" s="724">
        <f t="shared" si="3"/>
        <v>5.7047148591107023E-3</v>
      </c>
      <c r="O17" s="596">
        <f>IF(N17="Løype",Poengsammendrag!$F$2,IF(N17="Arr",Poengsammendrag!$F$3,IF(N17="Brutt",50,IF(N17="Disk",50,ROUND(MAXA(100*(MIN(N$10:N$96)/N17),50),0)))))</f>
        <v>80</v>
      </c>
      <c r="Q17" s="672"/>
      <c r="R17" s="672"/>
      <c r="S17" s="803" t="s">
        <v>314</v>
      </c>
      <c r="T17" s="736">
        <v>9.524782135076253E-3</v>
      </c>
      <c r="U17" s="752">
        <v>74</v>
      </c>
      <c r="V17" s="781"/>
      <c r="W17" s="776" t="s">
        <v>357</v>
      </c>
      <c r="X17" s="740">
        <v>80</v>
      </c>
      <c r="AB17" s="828">
        <f t="shared" si="5"/>
        <v>62</v>
      </c>
      <c r="AC17" s="829">
        <f t="shared" si="4"/>
        <v>0</v>
      </c>
    </row>
    <row r="18" spans="2:29" ht="21" customHeight="1" thickBot="1" x14ac:dyDescent="0.3">
      <c r="B18" s="16">
        <f t="shared" si="0"/>
        <v>9</v>
      </c>
      <c r="C18" s="106" t="s">
        <v>96</v>
      </c>
      <c r="D18" s="107" t="s">
        <v>97</v>
      </c>
      <c r="E18" s="599" t="str">
        <f t="shared" si="1"/>
        <v>StigHaugskott</v>
      </c>
      <c r="F18" s="192">
        <f>YEAR(I$5)-_xlfn.XLOOKUP(E18,Deltakerliste!E$5:E$98,Deltakerliste!I$5:I$98)</f>
        <v>87</v>
      </c>
      <c r="G18" s="192">
        <f>_xlfn.XLOOKUP(E18,Deltakerliste!E$5:E$98,Deltakerliste!H$5:H$98)</f>
        <v>2</v>
      </c>
      <c r="H18" s="592">
        <f>VLOOKUP(F18,Deltakerliste!P$6:T$84,G18,FALSE)</f>
        <v>2.3929999999999998</v>
      </c>
      <c r="I18" s="86">
        <v>3.6006944444444446E-2</v>
      </c>
      <c r="J18" s="86"/>
      <c r="K18" s="86"/>
      <c r="L18" s="600">
        <f t="shared" si="2"/>
        <v>1.3848824786324786E-2</v>
      </c>
      <c r="M18" s="594">
        <f>IF(L18="Løype",Poengsammendrag!$F$2,IF(L18="Arr",Poengsammendrag!$F$3,IF(L18="Brutt",50,IF(L18="Disk",50,ROUND(MAXA(100*(MIN(L$10:L$96)/L18),50),0)))))</f>
        <v>51</v>
      </c>
      <c r="N18" s="724">
        <f t="shared" si="3"/>
        <v>5.7872230615648923E-3</v>
      </c>
      <c r="O18" s="596">
        <f>IF(N18="Løype",Poengsammendrag!$F$2,IF(N18="Arr",Poengsammendrag!$F$3,IF(N18="Brutt",50,IF(N18="Disk",50,ROUND(MAXA(100*(MIN(N$10:N$96)/N18),50),0)))))</f>
        <v>79</v>
      </c>
      <c r="Q18" s="672"/>
      <c r="R18" s="672"/>
      <c r="S18" s="803" t="s">
        <v>149</v>
      </c>
      <c r="T18" s="736">
        <v>9.5554193899782137E-3</v>
      </c>
      <c r="U18" s="752">
        <v>74</v>
      </c>
      <c r="V18" s="781"/>
      <c r="W18" s="776" t="s">
        <v>96</v>
      </c>
      <c r="X18" s="740">
        <v>79</v>
      </c>
      <c r="AB18" s="828">
        <f t="shared" si="5"/>
        <v>63</v>
      </c>
      <c r="AC18" s="829">
        <f t="shared" si="4"/>
        <v>0</v>
      </c>
    </row>
    <row r="19" spans="2:29" ht="21" thickBot="1" x14ac:dyDescent="0.3">
      <c r="B19" s="16">
        <f t="shared" si="0"/>
        <v>10</v>
      </c>
      <c r="C19" s="106" t="s">
        <v>126</v>
      </c>
      <c r="D19" s="107" t="s">
        <v>383</v>
      </c>
      <c r="E19" s="599" t="str">
        <f t="shared" si="1"/>
        <v>ArneHelland</v>
      </c>
      <c r="F19" s="192">
        <f>YEAR(I$5)-_xlfn.XLOOKUP(E19,Deltakerliste!E$5:E$98,Deltakerliste!I$5:I$98)</f>
        <v>61</v>
      </c>
      <c r="G19" s="192">
        <f>_xlfn.XLOOKUP(E19,Deltakerliste!E$5:E$98,Deltakerliste!H$5:H$98)</f>
        <v>2</v>
      </c>
      <c r="H19" s="592">
        <f>VLOOKUP(F19,Deltakerliste!P$6:T$84,G19,FALSE)</f>
        <v>1.2190000000000001</v>
      </c>
      <c r="I19" s="86"/>
      <c r="J19" s="86">
        <v>2.4074074074074074E-2</v>
      </c>
      <c r="K19" s="17"/>
      <c r="L19" s="600">
        <f t="shared" si="2"/>
        <v>7.080610021786493E-3</v>
      </c>
      <c r="M19" s="594">
        <f>IF(L19="Løype",Poengsammendrag!$F$2,IF(L19="Arr",Poengsammendrag!$F$3,IF(L19="Brutt",50,IF(L19="Disk",50,ROUND(MAXA(100*(MIN(L$10:L$96)/L19),50),0)))))</f>
        <v>100</v>
      </c>
      <c r="N19" s="724">
        <f t="shared" si="3"/>
        <v>5.8085398045828488E-3</v>
      </c>
      <c r="O19" s="596">
        <f>IF(N19="Løype",Poengsammendrag!$F$2,IF(N19="Arr",Poengsammendrag!$F$3,IF(N19="Brutt",50,IF(N19="Disk",50,ROUND(MAXA(100*(MIN(N$10:N$96)/N19),50),0)))))</f>
        <v>79</v>
      </c>
      <c r="Q19" s="672"/>
      <c r="R19" s="672"/>
      <c r="S19" s="803" t="s">
        <v>413</v>
      </c>
      <c r="T19" s="736">
        <v>9.5826525054466226E-3</v>
      </c>
      <c r="U19" s="752">
        <v>74</v>
      </c>
      <c r="V19" s="781"/>
      <c r="W19" s="776" t="s">
        <v>385</v>
      </c>
      <c r="X19" s="740">
        <v>79</v>
      </c>
      <c r="AB19" s="828">
        <f t="shared" si="5"/>
        <v>64</v>
      </c>
      <c r="AC19" s="829">
        <f t="shared" si="4"/>
        <v>1</v>
      </c>
    </row>
    <row r="20" spans="2:29" ht="21" thickBot="1" x14ac:dyDescent="0.3">
      <c r="B20" s="16">
        <f t="shared" si="0"/>
        <v>11</v>
      </c>
      <c r="C20" s="106" t="s">
        <v>99</v>
      </c>
      <c r="D20" s="107" t="s">
        <v>100</v>
      </c>
      <c r="E20" s="599" t="str">
        <f t="shared" si="1"/>
        <v>RobertHirsch</v>
      </c>
      <c r="F20" s="192">
        <f>YEAR(I$5)-_xlfn.XLOOKUP(E20,Deltakerliste!E$5:E$98,Deltakerliste!I$5:I$98)</f>
        <v>69</v>
      </c>
      <c r="G20" s="192">
        <f>_xlfn.XLOOKUP(E20,Deltakerliste!E$5:E$98,Deltakerliste!H$5:H$98)</f>
        <v>2</v>
      </c>
      <c r="H20" s="592">
        <f>VLOOKUP(F20,Deltakerliste!P$6:T$84,G20,FALSE)</f>
        <v>1.3989999999999998</v>
      </c>
      <c r="I20" s="86"/>
      <c r="J20" s="86">
        <v>2.8055555555555556E-2</v>
      </c>
      <c r="K20" s="13"/>
      <c r="L20" s="600">
        <f t="shared" si="2"/>
        <v>8.2516339869281047E-3</v>
      </c>
      <c r="M20" s="594">
        <f>IF(L20="Løype",Poengsammendrag!$F$2,IF(L20="Arr",Poengsammendrag!$F$3,IF(L20="Brutt",50,IF(L20="Disk",50,ROUND(MAXA(100*(MIN(L$10:L$96)/L20),50),0)))))</f>
        <v>86</v>
      </c>
      <c r="N20" s="724">
        <f t="shared" si="3"/>
        <v>5.8982373030222347E-3</v>
      </c>
      <c r="O20" s="596">
        <f>IF(N20="Løype",Poengsammendrag!$F$2,IF(N20="Arr",Poengsammendrag!$F$3,IF(N20="Brutt",50,IF(N20="Disk",50,ROUND(MAXA(100*(MIN(N$10:N$96)/N20),50),0)))))</f>
        <v>78</v>
      </c>
      <c r="Q20" s="672"/>
      <c r="R20" s="672"/>
      <c r="S20" s="803" t="s">
        <v>68</v>
      </c>
      <c r="T20" s="736">
        <v>9.6439270152505457E-3</v>
      </c>
      <c r="U20" s="752">
        <v>73</v>
      </c>
      <c r="V20" s="781"/>
      <c r="W20" s="776" t="s">
        <v>99</v>
      </c>
      <c r="X20" s="740">
        <v>78</v>
      </c>
      <c r="AB20" s="828">
        <f t="shared" si="5"/>
        <v>65</v>
      </c>
      <c r="AC20" s="829">
        <f t="shared" si="4"/>
        <v>0</v>
      </c>
    </row>
    <row r="21" spans="2:29" ht="21" customHeight="1" thickBot="1" x14ac:dyDescent="0.3">
      <c r="B21" s="16">
        <f t="shared" si="0"/>
        <v>12</v>
      </c>
      <c r="C21" s="106" t="s">
        <v>170</v>
      </c>
      <c r="D21" s="107" t="s">
        <v>171</v>
      </c>
      <c r="E21" s="599" t="str">
        <f t="shared" si="1"/>
        <v>ØisteinÅsmul</v>
      </c>
      <c r="F21" s="192">
        <f>YEAR(I$5)-_xlfn.XLOOKUP(E21,Deltakerliste!E$5:E$98,Deltakerliste!I$5:I$98)</f>
        <v>81</v>
      </c>
      <c r="G21" s="192">
        <f>_xlfn.XLOOKUP(E21,Deltakerliste!E$5:E$98,Deltakerliste!H$5:H$98)</f>
        <v>2</v>
      </c>
      <c r="H21" s="592">
        <f>VLOOKUP(F21,Deltakerliste!P$6:T$84,G21,FALSE)</f>
        <v>1.9290000000000003</v>
      </c>
      <c r="I21" s="132">
        <v>2.9849537037037036E-2</v>
      </c>
      <c r="J21" s="132"/>
      <c r="K21" s="18"/>
      <c r="L21" s="600">
        <f t="shared" si="2"/>
        <v>1.1480591168091168E-2</v>
      </c>
      <c r="M21" s="594">
        <f>IF(L21="Løype",Poengsammendrag!$F$2,IF(L21="Arr",Poengsammendrag!$F$3,IF(L21="Brutt",50,IF(L21="Disk",50,ROUND(MAXA(100*(MIN(L$10:L$96)/L21),50),0)))))</f>
        <v>62</v>
      </c>
      <c r="N21" s="724">
        <f t="shared" si="3"/>
        <v>5.9515765516283906E-3</v>
      </c>
      <c r="O21" s="596">
        <f>IF(N21="Løype",Poengsammendrag!$F$2,IF(N21="Arr",Poengsammendrag!$F$3,IF(N21="Brutt",50,IF(N21="Disk",50,ROUND(MAXA(100*(MIN(N$10:N$96)/N21),50),0)))))</f>
        <v>77</v>
      </c>
      <c r="Q21" s="672"/>
      <c r="R21" s="672"/>
      <c r="S21" s="803" t="s">
        <v>101</v>
      </c>
      <c r="T21" s="736">
        <v>9.6439270152505457E-3</v>
      </c>
      <c r="U21" s="752">
        <v>73</v>
      </c>
      <c r="V21" s="781"/>
      <c r="W21" s="776" t="s">
        <v>170</v>
      </c>
      <c r="X21" s="740">
        <v>77</v>
      </c>
      <c r="AB21" s="828">
        <f t="shared" si="5"/>
        <v>66</v>
      </c>
      <c r="AC21" s="829">
        <f t="shared" si="4"/>
        <v>1</v>
      </c>
    </row>
    <row r="22" spans="2:29" ht="21" customHeight="1" thickBot="1" x14ac:dyDescent="0.3">
      <c r="B22" s="16">
        <f t="shared" si="0"/>
        <v>13</v>
      </c>
      <c r="C22" s="106" t="s">
        <v>163</v>
      </c>
      <c r="D22" s="107" t="s">
        <v>164</v>
      </c>
      <c r="E22" s="599" t="str">
        <f t="shared" si="1"/>
        <v>ArnulfVilmo</v>
      </c>
      <c r="F22" s="192">
        <f>YEAR(I$5)-_xlfn.XLOOKUP(E22,Deltakerliste!E$5:E$98,Deltakerliste!I$5:I$98)</f>
        <v>73</v>
      </c>
      <c r="G22" s="192">
        <f>_xlfn.XLOOKUP(E22,Deltakerliste!E$5:E$98,Deltakerliste!H$5:H$98)</f>
        <v>2</v>
      </c>
      <c r="H22" s="592">
        <f>VLOOKUP(F22,Deltakerliste!P$6:T$84,G22,FALSE)</f>
        <v>1.5329999999999999</v>
      </c>
      <c r="I22" s="132"/>
      <c r="J22" s="132">
        <v>3.111111111111111E-2</v>
      </c>
      <c r="K22" s="18"/>
      <c r="L22" s="600">
        <f t="shared" si="2"/>
        <v>9.1503267973856214E-3</v>
      </c>
      <c r="M22" s="594">
        <f>IF(L22="Løype",Poengsammendrag!$F$2,IF(L22="Arr",Poengsammendrag!$F$3,IF(L22="Brutt",50,IF(L22="Disk",50,ROUND(MAXA(100*(MIN(L$10:L$96)/L22),50),0)))))</f>
        <v>77</v>
      </c>
      <c r="N22" s="724">
        <f t="shared" si="3"/>
        <v>5.9689020204733347E-3</v>
      </c>
      <c r="O22" s="596">
        <f>IF(N22="Løype",Poengsammendrag!$F$2,IF(N22="Arr",Poengsammendrag!$F$3,IF(N22="Brutt",50,IF(N22="Disk",50,ROUND(MAXA(100*(MIN(N$10:N$96)/N22),50),0)))))</f>
        <v>77</v>
      </c>
      <c r="Q22" s="672"/>
      <c r="R22" s="672"/>
      <c r="S22" s="803" t="s">
        <v>88</v>
      </c>
      <c r="T22" s="736">
        <v>9.8924291938997828E-3</v>
      </c>
      <c r="U22" s="752">
        <v>72</v>
      </c>
      <c r="V22" s="781"/>
      <c r="W22" s="776" t="s">
        <v>163</v>
      </c>
      <c r="X22" s="740">
        <v>77</v>
      </c>
      <c r="AB22" s="828">
        <f t="shared" si="5"/>
        <v>67</v>
      </c>
      <c r="AC22" s="829">
        <f t="shared" si="4"/>
        <v>1</v>
      </c>
    </row>
    <row r="23" spans="2:29" ht="21" customHeight="1" thickBot="1" x14ac:dyDescent="0.3">
      <c r="B23" s="16">
        <f t="shared" si="0"/>
        <v>14</v>
      </c>
      <c r="C23" s="106" t="s">
        <v>94</v>
      </c>
      <c r="D23" s="107" t="s">
        <v>95</v>
      </c>
      <c r="E23" s="599" t="str">
        <f t="shared" si="1"/>
        <v>TerjeHanssen</v>
      </c>
      <c r="F23" s="192">
        <f>YEAR(I$5)-_xlfn.XLOOKUP(E23,Deltakerliste!E$5:E$98,Deltakerliste!I$5:I$98)</f>
        <v>78</v>
      </c>
      <c r="G23" s="192">
        <f>_xlfn.XLOOKUP(E23,Deltakerliste!E$5:E$98,Deltakerliste!H$5:H$98)</f>
        <v>2</v>
      </c>
      <c r="H23" s="592">
        <f>VLOOKUP(F23,Deltakerliste!P$6:T$84,G23,FALSE)</f>
        <v>1.7550000000000001</v>
      </c>
      <c r="I23" s="86">
        <v>2.7986111111111111E-2</v>
      </c>
      <c r="J23" s="86"/>
      <c r="K23" s="17"/>
      <c r="L23" s="600">
        <f t="shared" si="2"/>
        <v>1.0763888888888889E-2</v>
      </c>
      <c r="M23" s="594">
        <f>IF(L23="Løype",Poengsammendrag!$F$2,IF(L23="Arr",Poengsammendrag!$F$3,IF(L23="Brutt",50,IF(L23="Disk",50,ROUND(MAXA(100*(MIN(L$10:L$96)/L23),50),0)))))</f>
        <v>66</v>
      </c>
      <c r="N23" s="724">
        <f t="shared" si="3"/>
        <v>6.1332700221589107E-3</v>
      </c>
      <c r="O23" s="596">
        <f>IF(N23="Løype",Poengsammendrag!$F$2,IF(N23="Arr",Poengsammendrag!$F$3,IF(N23="Brutt",50,IF(N23="Disk",50,ROUND(MAXA(100*(MIN(N$10:N$96)/N23),50),0)))))</f>
        <v>75</v>
      </c>
      <c r="Q23" s="672"/>
      <c r="R23" s="672"/>
      <c r="S23" s="803" t="s">
        <v>338</v>
      </c>
      <c r="T23" s="736">
        <v>1.0176282051282052E-2</v>
      </c>
      <c r="U23" s="752">
        <v>70</v>
      </c>
      <c r="V23" s="781"/>
      <c r="W23" s="776" t="s">
        <v>94</v>
      </c>
      <c r="X23" s="740">
        <v>75</v>
      </c>
      <c r="AB23" s="828">
        <f t="shared" si="5"/>
        <v>68</v>
      </c>
      <c r="AC23" s="829">
        <f t="shared" si="4"/>
        <v>0</v>
      </c>
    </row>
    <row r="24" spans="2:29" ht="21" thickBot="1" x14ac:dyDescent="0.3">
      <c r="B24" s="16">
        <f t="shared" si="0"/>
        <v>15</v>
      </c>
      <c r="C24" s="106" t="s">
        <v>68</v>
      </c>
      <c r="D24" s="107" t="s">
        <v>69</v>
      </c>
      <c r="E24" s="599" t="str">
        <f t="shared" si="1"/>
        <v>JanBøhle</v>
      </c>
      <c r="F24" s="192">
        <f>YEAR(I$5)-_xlfn.XLOOKUP(E24,Deltakerliste!E$5:E$98,Deltakerliste!I$5:I$98)</f>
        <v>74</v>
      </c>
      <c r="G24" s="192">
        <f>_xlfn.XLOOKUP(E24,Deltakerliste!E$5:E$98,Deltakerliste!H$5:H$98)</f>
        <v>2</v>
      </c>
      <c r="H24" s="592">
        <f>VLOOKUP(F24,Deltakerliste!P$6:T$84,G24,FALSE)</f>
        <v>1.569</v>
      </c>
      <c r="I24" s="86"/>
      <c r="J24" s="86">
        <v>3.2789351851851854E-2</v>
      </c>
      <c r="K24" s="13"/>
      <c r="L24" s="600">
        <f t="shared" si="2"/>
        <v>9.6439270152505457E-3</v>
      </c>
      <c r="M24" s="594">
        <f>IF(L24="Løype",Poengsammendrag!$F$2,IF(L24="Arr",Poengsammendrag!$F$3,IF(L24="Brutt",50,IF(L24="Disk",50,ROUND(MAXA(100*(MIN(L$10:L$96)/L24),50),0)))))</f>
        <v>73</v>
      </c>
      <c r="N24" s="724">
        <f t="shared" si="3"/>
        <v>6.1465436681010493E-3</v>
      </c>
      <c r="O24" s="596">
        <f>IF(N24="Løype",Poengsammendrag!$F$2,IF(N24="Arr",Poengsammendrag!$F$3,IF(N24="Brutt",50,IF(N24="Disk",50,ROUND(MAXA(100*(MIN(N$10:N$96)/N24),50),0)))))</f>
        <v>74</v>
      </c>
      <c r="Q24" s="672"/>
      <c r="R24" s="672"/>
      <c r="S24" s="803" t="s">
        <v>76</v>
      </c>
      <c r="T24" s="736">
        <v>1.035434472934473E-2</v>
      </c>
      <c r="U24" s="752">
        <v>68</v>
      </c>
      <c r="V24" s="781"/>
      <c r="W24" s="776" t="s">
        <v>68</v>
      </c>
      <c r="X24" s="740">
        <v>74</v>
      </c>
      <c r="AB24" s="828">
        <f t="shared" si="5"/>
        <v>69</v>
      </c>
      <c r="AC24" s="829">
        <f t="shared" si="4"/>
        <v>1</v>
      </c>
    </row>
    <row r="25" spans="2:29" ht="21" thickBot="1" x14ac:dyDescent="0.3">
      <c r="B25" s="16">
        <f t="shared" si="0"/>
        <v>16</v>
      </c>
      <c r="C25" s="106" t="s">
        <v>103</v>
      </c>
      <c r="D25" s="107" t="s">
        <v>104</v>
      </c>
      <c r="E25" s="599" t="str">
        <f t="shared" si="1"/>
        <v>SveinHove</v>
      </c>
      <c r="F25" s="192">
        <f>YEAR(I$5)-_xlfn.XLOOKUP(E25,Deltakerliste!E$5:E$98,Deltakerliste!I$5:I$98)</f>
        <v>79</v>
      </c>
      <c r="G25" s="192">
        <f>_xlfn.XLOOKUP(E25,Deltakerliste!E$5:E$98,Deltakerliste!H$5:H$98)</f>
        <v>2</v>
      </c>
      <c r="H25" s="592">
        <f>VLOOKUP(F25,Deltakerliste!P$6:T$84,G25,FALSE)</f>
        <v>1.8050000000000002</v>
      </c>
      <c r="I25" s="86">
        <v>2.8935185185185185E-2</v>
      </c>
      <c r="J25" s="86"/>
      <c r="K25" s="17"/>
      <c r="L25" s="600">
        <f t="shared" si="2"/>
        <v>1.1128917378917379E-2</v>
      </c>
      <c r="M25" s="594">
        <f>IF(L25="Løype",Poengsammendrag!$F$2,IF(L25="Arr",Poengsammendrag!$F$3,IF(L25="Brutt",50,IF(L25="Disk",50,ROUND(MAXA(100*(MIN(L$10:L$96)/L25),50),0)))))</f>
        <v>64</v>
      </c>
      <c r="N25" s="724">
        <f t="shared" si="3"/>
        <v>6.1656051960761096E-3</v>
      </c>
      <c r="O25" s="596">
        <f>IF(N25="Løype",Poengsammendrag!$F$2,IF(N25="Arr",Poengsammendrag!$F$3,IF(N25="Brutt",50,IF(N25="Disk",50,ROUND(MAXA(100*(MIN(N$10:N$96)/N25),50),0)))))</f>
        <v>74</v>
      </c>
      <c r="Q25" s="672"/>
      <c r="R25" s="672"/>
      <c r="S25" s="803" t="s">
        <v>94</v>
      </c>
      <c r="T25" s="736">
        <v>1.0763888888888889E-2</v>
      </c>
      <c r="U25" s="752">
        <v>66</v>
      </c>
      <c r="V25" s="781"/>
      <c r="W25" s="776" t="s">
        <v>103</v>
      </c>
      <c r="X25" s="740">
        <v>74</v>
      </c>
      <c r="AB25" s="828">
        <f t="shared" si="5"/>
        <v>70</v>
      </c>
      <c r="AC25" s="829">
        <f t="shared" si="4"/>
        <v>0</v>
      </c>
    </row>
    <row r="26" spans="2:29" ht="21" customHeight="1" thickBot="1" x14ac:dyDescent="0.3">
      <c r="B26" s="16">
        <f t="shared" si="0"/>
        <v>17</v>
      </c>
      <c r="C26" s="106" t="s">
        <v>142</v>
      </c>
      <c r="D26" s="107" t="s">
        <v>143</v>
      </c>
      <c r="E26" s="599" t="str">
        <f t="shared" si="1"/>
        <v>EgilRepvik</v>
      </c>
      <c r="F26" s="192">
        <f>YEAR(I$5)-_xlfn.XLOOKUP(E26,Deltakerliste!E$5:E$98,Deltakerliste!I$5:I$98)</f>
        <v>80</v>
      </c>
      <c r="G26" s="192">
        <f>_xlfn.XLOOKUP(E26,Deltakerliste!E$5:E$98,Deltakerliste!H$5:H$98)</f>
        <v>2</v>
      </c>
      <c r="H26" s="592">
        <f>VLOOKUP(F26,Deltakerliste!P$6:T$84,G26,FALSE)</f>
        <v>1.8550000000000002</v>
      </c>
      <c r="I26" s="132">
        <v>2.9861111111111113E-2</v>
      </c>
      <c r="J26" s="18"/>
      <c r="K26" s="18"/>
      <c r="L26" s="600">
        <f t="shared" si="2"/>
        <v>1.1485042735042736E-2</v>
      </c>
      <c r="M26" s="594">
        <f>IF(L26="Løype",Poengsammendrag!$F$2,IF(L26="Arr",Poengsammendrag!$F$3,IF(L26="Brutt",50,IF(L26="Disk",50,ROUND(MAXA(100*(MIN(L$10:L$96)/L26),50),0)))))</f>
        <v>62</v>
      </c>
      <c r="N26" s="724">
        <f t="shared" si="3"/>
        <v>6.1913977008316631E-3</v>
      </c>
      <c r="O26" s="596">
        <f>IF(N26="Løype",Poengsammendrag!$F$2,IF(N26="Arr",Poengsammendrag!$F$3,IF(N26="Brutt",50,IF(N26="Disk",50,ROUND(MAXA(100*(MIN(N$10:N$96)/N26),50),0)))))</f>
        <v>74</v>
      </c>
      <c r="Q26" s="672"/>
      <c r="R26" s="672"/>
      <c r="S26" s="803" t="s">
        <v>350</v>
      </c>
      <c r="T26" s="736">
        <v>1.0763888888888891E-2</v>
      </c>
      <c r="U26" s="752">
        <v>66</v>
      </c>
      <c r="V26" s="781"/>
      <c r="W26" s="776" t="s">
        <v>356</v>
      </c>
      <c r="X26" s="740">
        <v>74</v>
      </c>
      <c r="AB26" s="828">
        <f t="shared" si="5"/>
        <v>71</v>
      </c>
      <c r="AC26" s="829">
        <f t="shared" si="4"/>
        <v>1</v>
      </c>
    </row>
    <row r="27" spans="2:29" ht="21" thickBot="1" x14ac:dyDescent="0.3">
      <c r="B27" s="16">
        <f t="shared" si="0"/>
        <v>18</v>
      </c>
      <c r="C27" s="106" t="s">
        <v>265</v>
      </c>
      <c r="D27" s="107" t="s">
        <v>344</v>
      </c>
      <c r="E27" s="599" t="str">
        <f t="shared" si="1"/>
        <v>ØysteinNytrø</v>
      </c>
      <c r="F27" s="192">
        <f>YEAR(I$5)-_xlfn.XLOOKUP(E27,Deltakerliste!E$5:E$98,Deltakerliste!I$5:I$98)</f>
        <v>66</v>
      </c>
      <c r="G27" s="192">
        <f>_xlfn.XLOOKUP(E27,Deltakerliste!E$5:E$98,Deltakerliste!H$5:H$98)</f>
        <v>2</v>
      </c>
      <c r="H27" s="592">
        <f>VLOOKUP(F27,Deltakerliste!P$6:T$84,G27,FALSE)</f>
        <v>1.3209999999999997</v>
      </c>
      <c r="I27" s="18"/>
      <c r="J27" s="132">
        <v>2.8425925925925927E-2</v>
      </c>
      <c r="K27" s="18"/>
      <c r="L27" s="600">
        <f t="shared" si="2"/>
        <v>8.3605664488017439E-3</v>
      </c>
      <c r="M27" s="594">
        <f>IF(L27="Løype",Poengsammendrag!$F$2,IF(L27="Arr",Poengsammendrag!$F$3,IF(L27="Brutt",50,IF(L27="Disk",50,ROUND(MAXA(100*(MIN(L$10:L$96)/L27),50),0)))))</f>
        <v>85</v>
      </c>
      <c r="N27" s="724">
        <f t="shared" si="3"/>
        <v>6.3289677886462876E-3</v>
      </c>
      <c r="O27" s="596">
        <f>IF(N27="Løype",Poengsammendrag!$F$2,IF(N27="Arr",Poengsammendrag!$F$3,IF(N27="Brutt",50,IF(N27="Disk",50,ROUND(MAXA(100*(MIN(N$10:N$96)/N27),50),0)))))</f>
        <v>72</v>
      </c>
      <c r="Q27" s="672"/>
      <c r="R27" s="672"/>
      <c r="S27" s="803" t="s">
        <v>114</v>
      </c>
      <c r="T27" s="736">
        <v>1.101919934640523E-2</v>
      </c>
      <c r="U27" s="752">
        <v>64</v>
      </c>
      <c r="V27" s="781"/>
      <c r="W27" s="776" t="s">
        <v>345</v>
      </c>
      <c r="X27" s="740">
        <v>72</v>
      </c>
      <c r="AB27" s="828">
        <f t="shared" si="5"/>
        <v>72</v>
      </c>
      <c r="AC27" s="829">
        <f t="shared" si="4"/>
        <v>1</v>
      </c>
    </row>
    <row r="28" spans="2:29" ht="21" customHeight="1" thickBot="1" x14ac:dyDescent="0.3">
      <c r="B28" s="16">
        <f t="shared" si="0"/>
        <v>19</v>
      </c>
      <c r="C28" s="106" t="s">
        <v>101</v>
      </c>
      <c r="D28" s="107" t="s">
        <v>102</v>
      </c>
      <c r="E28" s="599" t="str">
        <f t="shared" si="1"/>
        <v>EvenHofstad</v>
      </c>
      <c r="F28" s="192">
        <f>YEAR(I$5)-_xlfn.XLOOKUP(E28,Deltakerliste!E$5:E$98,Deltakerliste!I$5:I$98)</f>
        <v>72</v>
      </c>
      <c r="G28" s="192">
        <f>_xlfn.XLOOKUP(E28,Deltakerliste!E$5:E$98,Deltakerliste!H$5:H$98)</f>
        <v>2</v>
      </c>
      <c r="H28" s="592">
        <f>VLOOKUP(F28,Deltakerliste!P$6:T$84,G28,FALSE)</f>
        <v>1.4969999999999999</v>
      </c>
      <c r="I28" s="86"/>
      <c r="J28" s="86">
        <v>3.2789351851851854E-2</v>
      </c>
      <c r="K28" s="13"/>
      <c r="L28" s="600">
        <f t="shared" si="2"/>
        <v>9.6439270152505457E-3</v>
      </c>
      <c r="M28" s="594">
        <f>IF(L28="Løype",Poengsammendrag!$F$2,IF(L28="Arr",Poengsammendrag!$F$3,IF(L28="Brutt",50,IF(L28="Disk",50,ROUND(MAXA(100*(MIN(L$10:L$96)/L28),50),0)))))</f>
        <v>73</v>
      </c>
      <c r="N28" s="724">
        <f t="shared" si="3"/>
        <v>6.4421690148634241E-3</v>
      </c>
      <c r="O28" s="596">
        <f>IF(N28="Løype",Poengsammendrag!$F$2,IF(N28="Arr",Poengsammendrag!$F$3,IF(N28="Brutt",50,IF(N28="Disk",50,ROUND(MAXA(100*(MIN(N$10:N$96)/N28),50),0)))))</f>
        <v>71</v>
      </c>
      <c r="Q28" s="672"/>
      <c r="R28" s="672"/>
      <c r="S28" s="803" t="s">
        <v>103</v>
      </c>
      <c r="T28" s="736">
        <v>1.1128917378917379E-2</v>
      </c>
      <c r="U28" s="752">
        <v>64</v>
      </c>
      <c r="V28" s="781"/>
      <c r="W28" s="776" t="s">
        <v>101</v>
      </c>
      <c r="X28" s="740">
        <v>71</v>
      </c>
      <c r="AB28" s="828">
        <f t="shared" si="5"/>
        <v>73</v>
      </c>
      <c r="AC28" s="829">
        <f t="shared" si="4"/>
        <v>2</v>
      </c>
    </row>
    <row r="29" spans="2:29" ht="21" thickBot="1" x14ac:dyDescent="0.3">
      <c r="B29" s="16">
        <f t="shared" si="0"/>
        <v>20</v>
      </c>
      <c r="C29" s="106" t="s">
        <v>76</v>
      </c>
      <c r="D29" s="107" t="s">
        <v>77</v>
      </c>
      <c r="E29" s="599" t="str">
        <f t="shared" si="1"/>
        <v>ReinoldEllingsen</v>
      </c>
      <c r="F29" s="192">
        <f>YEAR(I$5)-_xlfn.XLOOKUP(E29,Deltakerliste!E$5:E$98,Deltakerliste!I$5:I$98)</f>
        <v>75</v>
      </c>
      <c r="G29" s="192">
        <f>_xlfn.XLOOKUP(E29,Deltakerliste!E$5:E$98,Deltakerliste!H$5:H$98)</f>
        <v>2</v>
      </c>
      <c r="H29" s="592">
        <f>VLOOKUP(F29,Deltakerliste!P$6:T$84,G29,FALSE)</f>
        <v>1.605</v>
      </c>
      <c r="I29" s="13">
        <v>2.6921296296296297E-2</v>
      </c>
      <c r="J29" s="13"/>
      <c r="K29" s="13"/>
      <c r="L29" s="600">
        <f t="shared" si="2"/>
        <v>1.035434472934473E-2</v>
      </c>
      <c r="M29" s="594">
        <f>IF(L29="Løype",Poengsammendrag!$F$2,IF(L29="Arr",Poengsammendrag!$F$3,IF(L29="Brutt",50,IF(L29="Disk",50,ROUND(MAXA(100*(MIN(L$10:L$96)/L29),50),0)))))</f>
        <v>68</v>
      </c>
      <c r="N29" s="724">
        <f t="shared" si="3"/>
        <v>6.4513051273175888E-3</v>
      </c>
      <c r="O29" s="596">
        <f>IF(N29="Løype",Poengsammendrag!$F$2,IF(N29="Arr",Poengsammendrag!$F$3,IF(N29="Brutt",50,IF(N29="Disk",50,ROUND(MAXA(100*(MIN(N$10:N$96)/N29),50),0)))))</f>
        <v>71</v>
      </c>
      <c r="Q29" s="672"/>
      <c r="R29" s="672"/>
      <c r="S29" s="803" t="s">
        <v>347</v>
      </c>
      <c r="T29" s="736">
        <v>1.1480591168091168E-2</v>
      </c>
      <c r="U29" s="752">
        <v>62</v>
      </c>
      <c r="V29" s="781"/>
      <c r="W29" s="776" t="s">
        <v>76</v>
      </c>
      <c r="X29" s="740">
        <v>71</v>
      </c>
      <c r="AB29" s="828">
        <f t="shared" si="5"/>
        <v>74</v>
      </c>
      <c r="AC29" s="829">
        <f t="shared" si="4"/>
        <v>2</v>
      </c>
    </row>
    <row r="30" spans="2:29" ht="21" thickBot="1" x14ac:dyDescent="0.3">
      <c r="B30" s="16">
        <f t="shared" si="0"/>
        <v>21</v>
      </c>
      <c r="C30" s="106" t="s">
        <v>80</v>
      </c>
      <c r="D30" s="107" t="s">
        <v>81</v>
      </c>
      <c r="E30" s="599" t="str">
        <f t="shared" si="1"/>
        <v>HalvorFlatberg</v>
      </c>
      <c r="F30" s="192">
        <f>YEAR(I$5)-_xlfn.XLOOKUP(E30,Deltakerliste!E$5:E$98,Deltakerliste!I$5:I$98)</f>
        <v>80</v>
      </c>
      <c r="G30" s="192">
        <f>_xlfn.XLOOKUP(E30,Deltakerliste!E$5:E$98,Deltakerliste!H$5:H$98)</f>
        <v>2</v>
      </c>
      <c r="H30" s="592">
        <f>VLOOKUP(F30,Deltakerliste!P$6:T$84,G30,FALSE)</f>
        <v>1.8550000000000002</v>
      </c>
      <c r="I30" s="86">
        <v>3.1967592592592596E-2</v>
      </c>
      <c r="J30" s="86"/>
      <c r="K30" s="13"/>
      <c r="L30" s="600">
        <f t="shared" si="2"/>
        <v>1.229522792022792E-2</v>
      </c>
      <c r="M30" s="594">
        <f>IF(L30="Løype",Poengsammendrag!$F$2,IF(L30="Arr",Poengsammendrag!$F$3,IF(L30="Brutt",50,IF(L30="Disk",50,ROUND(MAXA(100*(MIN(L$10:L$96)/L30),50),0)))))</f>
        <v>58</v>
      </c>
      <c r="N30" s="724">
        <f t="shared" si="3"/>
        <v>6.6281552130608729E-3</v>
      </c>
      <c r="O30" s="596">
        <f>IF(N30="Løype",Poengsammendrag!$F$2,IF(N30="Arr",Poengsammendrag!$F$3,IF(N30="Brutt",50,IF(N30="Disk",50,ROUND(MAXA(100*(MIN(N$10:N$96)/N30),50),0)))))</f>
        <v>69</v>
      </c>
      <c r="Q30" s="672"/>
      <c r="R30" s="672"/>
      <c r="S30" s="803" t="s">
        <v>356</v>
      </c>
      <c r="T30" s="736">
        <v>1.1485042735042736E-2</v>
      </c>
      <c r="U30" s="752">
        <v>62</v>
      </c>
      <c r="V30" s="781"/>
      <c r="W30" s="776" t="s">
        <v>80</v>
      </c>
      <c r="X30" s="740">
        <v>69</v>
      </c>
      <c r="AB30" s="828">
        <f t="shared" si="5"/>
        <v>75</v>
      </c>
      <c r="AC30" s="829">
        <f t="shared" si="4"/>
        <v>2</v>
      </c>
    </row>
    <row r="31" spans="2:29" ht="21" customHeight="1" thickBot="1" x14ac:dyDescent="0.3">
      <c r="B31" s="16">
        <f t="shared" si="0"/>
        <v>22</v>
      </c>
      <c r="C31" s="106" t="s">
        <v>414</v>
      </c>
      <c r="D31" s="107" t="s">
        <v>415</v>
      </c>
      <c r="E31" s="599" t="str">
        <f t="shared" si="1"/>
        <v>HåkonArnesen</v>
      </c>
      <c r="F31" s="192">
        <f>YEAR(I$5)-_xlfn.XLOOKUP(E31,Deltakerliste!E$5:E$98,Deltakerliste!I$5:I$98)</f>
        <v>64</v>
      </c>
      <c r="G31" s="192">
        <f>_xlfn.XLOOKUP(E31,Deltakerliste!E$5:E$98,Deltakerliste!H$5:H$98)</f>
        <v>2</v>
      </c>
      <c r="H31" s="592">
        <f>VLOOKUP(F31,Deltakerliste!P$6:T$84,G31,FALSE)</f>
        <v>1.2759999999999998</v>
      </c>
      <c r="I31" s="13"/>
      <c r="J31" s="13">
        <v>2.8981481481481483E-2</v>
      </c>
      <c r="K31" s="17"/>
      <c r="L31" s="600">
        <f t="shared" si="2"/>
        <v>8.5239651416122008E-3</v>
      </c>
      <c r="M31" s="594">
        <f>IF(L31="Løype",Poengsammendrag!$F$2,IF(L31="Arr",Poengsammendrag!$F$3,IF(L31="Brutt",50,IF(L31="Disk",50,ROUND(MAXA(100*(MIN(L$10:L$96)/L31),50),0)))))</f>
        <v>83</v>
      </c>
      <c r="N31" s="724">
        <f t="shared" si="3"/>
        <v>6.6802234652133244E-3</v>
      </c>
      <c r="O31" s="596">
        <f>IF(N31="Løype",Poengsammendrag!$F$2,IF(N31="Arr",Poengsammendrag!$F$3,IF(N31="Brutt",50,IF(N31="Disk",50,ROUND(MAXA(100*(MIN(N$10:N$96)/N31),50),0)))))</f>
        <v>68</v>
      </c>
      <c r="Q31" s="672"/>
      <c r="R31" s="672"/>
      <c r="S31" s="803" t="s">
        <v>263</v>
      </c>
      <c r="T31" s="736">
        <v>1.2272970085470085E-2</v>
      </c>
      <c r="U31" s="752">
        <v>58</v>
      </c>
      <c r="V31" s="781"/>
      <c r="W31" s="776" t="s">
        <v>414</v>
      </c>
      <c r="X31" s="740">
        <v>68</v>
      </c>
      <c r="AB31" s="828">
        <f t="shared" si="5"/>
        <v>76</v>
      </c>
      <c r="AC31" s="829">
        <f t="shared" si="4"/>
        <v>0</v>
      </c>
    </row>
    <row r="32" spans="2:29" ht="21" customHeight="1" thickBot="1" x14ac:dyDescent="0.3">
      <c r="B32" s="16">
        <f t="shared" si="0"/>
        <v>23</v>
      </c>
      <c r="C32" s="106" t="s">
        <v>78</v>
      </c>
      <c r="D32" s="107" t="s">
        <v>146</v>
      </c>
      <c r="E32" s="599" t="str">
        <f t="shared" si="1"/>
        <v>LeifRøhjell</v>
      </c>
      <c r="F32" s="192">
        <f>YEAR(I$5)-_xlfn.XLOOKUP(E32,Deltakerliste!E$5:E$98,Deltakerliste!I$5:I$98)</f>
        <v>82</v>
      </c>
      <c r="G32" s="192">
        <f>_xlfn.XLOOKUP(E32,Deltakerliste!E$5:E$98,Deltakerliste!H$5:H$98)</f>
        <v>2</v>
      </c>
      <c r="H32" s="592">
        <f>VLOOKUP(F32,Deltakerliste!P$6:T$84,G32,FALSE)</f>
        <v>2.0030000000000001</v>
      </c>
      <c r="I32" s="132">
        <v>3.4895833333333334E-2</v>
      </c>
      <c r="J32" s="18"/>
      <c r="K32" s="18"/>
      <c r="L32" s="600">
        <f t="shared" si="2"/>
        <v>1.3421474358974358E-2</v>
      </c>
      <c r="M32" s="594">
        <f>IF(L32="Løype",Poengsammendrag!$F$2,IF(L32="Arr",Poengsammendrag!$F$3,IF(L32="Brutt",50,IF(L32="Disk",50,ROUND(MAXA(100*(MIN(L$10:L$96)/L32),50),0)))))</f>
        <v>53</v>
      </c>
      <c r="N32" s="724">
        <f t="shared" si="3"/>
        <v>6.7006861502617856E-3</v>
      </c>
      <c r="O32" s="596">
        <f>IF(N32="Løype",Poengsammendrag!$F$2,IF(N32="Arr",Poengsammendrag!$F$3,IF(N32="Brutt",50,IF(N32="Disk",50,ROUND(MAXA(100*(MIN(N$10:N$96)/N32),50),0)))))</f>
        <v>68</v>
      </c>
      <c r="S32" s="803" t="s">
        <v>80</v>
      </c>
      <c r="T32" s="736">
        <v>1.229522792022792E-2</v>
      </c>
      <c r="U32" s="752">
        <v>58</v>
      </c>
      <c r="V32" s="781"/>
      <c r="W32" s="776" t="s">
        <v>337</v>
      </c>
      <c r="X32" s="740">
        <v>68</v>
      </c>
      <c r="AB32" s="828">
        <f t="shared" si="5"/>
        <v>77</v>
      </c>
      <c r="AC32" s="829">
        <f t="shared" si="4"/>
        <v>2</v>
      </c>
    </row>
    <row r="33" spans="2:29" ht="21" customHeight="1" thickBot="1" x14ac:dyDescent="0.3">
      <c r="B33" s="16">
        <f t="shared" si="0"/>
        <v>24</v>
      </c>
      <c r="C33" s="106" t="s">
        <v>72</v>
      </c>
      <c r="D33" s="107" t="s">
        <v>73</v>
      </c>
      <c r="E33" s="599" t="str">
        <f t="shared" si="1"/>
        <v>KåreEggereide</v>
      </c>
      <c r="F33" s="192">
        <f>YEAR(I$5)-_xlfn.XLOOKUP(E33,Deltakerliste!E$5:E$98,Deltakerliste!I$5:I$98)</f>
        <v>75</v>
      </c>
      <c r="G33" s="192">
        <f>_xlfn.XLOOKUP(E33,Deltakerliste!E$5:E$98,Deltakerliste!H$5:H$98)</f>
        <v>2</v>
      </c>
      <c r="H33" s="592">
        <f>VLOOKUP(F33,Deltakerliste!P$6:T$84,G33,FALSE)</f>
        <v>1.605</v>
      </c>
      <c r="I33" s="86"/>
      <c r="J33" s="13">
        <v>3.6597222222222225E-2</v>
      </c>
      <c r="K33" s="13"/>
      <c r="L33" s="600">
        <f t="shared" si="2"/>
        <v>1.0763888888888891E-2</v>
      </c>
      <c r="M33" s="594">
        <f>IF(L33="Løype",Poengsammendrag!$F$2,IF(L33="Arr",Poengsammendrag!$F$3,IF(L33="Brutt",50,IF(L33="Disk",50,ROUND(MAXA(100*(MIN(L$10:L$96)/L33),50),0)))))</f>
        <v>66</v>
      </c>
      <c r="N33" s="724">
        <f t="shared" si="3"/>
        <v>6.7064728279681565E-3</v>
      </c>
      <c r="O33" s="596">
        <f>IF(N33="Løype",Poengsammendrag!$F$2,IF(N33="Arr",Poengsammendrag!$F$3,IF(N33="Brutt",50,IF(N33="Disk",50,ROUND(MAXA(100*(MIN(N$10:N$96)/N33),50),0)))))</f>
        <v>68</v>
      </c>
      <c r="S33" s="803" t="s">
        <v>130</v>
      </c>
      <c r="T33" s="736">
        <v>1.2562321937321937E-2</v>
      </c>
      <c r="U33" s="752">
        <v>56</v>
      </c>
      <c r="V33" s="781"/>
      <c r="W33" s="776" t="s">
        <v>350</v>
      </c>
      <c r="X33" s="740">
        <v>68</v>
      </c>
      <c r="AB33" s="828">
        <f t="shared" si="5"/>
        <v>78</v>
      </c>
      <c r="AC33" s="829">
        <f t="shared" si="4"/>
        <v>3</v>
      </c>
    </row>
    <row r="34" spans="2:29" ht="21" customHeight="1" thickBot="1" x14ac:dyDescent="0.3">
      <c r="B34" s="16">
        <f t="shared" si="0"/>
        <v>25</v>
      </c>
      <c r="C34" s="106" t="s">
        <v>411</v>
      </c>
      <c r="D34" s="107" t="s">
        <v>412</v>
      </c>
      <c r="E34" s="599" t="str">
        <f t="shared" si="1"/>
        <v>HenrySundsetvik</v>
      </c>
      <c r="F34" s="192">
        <f>YEAR(I$5)-_xlfn.XLOOKUP(E34,Deltakerliste!E$5:E$98,Deltakerliste!I$5:I$98)</f>
        <v>86</v>
      </c>
      <c r="G34" s="192">
        <f>_xlfn.XLOOKUP(E34,Deltakerliste!E$5:E$98,Deltakerliste!H$5:H$98)</f>
        <v>2</v>
      </c>
      <c r="H34" s="592">
        <f>VLOOKUP(F34,Deltakerliste!P$6:T$84,G34,FALSE)</f>
        <v>2.3089999999999997</v>
      </c>
      <c r="I34" s="132">
        <v>4.1296296296296296E-2</v>
      </c>
      <c r="J34" s="132"/>
      <c r="K34" s="18"/>
      <c r="L34" s="600">
        <f t="shared" si="2"/>
        <v>1.5883190883190883E-2</v>
      </c>
      <c r="M34" s="594">
        <f>IF(L34="Løype",Poengsammendrag!$F$2,IF(L34="Arr",Poengsammendrag!$F$3,IF(L34="Brutt",50,IF(L34="Disk",50,ROUND(MAXA(100*(MIN(L$10:L$96)/L34),50),0)))))</f>
        <v>50</v>
      </c>
      <c r="N34" s="724">
        <f t="shared" si="3"/>
        <v>6.8788180524863079E-3</v>
      </c>
      <c r="O34" s="596">
        <f>IF(N34="Løype",Poengsammendrag!$F$2,IF(N34="Arr",Poengsammendrag!$F$3,IF(N34="Brutt",50,IF(N34="Disk",50,ROUND(MAXA(100*(MIN(N$10:N$96)/N34),50),0)))))</f>
        <v>66</v>
      </c>
      <c r="S34" s="803" t="s">
        <v>248</v>
      </c>
      <c r="T34" s="736">
        <v>1.2816061253561254E-2</v>
      </c>
      <c r="U34" s="752">
        <v>55</v>
      </c>
      <c r="V34" s="781"/>
      <c r="W34" s="776" t="s">
        <v>411</v>
      </c>
      <c r="X34" s="740">
        <v>66</v>
      </c>
      <c r="AB34" s="828">
        <f t="shared" si="5"/>
        <v>79</v>
      </c>
      <c r="AC34" s="829">
        <f t="shared" si="4"/>
        <v>4</v>
      </c>
    </row>
    <row r="35" spans="2:29" ht="21" customHeight="1" thickBot="1" x14ac:dyDescent="0.3">
      <c r="B35" s="16">
        <f t="shared" si="0"/>
        <v>26</v>
      </c>
      <c r="C35" s="106" t="s">
        <v>248</v>
      </c>
      <c r="D35" s="107" t="s">
        <v>249</v>
      </c>
      <c r="E35" s="599" t="str">
        <f t="shared" si="1"/>
        <v>ErikLund</v>
      </c>
      <c r="F35" s="192">
        <f>YEAR(I$5)-_xlfn.XLOOKUP(E35,Deltakerliste!E$5:E$98,Deltakerliste!I$5:I$98)</f>
        <v>79</v>
      </c>
      <c r="G35" s="192">
        <f>_xlfn.XLOOKUP(E35,Deltakerliste!E$5:E$98,Deltakerliste!H$5:H$98)</f>
        <v>2</v>
      </c>
      <c r="H35" s="592">
        <f>VLOOKUP(F35,Deltakerliste!P$6:T$84,G35,FALSE)</f>
        <v>1.8050000000000002</v>
      </c>
      <c r="I35" s="13">
        <v>3.3321759259259259E-2</v>
      </c>
      <c r="J35" s="13"/>
      <c r="K35" s="17"/>
      <c r="L35" s="600">
        <f t="shared" si="2"/>
        <v>1.2816061253561254E-2</v>
      </c>
      <c r="M35" s="594">
        <f>IF(L35="Løype",Poengsammendrag!$F$2,IF(L35="Arr",Poengsammendrag!$F$3,IF(L35="Brutt",50,IF(L35="Disk",50,ROUND(MAXA(100*(MIN(L$10:L$96)/L35),50),0)))))</f>
        <v>55</v>
      </c>
      <c r="N35" s="724">
        <f t="shared" si="3"/>
        <v>7.1003109438012484E-3</v>
      </c>
      <c r="O35" s="596">
        <f>IF(N35="Løype",Poengsammendrag!$F$2,IF(N35="Arr",Poengsammendrag!$F$3,IF(N35="Brutt",50,IF(N35="Disk",50,ROUND(MAXA(100*(MIN(N$10:N$96)/N35),50),0)))))</f>
        <v>64</v>
      </c>
      <c r="S35" s="803" t="s">
        <v>357</v>
      </c>
      <c r="T35" s="736">
        <v>1.3172186609686609E-2</v>
      </c>
      <c r="U35" s="752">
        <v>54</v>
      </c>
      <c r="V35" s="781"/>
      <c r="W35" s="776" t="s">
        <v>248</v>
      </c>
      <c r="X35" s="740">
        <v>64</v>
      </c>
      <c r="AB35" s="828">
        <f t="shared" si="5"/>
        <v>80</v>
      </c>
      <c r="AC35" s="829">
        <f t="shared" si="4"/>
        <v>2</v>
      </c>
    </row>
    <row r="36" spans="2:29" ht="21" thickBot="1" x14ac:dyDescent="0.3">
      <c r="B36" s="16">
        <f t="shared" si="0"/>
        <v>27</v>
      </c>
      <c r="C36" s="106" t="s">
        <v>130</v>
      </c>
      <c r="D36" s="107" t="s">
        <v>131</v>
      </c>
      <c r="E36" s="599" t="str">
        <f t="shared" si="1"/>
        <v>AtleMørk</v>
      </c>
      <c r="F36" s="192">
        <f>YEAR(I$5)-_xlfn.XLOOKUP(E36,Deltakerliste!E$5:E$98,Deltakerliste!I$5:I$98)</f>
        <v>77</v>
      </c>
      <c r="G36" s="192">
        <f>_xlfn.XLOOKUP(E36,Deltakerliste!E$5:E$98,Deltakerliste!H$5:H$98)</f>
        <v>2</v>
      </c>
      <c r="H36" s="592">
        <f>VLOOKUP(F36,Deltakerliste!P$6:T$84,G36,FALSE)</f>
        <v>1.7050000000000001</v>
      </c>
      <c r="I36" s="132">
        <v>3.2662037037037038E-2</v>
      </c>
      <c r="J36" s="132"/>
      <c r="K36" s="132"/>
      <c r="L36" s="600">
        <f t="shared" si="2"/>
        <v>1.2562321937321937E-2</v>
      </c>
      <c r="M36" s="594">
        <f>IF(L36="Løype",Poengsammendrag!$F$2,IF(L36="Arr",Poengsammendrag!$F$3,IF(L36="Brutt",50,IF(L36="Disk",50,ROUND(MAXA(100*(MIN(L$10:L$96)/L36),50),0)))))</f>
        <v>56</v>
      </c>
      <c r="N36" s="724">
        <f t="shared" si="3"/>
        <v>7.3679307550275283E-3</v>
      </c>
      <c r="O36" s="596">
        <f>IF(N36="Løype",Poengsammendrag!$F$2,IF(N36="Arr",Poengsammendrag!$F$3,IF(N36="Brutt",50,IF(N36="Disk",50,ROUND(MAXA(100*(MIN(N$10:N$96)/N36),50),0)))))</f>
        <v>62</v>
      </c>
      <c r="S36" s="803" t="s">
        <v>337</v>
      </c>
      <c r="T36" s="736">
        <v>1.3421474358974358E-2</v>
      </c>
      <c r="U36" s="752">
        <v>53</v>
      </c>
      <c r="V36" s="781"/>
      <c r="W36" s="776" t="s">
        <v>130</v>
      </c>
      <c r="X36" s="740">
        <v>62</v>
      </c>
      <c r="AB36" s="828">
        <f t="shared" si="5"/>
        <v>81</v>
      </c>
      <c r="AC36" s="829">
        <f t="shared" si="4"/>
        <v>1</v>
      </c>
    </row>
    <row r="37" spans="2:29" ht="21" customHeight="1" thickBot="1" x14ac:dyDescent="0.3">
      <c r="B37" s="16">
        <f t="shared" si="0"/>
        <v>28</v>
      </c>
      <c r="C37" s="106" t="s">
        <v>298</v>
      </c>
      <c r="D37" s="107" t="s">
        <v>297</v>
      </c>
      <c r="E37" s="599" t="str">
        <f t="shared" si="1"/>
        <v>ØyvindSchjelderup</v>
      </c>
      <c r="F37" s="192">
        <f>YEAR(I$5)-_xlfn.XLOOKUP(E37,Deltakerliste!E$5:E$98,Deltakerliste!I$5:I$98)</f>
        <v>61</v>
      </c>
      <c r="G37" s="192">
        <f>_xlfn.XLOOKUP(E37,Deltakerliste!E$5:E$98,Deltakerliste!H$5:H$98)</f>
        <v>2</v>
      </c>
      <c r="H37" s="592">
        <f>VLOOKUP(F37,Deltakerliste!P$6:T$84,G37,FALSE)</f>
        <v>1.2190000000000001</v>
      </c>
      <c r="I37" s="208"/>
      <c r="J37" s="132">
        <v>3.2581018518518516E-2</v>
      </c>
      <c r="K37" s="18"/>
      <c r="L37" s="600">
        <f t="shared" si="2"/>
        <v>9.5826525054466226E-3</v>
      </c>
      <c r="M37" s="594">
        <f>IF(L37="Løype",Poengsammendrag!$F$2,IF(L37="Arr",Poengsammendrag!$F$3,IF(L37="Brutt",50,IF(L37="Disk",50,ROUND(MAXA(100*(MIN(L$10:L$96)/L37),50),0)))))</f>
        <v>74</v>
      </c>
      <c r="N37" s="724">
        <f t="shared" si="3"/>
        <v>7.8610767066830366E-3</v>
      </c>
      <c r="O37" s="596">
        <f>IF(N37="Løype",Poengsammendrag!$F$2,IF(N37="Arr",Poengsammendrag!$F$3,IF(N37="Brutt",50,IF(N37="Disk",50,ROUND(MAXA(100*(MIN(N$10:N$96)/N37),50),0)))))</f>
        <v>58</v>
      </c>
      <c r="S37" s="803" t="s">
        <v>96</v>
      </c>
      <c r="T37" s="736">
        <v>1.3848824786324786E-2</v>
      </c>
      <c r="U37" s="752">
        <v>51</v>
      </c>
      <c r="V37" s="781"/>
      <c r="W37" s="776" t="s">
        <v>413</v>
      </c>
      <c r="X37" s="740">
        <v>58</v>
      </c>
      <c r="AB37" s="828">
        <f t="shared" si="5"/>
        <v>82</v>
      </c>
      <c r="AC37" s="829">
        <f t="shared" si="4"/>
        <v>1</v>
      </c>
    </row>
    <row r="38" spans="2:29" ht="21" customHeight="1" thickBot="1" x14ac:dyDescent="0.3">
      <c r="B38" s="16">
        <f t="shared" si="0"/>
        <v>29</v>
      </c>
      <c r="C38" s="106" t="s">
        <v>263</v>
      </c>
      <c r="D38" s="107" t="s">
        <v>264</v>
      </c>
      <c r="E38" s="599" t="str">
        <f t="shared" si="1"/>
        <v>RuneHolt</v>
      </c>
      <c r="F38" s="192">
        <f>YEAR(I$5)-_xlfn.XLOOKUP(E38,Deltakerliste!E$5:E$98,Deltakerliste!I$5:I$98)</f>
        <v>73</v>
      </c>
      <c r="G38" s="192">
        <f>_xlfn.XLOOKUP(E38,Deltakerliste!E$5:E$98,Deltakerliste!H$5:H$98)</f>
        <v>2</v>
      </c>
      <c r="H38" s="592">
        <f>VLOOKUP(F38,Deltakerliste!P$6:T$84,G38,FALSE)</f>
        <v>1.5329999999999999</v>
      </c>
      <c r="I38" s="86">
        <v>3.1909722222222221E-2</v>
      </c>
      <c r="J38" s="134"/>
      <c r="K38" s="17"/>
      <c r="L38" s="600">
        <f t="shared" si="2"/>
        <v>1.2272970085470085E-2</v>
      </c>
      <c r="M38" s="594">
        <f>IF(L38="Løype",Poengsammendrag!$F$2,IF(L38="Arr",Poengsammendrag!$F$3,IF(L38="Brutt",50,IF(L38="Disk",50,ROUND(MAXA(100*(MIN(L$10:L$96)/L38),50),0)))))</f>
        <v>58</v>
      </c>
      <c r="N38" s="724">
        <f t="shared" si="3"/>
        <v>8.0058513277691361E-3</v>
      </c>
      <c r="O38" s="596">
        <f>IF(N38="Løype",Poengsammendrag!$F$2,IF(N38="Arr",Poengsammendrag!$F$3,IF(N38="Brutt",50,IF(N38="Disk",50,ROUND(MAXA(100*(MIN(N$10:N$96)/N38),50),0)))))</f>
        <v>57</v>
      </c>
      <c r="S38" s="803" t="s">
        <v>411</v>
      </c>
      <c r="T38" s="736">
        <v>1.5883190883190883E-2</v>
      </c>
      <c r="U38" s="752">
        <v>50</v>
      </c>
      <c r="V38" s="781"/>
      <c r="W38" s="776" t="s">
        <v>263</v>
      </c>
      <c r="X38" s="740">
        <v>57</v>
      </c>
      <c r="AB38" s="828">
        <f t="shared" si="5"/>
        <v>83</v>
      </c>
      <c r="AC38" s="829">
        <f t="shared" si="4"/>
        <v>2</v>
      </c>
    </row>
    <row r="39" spans="2:29" ht="21" customHeight="1" thickBot="1" x14ac:dyDescent="0.3">
      <c r="B39" s="16">
        <f t="shared" si="0"/>
        <v>30</v>
      </c>
      <c r="C39" s="106" t="s">
        <v>116</v>
      </c>
      <c r="D39" s="107" t="s">
        <v>117</v>
      </c>
      <c r="E39" s="599" t="str">
        <f t="shared" si="1"/>
        <v>AndersLauglo</v>
      </c>
      <c r="F39" s="192">
        <f>YEAR(I$5)-_xlfn.XLOOKUP(E39,Deltakerliste!E$5:E$98,Deltakerliste!I$5:I$98)</f>
        <v>87</v>
      </c>
      <c r="G39" s="192">
        <f>_xlfn.XLOOKUP(E39,Deltakerliste!E$5:E$98,Deltakerliste!H$5:H$98)</f>
        <v>2</v>
      </c>
      <c r="H39" s="592">
        <f>VLOOKUP(F39,Deltakerliste!P$6:T$84,G39,FALSE)</f>
        <v>2.3929999999999998</v>
      </c>
      <c r="I39" s="13"/>
      <c r="J39" s="13">
        <v>6.5509259259259253E-2</v>
      </c>
      <c r="K39" s="86"/>
      <c r="L39" s="600">
        <f t="shared" si="2"/>
        <v>1.9267429193899781E-2</v>
      </c>
      <c r="M39" s="594">
        <f>IF(L39="Løype",Poengsammendrag!$F$2,IF(L39="Arr",Poengsammendrag!$F$3,IF(L39="Brutt",50,IF(L39="Disk",50,ROUND(MAXA(100*(MIN(L$10:L$96)/L39),50),0)))))</f>
        <v>50</v>
      </c>
      <c r="N39" s="724">
        <f t="shared" si="3"/>
        <v>8.0515792703300393E-3</v>
      </c>
      <c r="O39" s="596">
        <f>IF(N39="Løype",Poengsammendrag!$F$2,IF(N39="Arr",Poengsammendrag!$F$3,IF(N39="Brutt",50,IF(N39="Disk",50,ROUND(MAXA(100*(MIN(N$10:N$96)/N39),50),0)))))</f>
        <v>57</v>
      </c>
      <c r="S39" s="803" t="s">
        <v>315</v>
      </c>
      <c r="T39" s="736">
        <v>1.9267429193899781E-2</v>
      </c>
      <c r="U39" s="752">
        <v>50</v>
      </c>
      <c r="V39" s="781"/>
      <c r="W39" s="776" t="s">
        <v>315</v>
      </c>
      <c r="X39" s="740">
        <v>57</v>
      </c>
      <c r="AB39" s="828">
        <f t="shared" si="5"/>
        <v>84</v>
      </c>
      <c r="AC39" s="829">
        <f t="shared" si="4"/>
        <v>0</v>
      </c>
    </row>
    <row r="40" spans="2:29" ht="21" thickBot="1" x14ac:dyDescent="0.3">
      <c r="B40" s="16">
        <f t="shared" si="0"/>
        <v>31</v>
      </c>
      <c r="C40" s="106" t="s">
        <v>82</v>
      </c>
      <c r="D40" s="107" t="s">
        <v>83</v>
      </c>
      <c r="E40" s="599" t="str">
        <f t="shared" si="1"/>
        <v>RoarForbord</v>
      </c>
      <c r="F40" s="192">
        <f>YEAR(I$5)-_xlfn.XLOOKUP(E40,Deltakerliste!E$5:E$98,Deltakerliste!I$5:I$98)</f>
        <v>83</v>
      </c>
      <c r="G40" s="192">
        <f>_xlfn.XLOOKUP(E40,Deltakerliste!E$5:E$98,Deltakerliste!H$5:H$98)</f>
        <v>2</v>
      </c>
      <c r="H40" s="592">
        <f>VLOOKUP(F40,Deltakerliste!P$6:T$84,G40,FALSE)</f>
        <v>2.077</v>
      </c>
      <c r="I40" s="86"/>
      <c r="J40" s="86" t="s">
        <v>7</v>
      </c>
      <c r="K40" s="13"/>
      <c r="L40" s="600" t="str">
        <f t="shared" si="2"/>
        <v>Arr</v>
      </c>
      <c r="M40" s="594">
        <f>IF(L40="Løype",Poengsammendrag!$F$2,IF(L40="Arr",Poengsammendrag!$F$3,IF(L40="Brutt",50,IF(L40="Disk",50,ROUND(MAXA(100*(MIN(L$10:L$96)/L40),50),0)))))</f>
        <v>94</v>
      </c>
      <c r="N40" s="724" t="str">
        <f t="shared" si="3"/>
        <v>Arr</v>
      </c>
      <c r="O40" s="596">
        <f>IF(N40="Løype",Poengsammendrag!$F$2,IF(N40="Arr",Poengsammendrag!$F$3,IF(N40="Brutt",50,IF(N40="Disk",50,ROUND(MAXA(100*(MIN(N$10:N$96)/N40),50),0)))))</f>
        <v>94</v>
      </c>
      <c r="S40" s="803" t="s">
        <v>82</v>
      </c>
      <c r="T40" s="736" t="s">
        <v>7</v>
      </c>
      <c r="U40" s="752">
        <v>94</v>
      </c>
      <c r="V40" s="781"/>
      <c r="W40" s="776" t="s">
        <v>82</v>
      </c>
      <c r="X40" s="740">
        <v>94</v>
      </c>
      <c r="AB40" s="828">
        <f t="shared" si="5"/>
        <v>85</v>
      </c>
      <c r="AC40" s="829">
        <f t="shared" si="4"/>
        <v>1</v>
      </c>
    </row>
    <row r="41" spans="2:29" ht="21" thickBot="1" x14ac:dyDescent="0.3">
      <c r="B41" s="16">
        <f t="shared" si="0"/>
        <v>32</v>
      </c>
      <c r="C41" s="106" t="s">
        <v>153</v>
      </c>
      <c r="D41" s="107" t="s">
        <v>154</v>
      </c>
      <c r="E41" s="599" t="str">
        <f t="shared" si="1"/>
        <v>ReidunSmaavik</v>
      </c>
      <c r="F41" s="192">
        <f>YEAR(I$5)-_xlfn.XLOOKUP(E41,Deltakerliste!E$5:E$98,Deltakerliste!I$5:I$98)</f>
        <v>71</v>
      </c>
      <c r="G41" s="192">
        <f>_xlfn.XLOOKUP(E41,Deltakerliste!E$5:E$98,Deltakerliste!H$5:H$98)</f>
        <v>4</v>
      </c>
      <c r="H41" s="592">
        <f>VLOOKUP(F41,Deltakerliste!P$6:T$84,G41,FALSE)</f>
        <v>1.9926000000000013</v>
      </c>
      <c r="I41" s="132"/>
      <c r="J41" s="18" t="s">
        <v>7</v>
      </c>
      <c r="K41" s="18"/>
      <c r="L41" s="600" t="str">
        <f t="shared" si="2"/>
        <v>Arr</v>
      </c>
      <c r="M41" s="594">
        <f>IF(L41="Løype",Poengsammendrag!$F$2,IF(L41="Arr",Poengsammendrag!$F$3,IF(L41="Brutt",50,IF(L41="Disk",50,ROUND(MAXA(100*(MIN(L$10:L$96)/L41),50),0)))))</f>
        <v>94</v>
      </c>
      <c r="N41" s="724" t="str">
        <f t="shared" si="3"/>
        <v>Arr</v>
      </c>
      <c r="O41" s="596">
        <f>IF(N41="Løype",Poengsammendrag!$F$2,IF(N41="Arr",Poengsammendrag!$F$3,IF(N41="Brutt",50,IF(N41="Disk",50,ROUND(MAXA(100*(MIN(N$10:N$96)/N41),50),0)))))</f>
        <v>94</v>
      </c>
      <c r="S41" s="803" t="s">
        <v>153</v>
      </c>
      <c r="T41" s="736" t="s">
        <v>7</v>
      </c>
      <c r="U41" s="752">
        <v>94</v>
      </c>
      <c r="V41" s="781"/>
      <c r="W41" s="776" t="s">
        <v>153</v>
      </c>
      <c r="X41" s="740">
        <v>94</v>
      </c>
      <c r="AB41" s="828">
        <f t="shared" si="5"/>
        <v>86</v>
      </c>
      <c r="AC41" s="829">
        <f t="shared" si="4"/>
        <v>2</v>
      </c>
    </row>
    <row r="42" spans="2:29" ht="21" customHeight="1" thickBot="1" x14ac:dyDescent="0.3">
      <c r="B42" s="16">
        <f t="shared" si="0"/>
        <v>33</v>
      </c>
      <c r="C42" s="106" t="s">
        <v>207</v>
      </c>
      <c r="D42" s="107" t="s">
        <v>89</v>
      </c>
      <c r="E42" s="599" t="str">
        <f t="shared" ref="E42:E73" si="6">_xlfn.CONCAT(C42:D42)</f>
        <v>AnneFuruholt</v>
      </c>
      <c r="F42" s="192">
        <f>YEAR(I$5)-_xlfn.XLOOKUP(E42,Deltakerliste!E$5:E$98,Deltakerliste!I$5:I$98)</f>
        <v>79</v>
      </c>
      <c r="G42" s="192">
        <f>_xlfn.XLOOKUP(E42,Deltakerliste!E$5:E$98,Deltakerliste!H$5:H$98)</f>
        <v>4</v>
      </c>
      <c r="H42" s="592">
        <f>VLOOKUP(F42,Deltakerliste!P$6:T$84,G42,FALSE)</f>
        <v>2.3974000000000011</v>
      </c>
      <c r="I42" s="13"/>
      <c r="J42" s="13" t="s">
        <v>7</v>
      </c>
      <c r="K42" s="13"/>
      <c r="L42" s="600" t="str">
        <f t="shared" si="2"/>
        <v>Arr</v>
      </c>
      <c r="M42" s="594">
        <f>IF(L42="Løype",Poengsammendrag!$F$2,IF(L42="Arr",Poengsammendrag!$F$3,IF(L42="Brutt",50,IF(L42="Disk",50,ROUND(MAXA(100*(MIN(L$10:L$96)/L42),50),0)))))</f>
        <v>94</v>
      </c>
      <c r="N42" s="724" t="str">
        <f t="shared" si="3"/>
        <v>Arr</v>
      </c>
      <c r="O42" s="596">
        <f>IF(N42="Løype",Poengsammendrag!$F$2,IF(N42="Arr",Poengsammendrag!$F$3,IF(N42="Brutt",50,IF(N42="Disk",50,ROUND(MAXA(100*(MIN(N$10:N$96)/N42),50),0)))))</f>
        <v>94</v>
      </c>
      <c r="S42" s="803" t="s">
        <v>207</v>
      </c>
      <c r="T42" s="796" t="s">
        <v>7</v>
      </c>
      <c r="U42" s="765">
        <v>94</v>
      </c>
      <c r="V42" s="782"/>
      <c r="W42" s="777" t="s">
        <v>207</v>
      </c>
      <c r="X42" s="762">
        <v>94</v>
      </c>
      <c r="AB42" s="828">
        <f t="shared" si="5"/>
        <v>87</v>
      </c>
      <c r="AC42" s="829">
        <f t="shared" si="4"/>
        <v>2</v>
      </c>
    </row>
    <row r="43" spans="2:29" ht="21" thickBot="1" x14ac:dyDescent="0.3">
      <c r="B43" s="16">
        <f t="shared" si="0"/>
        <v>34</v>
      </c>
      <c r="C43" s="106" t="s">
        <v>161</v>
      </c>
      <c r="D43" s="107" t="s">
        <v>162</v>
      </c>
      <c r="E43" s="599" t="str">
        <f t="shared" si="6"/>
        <v>Nils OlavVennevik</v>
      </c>
      <c r="F43" s="192">
        <f>YEAR(I$5)-_xlfn.XLOOKUP(E43,Deltakerliste!E$5:E$98,Deltakerliste!I$5:I$98)</f>
        <v>78</v>
      </c>
      <c r="G43" s="192">
        <f>_xlfn.XLOOKUP(E43,Deltakerliste!E$5:E$98,Deltakerliste!H$5:H$98)</f>
        <v>2</v>
      </c>
      <c r="H43" s="592">
        <f>VLOOKUP(F43,Deltakerliste!P$6:T$84,G43,FALSE)</f>
        <v>1.7550000000000001</v>
      </c>
      <c r="I43" s="132"/>
      <c r="J43" s="18" t="s">
        <v>62</v>
      </c>
      <c r="K43" s="18"/>
      <c r="L43" s="600" t="str">
        <f t="shared" si="2"/>
        <v>Løype</v>
      </c>
      <c r="M43" s="594">
        <f>IF(L43="Løype",Poengsammendrag!$F$2,IF(L43="Arr",Poengsammendrag!$F$3,IF(L43="Brutt",50,IF(L43="Disk",50,ROUND(MAXA(100*(MIN(L$10:L$96)/L43),50),0)))))</f>
        <v>100</v>
      </c>
      <c r="N43" s="724" t="str">
        <f t="shared" si="3"/>
        <v>Løype</v>
      </c>
      <c r="O43" s="596">
        <f>IF(N43="Løype",Poengsammendrag!$F$2,IF(N43="Arr",Poengsammendrag!$F$3,IF(N43="Brutt",50,IF(N43="Disk",50,ROUND(MAXA(100*(MIN(N$10:N$96)/N43),50),0)))))</f>
        <v>100</v>
      </c>
      <c r="S43" s="803" t="s">
        <v>161</v>
      </c>
      <c r="T43" s="797" t="s">
        <v>62</v>
      </c>
      <c r="U43" s="770">
        <v>100</v>
      </c>
      <c r="V43" s="778"/>
      <c r="W43" s="783" t="s">
        <v>161</v>
      </c>
      <c r="X43" s="740">
        <v>100</v>
      </c>
      <c r="AB43" s="828">
        <f t="shared" si="5"/>
        <v>88</v>
      </c>
      <c r="AC43" s="829">
        <f t="shared" si="4"/>
        <v>0</v>
      </c>
    </row>
    <row r="44" spans="2:29" ht="21" customHeight="1" thickBot="1" x14ac:dyDescent="0.3">
      <c r="B44" s="16">
        <f t="shared" si="0"/>
        <v>35</v>
      </c>
      <c r="C44" s="106" t="s">
        <v>60</v>
      </c>
      <c r="D44" s="107" t="s">
        <v>61</v>
      </c>
      <c r="E44" s="599" t="str">
        <f t="shared" si="6"/>
        <v>JosteinAlvestad</v>
      </c>
      <c r="F44" s="192">
        <f>YEAR(I$5)-_xlfn.XLOOKUP(E44,Deltakerliste!E$5:E$98,Deltakerliste!I$5:I$98)</f>
        <v>71</v>
      </c>
      <c r="G44" s="192">
        <f>_xlfn.XLOOKUP(E44,Deltakerliste!E$5:E$98,Deltakerliste!H$5:H$98)</f>
        <v>2</v>
      </c>
      <c r="H44" s="592">
        <f>VLOOKUP(F44,Deltakerliste!P$6:T$84,G44,FALSE)</f>
        <v>1.4609999999999999</v>
      </c>
      <c r="I44" s="13"/>
      <c r="J44" s="13"/>
      <c r="K44" s="17"/>
      <c r="L44" s="600"/>
      <c r="M44" s="594"/>
      <c r="N44" s="724"/>
      <c r="O44" s="596"/>
      <c r="S44" s="803"/>
      <c r="T44" s="797"/>
      <c r="U44" s="770"/>
      <c r="V44" s="772"/>
      <c r="W44" s="783"/>
      <c r="X44" s="740"/>
      <c r="AB44" s="828">
        <f t="shared" si="5"/>
        <v>89</v>
      </c>
      <c r="AC44" s="829">
        <f t="shared" si="4"/>
        <v>0</v>
      </c>
    </row>
    <row r="45" spans="2:29" ht="21" thickBot="1" x14ac:dyDescent="0.3">
      <c r="B45" s="16">
        <f t="shared" si="0"/>
        <v>36</v>
      </c>
      <c r="C45" s="106" t="s">
        <v>64</v>
      </c>
      <c r="D45" s="107" t="s">
        <v>65</v>
      </c>
      <c r="E45" s="599" t="str">
        <f t="shared" si="6"/>
        <v>BjørnBerger</v>
      </c>
      <c r="F45" s="192">
        <f>YEAR(I$5)-_xlfn.XLOOKUP(E45,Deltakerliste!E$5:E$98,Deltakerliste!I$5:I$98)</f>
        <v>75</v>
      </c>
      <c r="G45" s="192">
        <f>_xlfn.XLOOKUP(E45,Deltakerliste!E$5:E$98,Deltakerliste!H$5:H$98)</f>
        <v>2</v>
      </c>
      <c r="H45" s="592">
        <f>VLOOKUP(F45,Deltakerliste!P$6:T$84,G45,FALSE)</f>
        <v>1.605</v>
      </c>
      <c r="I45" s="13"/>
      <c r="J45" s="13"/>
      <c r="K45" s="19"/>
      <c r="L45" s="600"/>
      <c r="M45" s="594"/>
      <c r="N45" s="724"/>
      <c r="O45" s="596"/>
      <c r="S45" s="803"/>
      <c r="T45" s="797"/>
      <c r="U45" s="770"/>
      <c r="V45" s="772"/>
      <c r="W45" s="783"/>
      <c r="X45" s="740"/>
      <c r="AB45" s="828">
        <f t="shared" si="5"/>
        <v>90</v>
      </c>
      <c r="AC45" s="829">
        <f t="shared" si="4"/>
        <v>0</v>
      </c>
    </row>
    <row r="46" spans="2:29" ht="21" thickBot="1" x14ac:dyDescent="0.3">
      <c r="B46" s="16">
        <f t="shared" si="0"/>
        <v>37</v>
      </c>
      <c r="C46" s="106" t="s">
        <v>66</v>
      </c>
      <c r="D46" s="107" t="s">
        <v>67</v>
      </c>
      <c r="E46" s="599" t="str">
        <f t="shared" si="6"/>
        <v>FrankBjarkø</v>
      </c>
      <c r="F46" s="192">
        <f>YEAR(I$5)-_xlfn.XLOOKUP(E46,Deltakerliste!E$5:E$98,Deltakerliste!I$5:I$98)</f>
        <v>74</v>
      </c>
      <c r="G46" s="192">
        <f>_xlfn.XLOOKUP(E46,Deltakerliste!E$5:E$98,Deltakerliste!H$5:H$98)</f>
        <v>2</v>
      </c>
      <c r="H46" s="592">
        <f>VLOOKUP(F46,Deltakerliste!P$6:T$84,G46,FALSE)</f>
        <v>1.569</v>
      </c>
      <c r="I46" s="13"/>
      <c r="J46" s="13"/>
      <c r="K46" s="13"/>
      <c r="L46" s="600"/>
      <c r="M46" s="594"/>
      <c r="N46" s="724"/>
      <c r="O46" s="596"/>
      <c r="S46" s="803"/>
      <c r="T46" s="797"/>
      <c r="U46" s="770"/>
      <c r="V46" s="772"/>
      <c r="W46" s="783"/>
      <c r="X46" s="740"/>
      <c r="AB46" s="828">
        <f t="shared" si="5"/>
        <v>91</v>
      </c>
      <c r="AC46" s="829">
        <f t="shared" si="4"/>
        <v>0</v>
      </c>
    </row>
    <row r="47" spans="2:29" ht="21" customHeight="1" thickBot="1" x14ac:dyDescent="0.3">
      <c r="B47" s="16">
        <f t="shared" si="0"/>
        <v>38</v>
      </c>
      <c r="C47" s="106" t="s">
        <v>364</v>
      </c>
      <c r="D47" s="107" t="s">
        <v>365</v>
      </c>
      <c r="E47" s="599" t="str">
        <f t="shared" si="6"/>
        <v>GerdBjørset</v>
      </c>
      <c r="F47" s="192">
        <f>YEAR(I$5)-_xlfn.XLOOKUP(E47,Deltakerliste!E$5:E$98,Deltakerliste!I$5:I$98)</f>
        <v>72</v>
      </c>
      <c r="G47" s="192">
        <f>_xlfn.XLOOKUP(E47,Deltakerliste!E$5:E$98,Deltakerliste!H$5:H$98)</f>
        <v>4</v>
      </c>
      <c r="H47" s="592">
        <f>VLOOKUP(F47,Deltakerliste!P$6:T$84,G47,FALSE)</f>
        <v>2.0362000000000013</v>
      </c>
      <c r="I47" s="13"/>
      <c r="J47" s="855"/>
      <c r="K47" s="13"/>
      <c r="L47" s="600"/>
      <c r="M47" s="594"/>
      <c r="N47" s="724"/>
      <c r="O47" s="596"/>
      <c r="S47" s="803"/>
      <c r="T47" s="797"/>
      <c r="U47" s="770"/>
      <c r="V47" s="772"/>
      <c r="W47" s="783"/>
      <c r="X47" s="740"/>
      <c r="AB47" s="828">
        <f t="shared" si="5"/>
        <v>92</v>
      </c>
      <c r="AC47" s="829">
        <f t="shared" si="4"/>
        <v>0</v>
      </c>
    </row>
    <row r="48" spans="2:29" ht="21" customHeight="1" thickBot="1" x14ac:dyDescent="0.3">
      <c r="B48" s="16">
        <f t="shared" si="0"/>
        <v>39</v>
      </c>
      <c r="C48" s="106" t="s">
        <v>64</v>
      </c>
      <c r="D48" s="107" t="s">
        <v>267</v>
      </c>
      <c r="E48" s="599" t="str">
        <f t="shared" si="6"/>
        <v>BjørnBrenne</v>
      </c>
      <c r="F48" s="192">
        <f>YEAR(I$5)-_xlfn.XLOOKUP(E48,Deltakerliste!E$5:E$98,Deltakerliste!I$5:I$98)</f>
        <v>81</v>
      </c>
      <c r="G48" s="192">
        <f>_xlfn.XLOOKUP(E48,Deltakerliste!E$5:E$98,Deltakerliste!H$5:H$98)</f>
        <v>2</v>
      </c>
      <c r="H48" s="592">
        <f>VLOOKUP(F48,Deltakerliste!P$6:T$84,G48,FALSE)</f>
        <v>1.9290000000000003</v>
      </c>
      <c r="I48" s="86"/>
      <c r="J48" s="86"/>
      <c r="K48" s="13"/>
      <c r="L48" s="600"/>
      <c r="M48" s="594"/>
      <c r="N48" s="724"/>
      <c r="O48" s="596"/>
      <c r="S48" s="803"/>
      <c r="T48" s="797"/>
      <c r="U48" s="770"/>
      <c r="V48" s="772"/>
      <c r="W48" s="783"/>
      <c r="X48" s="740"/>
      <c r="AB48" s="828">
        <f t="shared" si="5"/>
        <v>93</v>
      </c>
      <c r="AC48" s="829">
        <f t="shared" si="4"/>
        <v>0</v>
      </c>
    </row>
    <row r="49" spans="2:29" ht="21" customHeight="1" thickBot="1" x14ac:dyDescent="0.3">
      <c r="B49" s="16">
        <f t="shared" si="0"/>
        <v>40</v>
      </c>
      <c r="C49" s="106" t="s">
        <v>342</v>
      </c>
      <c r="D49" s="107" t="s">
        <v>388</v>
      </c>
      <c r="E49" s="599" t="str">
        <f t="shared" si="6"/>
        <v>ArildClausen</v>
      </c>
      <c r="F49" s="192">
        <f>YEAR(I$5)-_xlfn.XLOOKUP(E49,Deltakerliste!E$5:E$98,Deltakerliste!I$5:I$98)</f>
        <v>58</v>
      </c>
      <c r="G49" s="192">
        <f>_xlfn.XLOOKUP(E49,Deltakerliste!E$5:E$98,Deltakerliste!H$5:H$98)</f>
        <v>2</v>
      </c>
      <c r="H49" s="592">
        <f>VLOOKUP(F49,Deltakerliste!P$6:T$84,G49,FALSE)</f>
        <v>1.1720000000000002</v>
      </c>
      <c r="I49" s="86"/>
      <c r="J49" s="86"/>
      <c r="K49" s="13"/>
      <c r="L49" s="600"/>
      <c r="M49" s="594"/>
      <c r="N49" s="724"/>
      <c r="O49" s="596"/>
      <c r="S49" s="803"/>
      <c r="T49" s="796"/>
      <c r="U49" s="793"/>
      <c r="V49" s="794"/>
      <c r="W49" s="795"/>
      <c r="X49" s="762"/>
      <c r="AB49" s="828">
        <f t="shared" si="5"/>
        <v>94</v>
      </c>
      <c r="AC49" s="829">
        <f t="shared" si="4"/>
        <v>0</v>
      </c>
    </row>
    <row r="50" spans="2:29" ht="21" thickBot="1" x14ac:dyDescent="0.3">
      <c r="B50" s="16">
        <f t="shared" si="0"/>
        <v>41</v>
      </c>
      <c r="C50" s="106" t="s">
        <v>70</v>
      </c>
      <c r="D50" s="107" t="s">
        <v>71</v>
      </c>
      <c r="E50" s="599" t="str">
        <f t="shared" si="6"/>
        <v>TrondDamås</v>
      </c>
      <c r="F50" s="192">
        <f>YEAR(I$5)-_xlfn.XLOOKUP(E50,Deltakerliste!E$5:E$98,Deltakerliste!I$5:I$98)</f>
        <v>76</v>
      </c>
      <c r="G50" s="192">
        <f>_xlfn.XLOOKUP(E50,Deltakerliste!E$5:E$98,Deltakerliste!H$5:H$98)</f>
        <v>2</v>
      </c>
      <c r="H50" s="592">
        <f>VLOOKUP(F50,Deltakerliste!P$6:T$84,G50,FALSE)</f>
        <v>1.655</v>
      </c>
      <c r="I50" s="13"/>
      <c r="J50" s="13"/>
      <c r="K50" s="13"/>
      <c r="L50" s="600"/>
      <c r="M50" s="594"/>
      <c r="N50" s="724"/>
      <c r="O50" s="596"/>
      <c r="S50" s="803"/>
      <c r="T50" s="851"/>
      <c r="U50" s="770"/>
      <c r="V50" s="772"/>
      <c r="W50" s="783"/>
      <c r="X50" s="740"/>
      <c r="AB50" s="830">
        <f t="shared" si="5"/>
        <v>95</v>
      </c>
      <c r="AC50" s="831">
        <f t="shared" si="4"/>
        <v>0</v>
      </c>
    </row>
    <row r="51" spans="2:29" ht="21" customHeight="1" thickBot="1" x14ac:dyDescent="0.3">
      <c r="B51" s="16">
        <f t="shared" si="0"/>
        <v>42</v>
      </c>
      <c r="C51" s="106" t="s">
        <v>74</v>
      </c>
      <c r="D51" s="107" t="s">
        <v>75</v>
      </c>
      <c r="E51" s="599" t="str">
        <f t="shared" si="6"/>
        <v>StinaElfving</v>
      </c>
      <c r="F51" s="192">
        <f>YEAR(I$5)-_xlfn.XLOOKUP(E51,Deltakerliste!E$5:E$98,Deltakerliste!I$5:I$98)</f>
        <v>76</v>
      </c>
      <c r="G51" s="192">
        <f>_xlfn.XLOOKUP(E51,Deltakerliste!E$5:E$98,Deltakerliste!H$5:H$98)</f>
        <v>4</v>
      </c>
      <c r="H51" s="592">
        <f>VLOOKUP(F51,Deltakerliste!P$6:T$84,G51,FALSE)</f>
        <v>2.2246000000000015</v>
      </c>
      <c r="I51" s="13"/>
      <c r="J51" s="13"/>
      <c r="K51" s="17"/>
      <c r="L51" s="600"/>
      <c r="M51" s="594"/>
      <c r="N51" s="724"/>
      <c r="O51" s="596"/>
      <c r="S51" s="803"/>
      <c r="T51" s="797"/>
      <c r="U51" s="770"/>
      <c r="V51" s="772"/>
      <c r="W51" s="783"/>
      <c r="X51" s="740"/>
    </row>
    <row r="52" spans="2:29" ht="21" thickBot="1" x14ac:dyDescent="0.3">
      <c r="B52" s="16">
        <f t="shared" si="0"/>
        <v>43</v>
      </c>
      <c r="C52" s="106" t="s">
        <v>216</v>
      </c>
      <c r="D52" s="107" t="s">
        <v>77</v>
      </c>
      <c r="E52" s="599" t="str">
        <f t="shared" si="6"/>
        <v>Åse RitaEllingsen</v>
      </c>
      <c r="F52" s="192">
        <f>YEAR(I$5)-_xlfn.XLOOKUP(E52,Deltakerliste!E$5:E$98,Deltakerliste!I$5:I$98)</f>
        <v>62</v>
      </c>
      <c r="G52" s="192">
        <f>_xlfn.XLOOKUP(E52,Deltakerliste!E$5:E$98,Deltakerliste!H$5:H$98)</f>
        <v>4</v>
      </c>
      <c r="H52" s="592">
        <f>VLOOKUP(F52,Deltakerliste!P$6:T$84,G52,FALSE)</f>
        <v>1.6834000000000005</v>
      </c>
      <c r="I52" s="86"/>
      <c r="J52" s="14"/>
      <c r="K52" s="13"/>
      <c r="L52" s="600"/>
      <c r="M52" s="594"/>
      <c r="N52" s="724"/>
      <c r="O52" s="596"/>
      <c r="S52" s="803"/>
      <c r="T52" s="797"/>
      <c r="U52" s="770"/>
      <c r="V52" s="772"/>
      <c r="W52" s="783"/>
      <c r="X52" s="740"/>
      <c r="AC52" s="651">
        <f>SUM(AC10:AC50)</f>
        <v>34</v>
      </c>
    </row>
    <row r="53" spans="2:29" ht="21" thickBot="1" x14ac:dyDescent="0.3">
      <c r="B53" s="16">
        <f t="shared" si="0"/>
        <v>44</v>
      </c>
      <c r="C53" s="106" t="s">
        <v>271</v>
      </c>
      <c r="D53" s="107" t="s">
        <v>272</v>
      </c>
      <c r="E53" s="599" t="str">
        <f t="shared" si="6"/>
        <v>Arne KjellFoldvik</v>
      </c>
      <c r="F53" s="192">
        <f>YEAR(I$5)-_xlfn.XLOOKUP(E53,Deltakerliste!E$5:E$98,Deltakerliste!I$5:I$98)</f>
        <v>92</v>
      </c>
      <c r="G53" s="192">
        <f>_xlfn.XLOOKUP(E53,Deltakerliste!E$5:E$98,Deltakerliste!H$5:H$98)</f>
        <v>2</v>
      </c>
      <c r="H53" s="592">
        <f>VLOOKUP(F53,Deltakerliste!P$6:T$84,G53,FALSE)</f>
        <v>2.8130000000000002</v>
      </c>
      <c r="I53" s="14"/>
      <c r="J53" s="14"/>
      <c r="K53" s="13"/>
      <c r="L53" s="600"/>
      <c r="M53" s="594"/>
      <c r="N53" s="724"/>
      <c r="O53" s="596"/>
      <c r="S53" s="803"/>
      <c r="T53" s="797"/>
      <c r="U53" s="770"/>
      <c r="V53" s="772"/>
      <c r="W53" s="783"/>
      <c r="X53" s="740"/>
    </row>
    <row r="54" spans="2:29" ht="21" thickBot="1" x14ac:dyDescent="0.3">
      <c r="B54" s="16">
        <f t="shared" si="0"/>
        <v>45</v>
      </c>
      <c r="C54" s="106" t="s">
        <v>377</v>
      </c>
      <c r="D54" s="107" t="s">
        <v>83</v>
      </c>
      <c r="E54" s="599" t="str">
        <f t="shared" si="6"/>
        <v>HildeForbord</v>
      </c>
      <c r="F54" s="192">
        <f>YEAR(I$5)-_xlfn.XLOOKUP(E54,Deltakerliste!E$5:E$98,Deltakerliste!I$5:I$98)</f>
        <v>60</v>
      </c>
      <c r="G54" s="192">
        <f>_xlfn.XLOOKUP(E54,Deltakerliste!E$5:E$98,Deltakerliste!H$5:H$98)</f>
        <v>4</v>
      </c>
      <c r="H54" s="592">
        <f>VLOOKUP(F54,Deltakerliste!P$6:T$84,G54,FALSE)</f>
        <v>1.6250000000000002</v>
      </c>
      <c r="I54" s="14"/>
      <c r="J54" s="14"/>
      <c r="K54" s="13"/>
      <c r="L54" s="600"/>
      <c r="M54" s="594"/>
      <c r="N54" s="724"/>
      <c r="O54" s="596"/>
      <c r="S54" s="846"/>
      <c r="T54" s="847"/>
      <c r="U54" s="848"/>
      <c r="V54" s="778"/>
      <c r="W54" s="849"/>
      <c r="X54" s="850"/>
    </row>
    <row r="55" spans="2:29" ht="21" customHeight="1" thickBot="1" x14ac:dyDescent="0.3">
      <c r="B55" s="16">
        <f t="shared" si="0"/>
        <v>46</v>
      </c>
      <c r="C55" s="106" t="s">
        <v>63</v>
      </c>
      <c r="D55" s="107" t="s">
        <v>336</v>
      </c>
      <c r="E55" s="599" t="str">
        <f t="shared" si="6"/>
        <v>ToreFornes</v>
      </c>
      <c r="F55" s="192">
        <f>YEAR(I$5)-_xlfn.XLOOKUP(E55,Deltakerliste!E$5:E$98,Deltakerliste!I$5:I$98)</f>
        <v>67</v>
      </c>
      <c r="G55" s="192">
        <f>_xlfn.XLOOKUP(E55,Deltakerliste!E$5:E$98,Deltakerliste!H$5:H$98)</f>
        <v>2</v>
      </c>
      <c r="H55" s="592">
        <f>VLOOKUP(F55,Deltakerliste!P$6:T$84,G55,FALSE)</f>
        <v>1.3469999999999998</v>
      </c>
      <c r="I55" s="86"/>
      <c r="J55" s="86"/>
      <c r="K55" s="13"/>
      <c r="L55" s="600"/>
      <c r="M55" s="594"/>
      <c r="N55" s="724"/>
      <c r="O55" s="596"/>
      <c r="S55" s="803"/>
      <c r="T55" s="798"/>
      <c r="U55" s="770"/>
      <c r="V55" s="772"/>
      <c r="W55" s="783"/>
      <c r="X55" s="740"/>
    </row>
    <row r="56" spans="2:29" ht="21" thickBot="1" x14ac:dyDescent="0.3">
      <c r="B56" s="16">
        <f t="shared" si="0"/>
        <v>47</v>
      </c>
      <c r="C56" s="106" t="s">
        <v>84</v>
      </c>
      <c r="D56" s="107" t="s">
        <v>85</v>
      </c>
      <c r="E56" s="599" t="str">
        <f t="shared" si="6"/>
        <v>PaulForseth</v>
      </c>
      <c r="F56" s="192">
        <f>YEAR(I$5)-_xlfn.XLOOKUP(E56,Deltakerliste!E$5:E$98,Deltakerliste!I$5:I$98)</f>
        <v>94</v>
      </c>
      <c r="G56" s="192">
        <f>_xlfn.XLOOKUP(E56,Deltakerliste!E$5:E$98,Deltakerliste!H$5:H$98)</f>
        <v>2</v>
      </c>
      <c r="H56" s="592">
        <f>VLOOKUP(F56,Deltakerliste!P$6:T$84,G56,FALSE)</f>
        <v>2.9810000000000003</v>
      </c>
      <c r="I56" s="86"/>
      <c r="J56" s="86"/>
      <c r="K56" s="17"/>
      <c r="L56" s="600"/>
      <c r="M56" s="594"/>
      <c r="N56" s="724"/>
      <c r="O56" s="596"/>
      <c r="S56" s="803"/>
      <c r="T56" s="798"/>
      <c r="U56" s="770"/>
      <c r="V56" s="772"/>
      <c r="W56" s="783"/>
      <c r="X56" s="740"/>
    </row>
    <row r="57" spans="2:29" ht="21" thickBot="1" x14ac:dyDescent="0.3">
      <c r="B57" s="16">
        <f t="shared" si="0"/>
        <v>48</v>
      </c>
      <c r="C57" s="106" t="s">
        <v>86</v>
      </c>
      <c r="D57" s="107" t="s">
        <v>87</v>
      </c>
      <c r="E57" s="599" t="str">
        <f t="shared" si="6"/>
        <v>KristianFougner</v>
      </c>
      <c r="F57" s="192">
        <f>YEAR(I$5)-_xlfn.XLOOKUP(E57,Deltakerliste!E$5:E$98,Deltakerliste!I$5:I$98)</f>
        <v>76</v>
      </c>
      <c r="G57" s="192">
        <f>_xlfn.XLOOKUP(E57,Deltakerliste!E$5:E$98,Deltakerliste!H$5:H$98)</f>
        <v>2</v>
      </c>
      <c r="H57" s="592">
        <f>VLOOKUP(F57,Deltakerliste!P$6:T$84,G57,FALSE)</f>
        <v>1.655</v>
      </c>
      <c r="I57" s="86"/>
      <c r="J57" s="86"/>
      <c r="K57" s="13"/>
      <c r="L57" s="600"/>
      <c r="M57" s="594"/>
      <c r="N57" s="724"/>
      <c r="O57" s="596"/>
      <c r="S57" s="803"/>
      <c r="T57" s="798"/>
      <c r="U57" s="770"/>
      <c r="V57" s="772"/>
      <c r="W57" s="783"/>
      <c r="X57" s="740"/>
    </row>
    <row r="58" spans="2:29" ht="20" customHeight="1" thickBot="1" x14ac:dyDescent="0.3">
      <c r="B58" s="16">
        <f t="shared" si="0"/>
        <v>49</v>
      </c>
      <c r="C58" s="106" t="s">
        <v>116</v>
      </c>
      <c r="D58" s="107" t="s">
        <v>353</v>
      </c>
      <c r="E58" s="599" t="str">
        <f t="shared" si="6"/>
        <v>AndersGjermo</v>
      </c>
      <c r="F58" s="192">
        <f>YEAR(I$5)-_xlfn.XLOOKUP(E58,Deltakerliste!E$5:E$98,Deltakerliste!I$5:I$98)</f>
        <v>68</v>
      </c>
      <c r="G58" s="192">
        <f>_xlfn.XLOOKUP(E58,Deltakerliste!E$5:E$98,Deltakerliste!H$5:H$98)</f>
        <v>2</v>
      </c>
      <c r="H58" s="592">
        <f>VLOOKUP(F58,Deltakerliste!P$6:T$84,G58,FALSE)</f>
        <v>1.3729999999999998</v>
      </c>
      <c r="I58" s="132"/>
      <c r="J58" s="132"/>
      <c r="K58" s="18"/>
      <c r="L58" s="600"/>
      <c r="M58" s="594"/>
      <c r="N58" s="724"/>
      <c r="O58" s="596"/>
      <c r="S58" s="804"/>
      <c r="T58" s="801"/>
      <c r="U58" s="771"/>
      <c r="V58" s="773"/>
      <c r="W58" s="784"/>
      <c r="X58" s="741"/>
    </row>
    <row r="59" spans="2:29" ht="21" thickBot="1" x14ac:dyDescent="0.3">
      <c r="B59" s="16">
        <f t="shared" si="0"/>
        <v>50</v>
      </c>
      <c r="C59" s="106" t="s">
        <v>90</v>
      </c>
      <c r="D59" s="107" t="s">
        <v>91</v>
      </c>
      <c r="E59" s="599" t="str">
        <f t="shared" si="6"/>
        <v>TorGjermstad</v>
      </c>
      <c r="F59" s="192">
        <f>YEAR(I$5)-_xlfn.XLOOKUP(E59,Deltakerliste!E$5:E$98,Deltakerliste!I$5:I$98)</f>
        <v>76</v>
      </c>
      <c r="G59" s="192">
        <f>_xlfn.XLOOKUP(E59,Deltakerliste!E$5:E$98,Deltakerliste!H$5:H$98)</f>
        <v>2</v>
      </c>
      <c r="H59" s="592">
        <f>VLOOKUP(F59,Deltakerliste!P$6:T$84,G59,FALSE)</f>
        <v>1.655</v>
      </c>
      <c r="I59" s="86"/>
      <c r="J59" s="86"/>
      <c r="K59" s="13"/>
      <c r="L59" s="600"/>
      <c r="M59" s="594"/>
      <c r="N59" s="724"/>
      <c r="O59" s="596"/>
    </row>
    <row r="60" spans="2:29" ht="21" customHeight="1" thickBot="1" x14ac:dyDescent="0.3">
      <c r="B60" s="16">
        <f t="shared" si="0"/>
        <v>51</v>
      </c>
      <c r="C60" s="106" t="s">
        <v>92</v>
      </c>
      <c r="D60" s="107" t="s">
        <v>93</v>
      </c>
      <c r="E60" s="599" t="str">
        <f t="shared" si="6"/>
        <v>Jens ØysteinGjersvold</v>
      </c>
      <c r="F60" s="192">
        <f>YEAR(I$5)-_xlfn.XLOOKUP(E60,Deltakerliste!E$5:E$98,Deltakerliste!I$5:I$98)</f>
        <v>74</v>
      </c>
      <c r="G60" s="192">
        <f>_xlfn.XLOOKUP(E60,Deltakerliste!E$5:E$98,Deltakerliste!H$5:H$98)</f>
        <v>2</v>
      </c>
      <c r="H60" s="592">
        <f>VLOOKUP(F60,Deltakerliste!P$6:T$84,G60,FALSE)</f>
        <v>1.569</v>
      </c>
      <c r="I60" s="14"/>
      <c r="J60" s="14"/>
      <c r="K60" s="18"/>
      <c r="L60" s="600"/>
      <c r="M60" s="594"/>
      <c r="N60" s="724"/>
      <c r="O60" s="596"/>
    </row>
    <row r="61" spans="2:29" ht="21" customHeight="1" thickBot="1" x14ac:dyDescent="0.3">
      <c r="B61" s="16">
        <f t="shared" si="0"/>
        <v>52</v>
      </c>
      <c r="C61" s="106" t="s">
        <v>60</v>
      </c>
      <c r="D61" s="107" t="s">
        <v>372</v>
      </c>
      <c r="E61" s="599" t="str">
        <f t="shared" si="6"/>
        <v>JosteinGrepstad</v>
      </c>
      <c r="F61" s="192">
        <f>YEAR(I$5)-_xlfn.XLOOKUP(E61,Deltakerliste!E$5:E$98,Deltakerliste!I$5:I$98)</f>
        <v>75</v>
      </c>
      <c r="G61" s="192">
        <f>_xlfn.XLOOKUP(E61,Deltakerliste!E$5:E$98,Deltakerliste!H$5:H$98)</f>
        <v>2</v>
      </c>
      <c r="H61" s="592">
        <f>VLOOKUP(F61,Deltakerliste!P$6:T$84,G61,FALSE)</f>
        <v>1.605</v>
      </c>
      <c r="I61" s="14"/>
      <c r="J61" s="14"/>
      <c r="K61" s="18"/>
      <c r="L61" s="600"/>
      <c r="M61" s="594"/>
      <c r="N61" s="724"/>
      <c r="O61" s="596"/>
    </row>
    <row r="62" spans="2:29" ht="21" customHeight="1" thickBot="1" x14ac:dyDescent="0.3">
      <c r="B62" s="16">
        <f t="shared" si="0"/>
        <v>53</v>
      </c>
      <c r="C62" s="106" t="s">
        <v>64</v>
      </c>
      <c r="D62" s="107" t="s">
        <v>366</v>
      </c>
      <c r="E62" s="599" t="str">
        <f t="shared" si="6"/>
        <v>BjørnHafskjold</v>
      </c>
      <c r="F62" s="192">
        <f>YEAR(I$5)-_xlfn.XLOOKUP(E62,Deltakerliste!E$5:E$98,Deltakerliste!I$5:I$98)</f>
        <v>79</v>
      </c>
      <c r="G62" s="192">
        <f>_xlfn.XLOOKUP(E62,Deltakerliste!E$5:E$98,Deltakerliste!H$5:H$98)</f>
        <v>2</v>
      </c>
      <c r="H62" s="592">
        <f>VLOOKUP(F62,Deltakerliste!P$6:T$84,G62,FALSE)</f>
        <v>1.8050000000000002</v>
      </c>
      <c r="I62" s="14"/>
      <c r="J62" s="14"/>
      <c r="K62" s="18"/>
      <c r="L62" s="600"/>
      <c r="M62" s="594"/>
      <c r="N62" s="724"/>
      <c r="O62" s="596"/>
    </row>
    <row r="63" spans="2:29" ht="21" thickBot="1" x14ac:dyDescent="0.3">
      <c r="B63" s="16">
        <f t="shared" si="0"/>
        <v>54</v>
      </c>
      <c r="C63" s="106" t="s">
        <v>63</v>
      </c>
      <c r="D63" s="107" t="s">
        <v>98</v>
      </c>
      <c r="E63" s="599" t="str">
        <f t="shared" si="6"/>
        <v>ToreHeggem</v>
      </c>
      <c r="F63" s="192">
        <f>YEAR(I$5)-_xlfn.XLOOKUP(E63,Deltakerliste!E$5:E$98,Deltakerliste!I$5:I$98)</f>
        <v>73</v>
      </c>
      <c r="G63" s="192">
        <f>_xlfn.XLOOKUP(E63,Deltakerliste!E$5:E$98,Deltakerliste!H$5:H$98)</f>
        <v>2</v>
      </c>
      <c r="H63" s="592">
        <f>VLOOKUP(F63,Deltakerliste!P$6:T$84,G63,FALSE)</f>
        <v>1.5329999999999999</v>
      </c>
      <c r="I63" s="86"/>
      <c r="J63" s="86"/>
      <c r="K63" s="13"/>
      <c r="L63" s="600"/>
      <c r="M63" s="594"/>
      <c r="N63" s="724"/>
      <c r="O63" s="596"/>
    </row>
    <row r="64" spans="2:29" ht="21" thickBot="1" x14ac:dyDescent="0.3">
      <c r="B64" s="16">
        <f t="shared" si="0"/>
        <v>55</v>
      </c>
      <c r="C64" s="106" t="s">
        <v>342</v>
      </c>
      <c r="D64" s="107" t="s">
        <v>343</v>
      </c>
      <c r="E64" s="599" t="str">
        <f t="shared" si="6"/>
        <v>ArildHeggeset</v>
      </c>
      <c r="F64" s="192">
        <f>YEAR(I$5)-_xlfn.XLOOKUP(E64,Deltakerliste!E$5:E$98,Deltakerliste!I$5:I$98)</f>
        <v>59</v>
      </c>
      <c r="G64" s="192">
        <f>_xlfn.XLOOKUP(E64,Deltakerliste!E$5:E$98,Deltakerliste!H$5:H$98)</f>
        <v>2</v>
      </c>
      <c r="H64" s="592">
        <f>VLOOKUP(F64,Deltakerliste!P$6:T$84,G64,FALSE)</f>
        <v>1.1860000000000002</v>
      </c>
      <c r="I64" s="86"/>
      <c r="J64" s="86"/>
      <c r="K64" s="13"/>
      <c r="L64" s="600"/>
      <c r="M64" s="594"/>
      <c r="N64" s="724"/>
      <c r="O64" s="596"/>
    </row>
    <row r="65" spans="2:17" ht="21" thickBot="1" x14ac:dyDescent="0.3">
      <c r="B65" s="16">
        <f t="shared" si="0"/>
        <v>56</v>
      </c>
      <c r="C65" s="106" t="s">
        <v>309</v>
      </c>
      <c r="D65" s="107" t="s">
        <v>310</v>
      </c>
      <c r="E65" s="599" t="str">
        <f t="shared" si="6"/>
        <v>VigdisHeimly</v>
      </c>
      <c r="F65" s="192">
        <f>YEAR(I$5)-_xlfn.XLOOKUP(E65,Deltakerliste!E$5:E$98,Deltakerliste!I$5:I$98)</f>
        <v>67</v>
      </c>
      <c r="G65" s="192">
        <f>_xlfn.XLOOKUP(E65,Deltakerliste!E$5:E$98,Deltakerliste!H$5:H$98)</f>
        <v>4</v>
      </c>
      <c r="H65" s="592">
        <f>VLOOKUP(F65,Deltakerliste!P$6:T$84,G65,FALSE)</f>
        <v>1.8422000000000009</v>
      </c>
      <c r="I65" s="86"/>
      <c r="J65" s="86"/>
      <c r="K65" s="17"/>
      <c r="L65" s="600"/>
      <c r="M65" s="594"/>
      <c r="N65" s="724"/>
      <c r="O65" s="596"/>
    </row>
    <row r="66" spans="2:17" ht="21" thickBot="1" x14ac:dyDescent="0.3">
      <c r="B66" s="16">
        <f t="shared" si="0"/>
        <v>57</v>
      </c>
      <c r="C66" s="106" t="s">
        <v>118</v>
      </c>
      <c r="D66" s="107" t="s">
        <v>383</v>
      </c>
      <c r="E66" s="599" t="str">
        <f t="shared" si="6"/>
        <v>KnutHelland</v>
      </c>
      <c r="F66" s="192">
        <f>YEAR(I$5)-_xlfn.XLOOKUP(E66,Deltakerliste!E$5:E$98,Deltakerliste!I$5:I$98)</f>
        <v>64</v>
      </c>
      <c r="G66" s="192">
        <f>_xlfn.XLOOKUP(E66,Deltakerliste!E$5:E$98,Deltakerliste!H$5:H$98)</f>
        <v>2</v>
      </c>
      <c r="H66" s="592">
        <f>VLOOKUP(F66,Deltakerliste!P$6:T$84,G66,FALSE)</f>
        <v>1.2759999999999998</v>
      </c>
      <c r="I66" s="86"/>
      <c r="J66" s="86"/>
      <c r="K66" s="17"/>
      <c r="L66" s="600"/>
      <c r="M66" s="594"/>
      <c r="N66" s="724"/>
      <c r="O66" s="596"/>
    </row>
    <row r="67" spans="2:17" ht="21" thickBot="1" x14ac:dyDescent="0.3">
      <c r="B67" s="16">
        <f t="shared" si="0"/>
        <v>58</v>
      </c>
      <c r="C67" s="106" t="s">
        <v>269</v>
      </c>
      <c r="D67" s="107" t="s">
        <v>270</v>
      </c>
      <c r="E67" s="599" t="str">
        <f t="shared" si="6"/>
        <v>Per OlavJohansen</v>
      </c>
      <c r="F67" s="192">
        <f>YEAR(I$5)-_xlfn.XLOOKUP(E67,Deltakerliste!E$5:E$98,Deltakerliste!I$5:I$98)</f>
        <v>68</v>
      </c>
      <c r="G67" s="192">
        <f>_xlfn.XLOOKUP(E67,Deltakerliste!E$5:E$98,Deltakerliste!H$5:H$98)</f>
        <v>2</v>
      </c>
      <c r="H67" s="592">
        <f>VLOOKUP(F67,Deltakerliste!P$6:T$84,G67,FALSE)</f>
        <v>1.3729999999999998</v>
      </c>
      <c r="I67" s="132"/>
      <c r="J67" s="132"/>
      <c r="K67" s="134"/>
      <c r="L67" s="600"/>
      <c r="M67" s="594"/>
      <c r="N67" s="724"/>
      <c r="O67" s="596"/>
    </row>
    <row r="68" spans="2:17" ht="21" thickBot="1" x14ac:dyDescent="0.3">
      <c r="B68" s="16">
        <f t="shared" si="0"/>
        <v>59</v>
      </c>
      <c r="C68" s="106" t="s">
        <v>63</v>
      </c>
      <c r="D68" s="107" t="s">
        <v>105</v>
      </c>
      <c r="E68" s="599" t="str">
        <f t="shared" si="6"/>
        <v>ToreKiste</v>
      </c>
      <c r="F68" s="192">
        <f>YEAR(I$5)-_xlfn.XLOOKUP(E68,Deltakerliste!E$5:E$98,Deltakerliste!I$5:I$98)</f>
        <v>81</v>
      </c>
      <c r="G68" s="192">
        <f>_xlfn.XLOOKUP(E68,Deltakerliste!E$5:E$98,Deltakerliste!H$5:H$98)</f>
        <v>2</v>
      </c>
      <c r="H68" s="592">
        <f>VLOOKUP(F68,Deltakerliste!P$6:T$84,G68,FALSE)</f>
        <v>1.9290000000000003</v>
      </c>
      <c r="I68" s="86"/>
      <c r="J68" s="86"/>
      <c r="K68" s="13"/>
      <c r="L68" s="600"/>
      <c r="M68" s="594"/>
      <c r="N68" s="724"/>
      <c r="O68" s="596"/>
    </row>
    <row r="69" spans="2:17" ht="21" thickBot="1" x14ac:dyDescent="0.3">
      <c r="B69" s="16">
        <f t="shared" si="0"/>
        <v>60</v>
      </c>
      <c r="C69" s="106" t="s">
        <v>108</v>
      </c>
      <c r="D69" s="107" t="s">
        <v>109</v>
      </c>
      <c r="E69" s="599" t="str">
        <f t="shared" si="6"/>
        <v>Finn FayeKnudsen</v>
      </c>
      <c r="F69" s="192">
        <f>YEAR(I$5)-_xlfn.XLOOKUP(E69,Deltakerliste!E$5:E$98,Deltakerliste!I$5:I$98)</f>
        <v>84</v>
      </c>
      <c r="G69" s="192">
        <f>_xlfn.XLOOKUP(E69,Deltakerliste!E$5:E$98,Deltakerliste!H$5:H$98)</f>
        <v>2</v>
      </c>
      <c r="H69" s="592">
        <f>VLOOKUP(F69,Deltakerliste!P$6:T$84,G69,FALSE)</f>
        <v>2.1509999999999998</v>
      </c>
      <c r="I69" s="86"/>
      <c r="J69" s="86"/>
      <c r="K69" s="13"/>
      <c r="L69" s="600"/>
      <c r="M69" s="594"/>
      <c r="N69" s="724"/>
      <c r="O69" s="596"/>
    </row>
    <row r="70" spans="2:17" ht="21" thickBot="1" x14ac:dyDescent="0.3">
      <c r="B70" s="16">
        <f t="shared" si="0"/>
        <v>61</v>
      </c>
      <c r="C70" s="106" t="s">
        <v>110</v>
      </c>
      <c r="D70" s="107" t="s">
        <v>111</v>
      </c>
      <c r="E70" s="599" t="str">
        <f t="shared" si="6"/>
        <v>Jan ErikKofoed</v>
      </c>
      <c r="F70" s="192">
        <f>YEAR(I$5)-_xlfn.XLOOKUP(E70,Deltakerliste!E$5:E$98,Deltakerliste!I$5:I$98)</f>
        <v>72</v>
      </c>
      <c r="G70" s="192">
        <f>_xlfn.XLOOKUP(E70,Deltakerliste!E$5:E$98,Deltakerliste!H$5:H$98)</f>
        <v>2</v>
      </c>
      <c r="H70" s="592">
        <f>VLOOKUP(F70,Deltakerliste!P$6:T$84,G70,FALSE)</f>
        <v>1.4969999999999999</v>
      </c>
      <c r="I70" s="86"/>
      <c r="J70" s="86"/>
      <c r="K70" s="13"/>
      <c r="L70" s="600"/>
      <c r="M70" s="594"/>
      <c r="N70" s="724"/>
      <c r="O70" s="596"/>
    </row>
    <row r="71" spans="2:17" ht="21" thickBot="1" x14ac:dyDescent="0.3">
      <c r="B71" s="16">
        <f t="shared" si="0"/>
        <v>62</v>
      </c>
      <c r="C71" s="106" t="s">
        <v>251</v>
      </c>
      <c r="D71" s="107" t="s">
        <v>252</v>
      </c>
      <c r="E71" s="599" t="str">
        <f t="shared" si="6"/>
        <v>OttarKristiansen</v>
      </c>
      <c r="F71" s="192">
        <f>YEAR(I$5)-_xlfn.XLOOKUP(E71,Deltakerliste!E$5:E$98,Deltakerliste!I$5:I$98)</f>
        <v>77</v>
      </c>
      <c r="G71" s="192">
        <f>_xlfn.XLOOKUP(E71,Deltakerliste!E$5:E$98,Deltakerliste!H$5:H$98)</f>
        <v>2</v>
      </c>
      <c r="H71" s="592">
        <f>VLOOKUP(F71,Deltakerliste!P$6:T$84,G71,FALSE)</f>
        <v>1.7050000000000001</v>
      </c>
      <c r="I71" s="86"/>
      <c r="J71" s="86"/>
      <c r="K71" s="17"/>
      <c r="L71" s="600"/>
      <c r="M71" s="594"/>
      <c r="N71" s="724"/>
      <c r="O71" s="596"/>
    </row>
    <row r="72" spans="2:17" ht="21" thickBot="1" x14ac:dyDescent="0.3">
      <c r="B72" s="16">
        <f t="shared" si="0"/>
        <v>63</v>
      </c>
      <c r="C72" s="106" t="s">
        <v>299</v>
      </c>
      <c r="D72" s="107" t="s">
        <v>300</v>
      </c>
      <c r="E72" s="599" t="str">
        <f t="shared" si="6"/>
        <v>OlavKvittem</v>
      </c>
      <c r="F72" s="192">
        <f>YEAR(I$5)-_xlfn.XLOOKUP(E72,Deltakerliste!E$5:E$98,Deltakerliste!I$5:I$98)</f>
        <v>71</v>
      </c>
      <c r="G72" s="192">
        <f>_xlfn.XLOOKUP(E72,Deltakerliste!E$5:E$98,Deltakerliste!H$5:H$98)</f>
        <v>2</v>
      </c>
      <c r="H72" s="592">
        <f>VLOOKUP(F72,Deltakerliste!P$6:T$84,G72,FALSE)</f>
        <v>1.4609999999999999</v>
      </c>
      <c r="I72" s="86"/>
      <c r="J72" s="86"/>
      <c r="K72" s="13"/>
      <c r="L72" s="600"/>
      <c r="M72" s="594"/>
      <c r="N72" s="724"/>
      <c r="O72" s="596"/>
    </row>
    <row r="73" spans="2:17" ht="21" thickBot="1" x14ac:dyDescent="0.3">
      <c r="B73" s="16">
        <f t="shared" si="0"/>
        <v>64</v>
      </c>
      <c r="C73" s="106" t="s">
        <v>112</v>
      </c>
      <c r="D73" s="107" t="s">
        <v>113</v>
      </c>
      <c r="E73" s="599" t="str">
        <f t="shared" si="6"/>
        <v>ToridKvaal</v>
      </c>
      <c r="F73" s="192">
        <f>YEAR(I$5)-_xlfn.XLOOKUP(E73,Deltakerliste!E$5:E$98,Deltakerliste!I$5:I$98)</f>
        <v>84</v>
      </c>
      <c r="G73" s="192">
        <f>_xlfn.XLOOKUP(E73,Deltakerliste!E$5:E$98,Deltakerliste!H$5:H$98)</f>
        <v>4</v>
      </c>
      <c r="H73" s="592">
        <f>VLOOKUP(F73,Deltakerliste!P$6:T$84,G73,FALSE)</f>
        <v>2.7814000000000005</v>
      </c>
      <c r="I73" s="86"/>
      <c r="J73" s="86"/>
      <c r="K73" s="13"/>
      <c r="L73" s="600"/>
      <c r="M73" s="594"/>
      <c r="N73" s="724"/>
      <c r="O73" s="596"/>
    </row>
    <row r="74" spans="2:17" ht="21" thickBot="1" x14ac:dyDescent="0.3">
      <c r="B74" s="16">
        <f t="shared" si="0"/>
        <v>65</v>
      </c>
      <c r="C74" s="106" t="s">
        <v>254</v>
      </c>
      <c r="D74" s="107" t="s">
        <v>255</v>
      </c>
      <c r="E74" s="599" t="str">
        <f t="shared" ref="E74:E98" si="7">_xlfn.CONCAT(C74:D74)</f>
        <v>ArnfinnLangeland</v>
      </c>
      <c r="F74" s="192">
        <f>YEAR(I$5)-_xlfn.XLOOKUP(E74,Deltakerliste!E$5:E$98,Deltakerliste!I$5:I$98)</f>
        <v>90</v>
      </c>
      <c r="G74" s="192">
        <f>_xlfn.XLOOKUP(E74,Deltakerliste!E$5:E$98,Deltakerliste!H$5:H$98)</f>
        <v>2</v>
      </c>
      <c r="H74" s="592">
        <f>VLOOKUP(F74,Deltakerliste!P$6:T$84,G74,FALSE)</f>
        <v>2.645</v>
      </c>
      <c r="I74" s="86"/>
      <c r="J74" s="86"/>
      <c r="K74" s="13"/>
      <c r="L74" s="600"/>
      <c r="M74" s="594"/>
      <c r="N74" s="724"/>
      <c r="O74" s="596"/>
    </row>
    <row r="75" spans="2:17" ht="21" thickBot="1" x14ac:dyDescent="0.3">
      <c r="B75" s="16">
        <f t="shared" ref="B75:B98" si="8">B74+1</f>
        <v>66</v>
      </c>
      <c r="C75" s="106" t="s">
        <v>118</v>
      </c>
      <c r="D75" s="107" t="s">
        <v>119</v>
      </c>
      <c r="E75" s="599" t="str">
        <f t="shared" si="7"/>
        <v>KnutLillealtern</v>
      </c>
      <c r="F75" s="192">
        <f>YEAR(I$5)-_xlfn.XLOOKUP(E75,Deltakerliste!E$5:E$98,Deltakerliste!I$5:I$98)</f>
        <v>77</v>
      </c>
      <c r="G75" s="192">
        <f>_xlfn.XLOOKUP(E75,Deltakerliste!E$5:E$98,Deltakerliste!H$5:H$98)</f>
        <v>2</v>
      </c>
      <c r="H75" s="592">
        <f>VLOOKUP(F75,Deltakerliste!P$6:T$84,G75,FALSE)</f>
        <v>1.7050000000000001</v>
      </c>
      <c r="I75" s="13"/>
      <c r="J75" s="13"/>
      <c r="K75" s="17"/>
      <c r="L75" s="600"/>
      <c r="M75" s="594"/>
      <c r="N75" s="724"/>
      <c r="O75" s="596"/>
      <c r="Q75" s="112"/>
    </row>
    <row r="76" spans="2:17" ht="21" thickBot="1" x14ac:dyDescent="0.3">
      <c r="B76" s="16">
        <f t="shared" si="8"/>
        <v>67</v>
      </c>
      <c r="C76" s="106" t="s">
        <v>120</v>
      </c>
      <c r="D76" s="107" t="s">
        <v>121</v>
      </c>
      <c r="E76" s="599" t="str">
        <f t="shared" si="7"/>
        <v>KlausLivik</v>
      </c>
      <c r="F76" s="192">
        <f>YEAR(I$5)-_xlfn.XLOOKUP(E76,Deltakerliste!E$5:E$98,Deltakerliste!I$5:I$98)</f>
        <v>72</v>
      </c>
      <c r="G76" s="192">
        <f>_xlfn.XLOOKUP(E76,Deltakerliste!E$5:E$98,Deltakerliste!H$5:H$98)</f>
        <v>2</v>
      </c>
      <c r="H76" s="592">
        <f>VLOOKUP(F76,Deltakerliste!P$6:T$84,G76,FALSE)</f>
        <v>1.4969999999999999</v>
      </c>
      <c r="I76" s="13"/>
      <c r="J76" s="13"/>
      <c r="K76" s="17"/>
      <c r="L76" s="600"/>
      <c r="M76" s="594"/>
      <c r="N76" s="724"/>
      <c r="O76" s="596"/>
    </row>
    <row r="77" spans="2:17" ht="21" thickBot="1" x14ac:dyDescent="0.3">
      <c r="B77" s="16">
        <f t="shared" si="8"/>
        <v>68</v>
      </c>
      <c r="C77" s="106" t="s">
        <v>222</v>
      </c>
      <c r="D77" s="107" t="s">
        <v>221</v>
      </c>
      <c r="E77" s="599" t="str">
        <f t="shared" si="7"/>
        <v>Kjell Maroni</v>
      </c>
      <c r="F77" s="192">
        <f>YEAR(I$5)-_xlfn.XLOOKUP(E77,Deltakerliste!E$5:E$98,Deltakerliste!I$5:I$98)</f>
        <v>70</v>
      </c>
      <c r="G77" s="192">
        <f>_xlfn.XLOOKUP(E77,Deltakerliste!E$5:E$98,Deltakerliste!H$5:H$98)</f>
        <v>2</v>
      </c>
      <c r="H77" s="592">
        <f>VLOOKUP(F77,Deltakerliste!P$6:T$84,G77,FALSE)</f>
        <v>1.4249999999999998</v>
      </c>
      <c r="I77" s="13"/>
      <c r="J77" s="13"/>
      <c r="K77" s="13"/>
      <c r="L77" s="600"/>
      <c r="M77" s="594"/>
      <c r="N77" s="724"/>
      <c r="O77" s="596"/>
    </row>
    <row r="78" spans="2:17" ht="21" thickBot="1" x14ac:dyDescent="0.3">
      <c r="B78" s="16">
        <f t="shared" si="8"/>
        <v>69</v>
      </c>
      <c r="C78" s="106" t="s">
        <v>122</v>
      </c>
      <c r="D78" s="107" t="s">
        <v>123</v>
      </c>
      <c r="E78" s="599" t="str">
        <f t="shared" si="7"/>
        <v>MartinMelhuus</v>
      </c>
      <c r="F78" s="192">
        <f>YEAR(I$5)-_xlfn.XLOOKUP(E78,Deltakerliste!E$5:E$98,Deltakerliste!I$5:I$98)</f>
        <v>82</v>
      </c>
      <c r="G78" s="192">
        <f>_xlfn.XLOOKUP(E78,Deltakerliste!E$5:E$98,Deltakerliste!H$5:H$98)</f>
        <v>2</v>
      </c>
      <c r="H78" s="592">
        <f>VLOOKUP(F78,Deltakerliste!P$6:T$84,G78,FALSE)</f>
        <v>2.0030000000000001</v>
      </c>
      <c r="I78" s="13"/>
      <c r="J78" s="13"/>
      <c r="K78" s="13"/>
      <c r="L78" s="600"/>
      <c r="M78" s="594"/>
      <c r="N78" s="724"/>
      <c r="O78" s="596"/>
    </row>
    <row r="79" spans="2:17" ht="21" thickBot="1" x14ac:dyDescent="0.3">
      <c r="B79" s="16">
        <f t="shared" si="8"/>
        <v>70</v>
      </c>
      <c r="C79" s="106" t="s">
        <v>124</v>
      </c>
      <c r="D79" s="107" t="s">
        <v>125</v>
      </c>
      <c r="E79" s="599" t="str">
        <f t="shared" si="7"/>
        <v>Heidi Midttun</v>
      </c>
      <c r="F79" s="192">
        <f>YEAR(I$5)-_xlfn.XLOOKUP(E79,Deltakerliste!E$5:E$98,Deltakerliste!I$5:I$98)</f>
        <v>71</v>
      </c>
      <c r="G79" s="192">
        <f>_xlfn.XLOOKUP(E79,Deltakerliste!E$5:E$98,Deltakerliste!H$5:H$98)</f>
        <v>4</v>
      </c>
      <c r="H79" s="592">
        <f>VLOOKUP(F79,Deltakerliste!P$6:T$84,G79,FALSE)</f>
        <v>1.9926000000000013</v>
      </c>
      <c r="I79" s="13"/>
      <c r="J79" s="13"/>
      <c r="K79" s="13"/>
      <c r="L79" s="600"/>
      <c r="M79" s="594"/>
      <c r="N79" s="724"/>
      <c r="O79" s="596"/>
    </row>
    <row r="80" spans="2:17" ht="21" thickBot="1" x14ac:dyDescent="0.3">
      <c r="B80" s="16">
        <f t="shared" si="8"/>
        <v>71</v>
      </c>
      <c r="C80" s="106" t="s">
        <v>126</v>
      </c>
      <c r="D80" s="107" t="s">
        <v>127</v>
      </c>
      <c r="E80" s="599" t="str">
        <f t="shared" si="7"/>
        <v>ArneMikkelsen</v>
      </c>
      <c r="F80" s="192">
        <f>YEAR(I$5)-_xlfn.XLOOKUP(E80,Deltakerliste!E$5:E$98,Deltakerliste!I$5:I$98)</f>
        <v>73</v>
      </c>
      <c r="G80" s="192">
        <f>_xlfn.XLOOKUP(E80,Deltakerliste!E$5:E$98,Deltakerliste!H$5:H$98)</f>
        <v>2</v>
      </c>
      <c r="H80" s="592">
        <f>VLOOKUP(F80,Deltakerliste!P$6:T$84,G80,FALSE)</f>
        <v>1.5329999999999999</v>
      </c>
      <c r="I80" s="13"/>
      <c r="J80" s="13"/>
      <c r="K80" s="13"/>
      <c r="L80" s="600"/>
      <c r="M80" s="594"/>
      <c r="N80" s="724"/>
      <c r="O80" s="596"/>
    </row>
    <row r="81" spans="2:15" ht="21" thickBot="1" x14ac:dyDescent="0.3">
      <c r="B81" s="16">
        <f t="shared" si="8"/>
        <v>72</v>
      </c>
      <c r="C81" s="106" t="s">
        <v>128</v>
      </c>
      <c r="D81" s="107" t="s">
        <v>129</v>
      </c>
      <c r="E81" s="599" t="str">
        <f t="shared" si="7"/>
        <v>OddMusum</v>
      </c>
      <c r="F81" s="192">
        <f>YEAR(I$5)-_xlfn.XLOOKUP(E81,Deltakerliste!E$5:E$98,Deltakerliste!I$5:I$98)</f>
        <v>84</v>
      </c>
      <c r="G81" s="192">
        <f>_xlfn.XLOOKUP(E81,Deltakerliste!E$5:E$98,Deltakerliste!H$5:H$98)</f>
        <v>2</v>
      </c>
      <c r="H81" s="592">
        <f>VLOOKUP(F81,Deltakerliste!P$6:T$84,G81,FALSE)</f>
        <v>2.1509999999999998</v>
      </c>
      <c r="I81" s="13"/>
      <c r="J81" s="13"/>
      <c r="K81" s="13"/>
      <c r="L81" s="600"/>
      <c r="M81" s="594"/>
      <c r="N81" s="724"/>
      <c r="O81" s="596"/>
    </row>
    <row r="82" spans="2:15" ht="21" thickBot="1" x14ac:dyDescent="0.3">
      <c r="B82" s="16">
        <f t="shared" si="8"/>
        <v>73</v>
      </c>
      <c r="C82" s="106" t="s">
        <v>132</v>
      </c>
      <c r="D82" s="107" t="s">
        <v>133</v>
      </c>
      <c r="E82" s="599" t="str">
        <f t="shared" si="7"/>
        <v>JarleNestvold</v>
      </c>
      <c r="F82" s="192">
        <f>YEAR(I$5)-_xlfn.XLOOKUP(E82,Deltakerliste!E$5:E$98,Deltakerliste!I$5:I$98)</f>
        <v>89</v>
      </c>
      <c r="G82" s="192">
        <f>_xlfn.XLOOKUP(E82,Deltakerliste!E$5:E$98,Deltakerliste!H$5:H$98)</f>
        <v>2</v>
      </c>
      <c r="H82" s="592">
        <f>VLOOKUP(F82,Deltakerliste!P$6:T$84,G82,FALSE)</f>
        <v>2.5609999999999999</v>
      </c>
      <c r="I82" s="132"/>
      <c r="J82" s="18"/>
      <c r="K82" s="18"/>
      <c r="L82" s="600"/>
      <c r="M82" s="594"/>
      <c r="N82" s="724"/>
      <c r="O82" s="596"/>
    </row>
    <row r="83" spans="2:15" ht="21" thickBot="1" x14ac:dyDescent="0.3">
      <c r="B83" s="16">
        <f t="shared" si="8"/>
        <v>74</v>
      </c>
      <c r="C83" s="106" t="s">
        <v>402</v>
      </c>
      <c r="D83" s="107" t="s">
        <v>403</v>
      </c>
      <c r="E83" s="599" t="str">
        <f t="shared" si="7"/>
        <v>BørgeNordli</v>
      </c>
      <c r="F83" s="192">
        <f>YEAR(I$5)-_xlfn.XLOOKUP(E83,Deltakerliste!E$5:E$98,Deltakerliste!I$5:I$98)</f>
        <v>44</v>
      </c>
      <c r="G83" s="192">
        <f>_xlfn.XLOOKUP(E83,Deltakerliste!E$5:E$98,Deltakerliste!H$5:H$98)</f>
        <v>2</v>
      </c>
      <c r="H83" s="592">
        <f>VLOOKUP(F83,Deltakerliste!P$6:T$84,G83,FALSE)</f>
        <v>1.0399999999999996</v>
      </c>
      <c r="I83" s="132"/>
      <c r="J83" s="132"/>
      <c r="K83" s="18"/>
      <c r="L83" s="600"/>
      <c r="M83" s="594"/>
      <c r="N83" s="724"/>
      <c r="O83" s="596"/>
    </row>
    <row r="84" spans="2:15" ht="21" thickBot="1" x14ac:dyDescent="0.3">
      <c r="B84" s="16">
        <f t="shared" si="8"/>
        <v>75</v>
      </c>
      <c r="C84" s="106" t="s">
        <v>134</v>
      </c>
      <c r="D84" s="107" t="s">
        <v>135</v>
      </c>
      <c r="E84" s="599" t="str">
        <f t="shared" si="7"/>
        <v>IngeNørstebø</v>
      </c>
      <c r="F84" s="192">
        <f>YEAR(I$5)-_xlfn.XLOOKUP(E84,Deltakerliste!E$5:E$98,Deltakerliste!I$5:I$98)</f>
        <v>70</v>
      </c>
      <c r="G84" s="192">
        <f>_xlfn.XLOOKUP(E84,Deltakerliste!E$5:E$98,Deltakerliste!H$5:H$98)</f>
        <v>2</v>
      </c>
      <c r="H84" s="592">
        <f>VLOOKUP(F84,Deltakerliste!P$6:T$84,G84,FALSE)</f>
        <v>1.4249999999999998</v>
      </c>
      <c r="I84" s="13"/>
      <c r="J84" s="13"/>
      <c r="K84" s="13"/>
      <c r="L84" s="600"/>
      <c r="M84" s="594"/>
      <c r="N84" s="724"/>
      <c r="O84" s="596"/>
    </row>
    <row r="85" spans="2:15" ht="21" thickBot="1" x14ac:dyDescent="0.3">
      <c r="B85" s="16">
        <f t="shared" si="8"/>
        <v>76</v>
      </c>
      <c r="C85" s="106" t="s">
        <v>138</v>
      </c>
      <c r="D85" s="107" t="s">
        <v>137</v>
      </c>
      <c r="E85" s="599" t="str">
        <f t="shared" si="7"/>
        <v>GunnhildOftedal</v>
      </c>
      <c r="F85" s="192">
        <f>YEAR(I$5)-_xlfn.XLOOKUP(E85,Deltakerliste!E$5:E$98,Deltakerliste!I$5:I$98)</f>
        <v>73</v>
      </c>
      <c r="G85" s="192">
        <f>_xlfn.XLOOKUP(E85,Deltakerliste!E$5:E$98,Deltakerliste!H$5:H$98)</f>
        <v>4</v>
      </c>
      <c r="H85" s="592">
        <f>VLOOKUP(F85,Deltakerliste!P$6:T$84,G85,FALSE)</f>
        <v>2.0798000000000014</v>
      </c>
      <c r="I85" s="13"/>
      <c r="J85" s="13"/>
      <c r="K85" s="13"/>
      <c r="L85" s="600"/>
      <c r="M85" s="594"/>
      <c r="N85" s="724"/>
      <c r="O85" s="596"/>
    </row>
    <row r="86" spans="2:15" ht="21" thickBot="1" x14ac:dyDescent="0.3">
      <c r="B86" s="16">
        <f t="shared" si="8"/>
        <v>77</v>
      </c>
      <c r="C86" s="111" t="s">
        <v>72</v>
      </c>
      <c r="D86" s="193" t="s">
        <v>139</v>
      </c>
      <c r="E86" s="599" t="str">
        <f t="shared" si="7"/>
        <v>KåreOnsøyen</v>
      </c>
      <c r="F86" s="192">
        <f>YEAR(I$5)-_xlfn.XLOOKUP(E86,Deltakerliste!E$5:E$98,Deltakerliste!I$5:I$98)</f>
        <v>78</v>
      </c>
      <c r="G86" s="192">
        <f>_xlfn.XLOOKUP(E86,Deltakerliste!E$5:E$98,Deltakerliste!H$5:H$98)</f>
        <v>2</v>
      </c>
      <c r="H86" s="592">
        <f>VLOOKUP(F86,Deltakerliste!P$6:T$84,G86,FALSE)</f>
        <v>1.7550000000000001</v>
      </c>
      <c r="I86" s="13"/>
      <c r="J86" s="13"/>
      <c r="K86" s="13"/>
      <c r="L86" s="600"/>
      <c r="M86" s="594"/>
      <c r="N86" s="724"/>
      <c r="O86" s="596"/>
    </row>
    <row r="87" spans="2:15" ht="21" thickBot="1" x14ac:dyDescent="0.3">
      <c r="B87" s="16">
        <f t="shared" si="8"/>
        <v>78</v>
      </c>
      <c r="C87" s="111" t="s">
        <v>140</v>
      </c>
      <c r="D87" s="193" t="s">
        <v>141</v>
      </c>
      <c r="E87" s="599" t="str">
        <f t="shared" si="7"/>
        <v>Grete BergeOwren</v>
      </c>
      <c r="F87" s="192">
        <f>YEAR(I$5)-_xlfn.XLOOKUP(E87,Deltakerliste!E$5:E$98,Deltakerliste!I$5:I$98)</f>
        <v>68</v>
      </c>
      <c r="G87" s="192">
        <f>_xlfn.XLOOKUP(E87,Deltakerliste!E$5:E$98,Deltakerliste!H$5:H$98)</f>
        <v>4</v>
      </c>
      <c r="H87" s="592">
        <f>VLOOKUP(F87,Deltakerliste!P$6:T$84,G87,FALSE)</f>
        <v>1.877800000000001</v>
      </c>
      <c r="I87" s="18"/>
      <c r="J87" s="18"/>
      <c r="K87" s="18"/>
      <c r="L87" s="600"/>
      <c r="M87" s="594"/>
      <c r="N87" s="724"/>
      <c r="O87" s="596"/>
    </row>
    <row r="88" spans="2:15" ht="21" thickBot="1" x14ac:dyDescent="0.3">
      <c r="B88" s="16">
        <f t="shared" si="8"/>
        <v>79</v>
      </c>
      <c r="C88" s="111" t="s">
        <v>144</v>
      </c>
      <c r="D88" s="108" t="s">
        <v>145</v>
      </c>
      <c r="E88" s="599" t="str">
        <f t="shared" si="7"/>
        <v>Bjørn Rindstad</v>
      </c>
      <c r="F88" s="192">
        <f>YEAR(I$5)-_xlfn.XLOOKUP(E88,Deltakerliste!E$5:E$98,Deltakerliste!I$5:I$98)</f>
        <v>75</v>
      </c>
      <c r="G88" s="192">
        <f>_xlfn.XLOOKUP(E88,Deltakerliste!E$5:E$98,Deltakerliste!H$5:H$98)</f>
        <v>2</v>
      </c>
      <c r="H88" s="592">
        <f>VLOOKUP(F88,Deltakerliste!P$6:T$84,G88,FALSE)</f>
        <v>1.605</v>
      </c>
      <c r="I88" s="18"/>
      <c r="J88" s="18"/>
      <c r="K88" s="18"/>
      <c r="L88" s="600"/>
      <c r="M88" s="594"/>
      <c r="N88" s="724"/>
      <c r="O88" s="596"/>
    </row>
    <row r="89" spans="2:15" ht="21" thickBot="1" x14ac:dyDescent="0.3">
      <c r="B89" s="16">
        <f t="shared" si="8"/>
        <v>80</v>
      </c>
      <c r="C89" s="111" t="s">
        <v>298</v>
      </c>
      <c r="D89" s="193" t="s">
        <v>405</v>
      </c>
      <c r="E89" s="599" t="str">
        <f t="shared" si="7"/>
        <v>ØyvindRogndalen</v>
      </c>
      <c r="F89" s="192">
        <f>YEAR(I$5)-_xlfn.XLOOKUP(E89,Deltakerliste!E$5:E$98,Deltakerliste!I$5:I$98)</f>
        <v>81</v>
      </c>
      <c r="G89" s="192">
        <f>_xlfn.XLOOKUP(E89,Deltakerliste!E$5:E$98,Deltakerliste!H$5:H$98)</f>
        <v>2</v>
      </c>
      <c r="H89" s="592">
        <f>VLOOKUP(F89,Deltakerliste!P$6:T$84,G89,FALSE)</f>
        <v>1.9290000000000003</v>
      </c>
      <c r="I89" s="132"/>
      <c r="J89" s="18"/>
      <c r="K89" s="18"/>
      <c r="L89" s="600"/>
      <c r="M89" s="594"/>
      <c r="N89" s="724"/>
      <c r="O89" s="596"/>
    </row>
    <row r="90" spans="2:15" ht="21" thickBot="1" x14ac:dyDescent="0.3">
      <c r="B90" s="16">
        <f t="shared" si="8"/>
        <v>81</v>
      </c>
      <c r="C90" s="111" t="s">
        <v>228</v>
      </c>
      <c r="D90" s="193" t="s">
        <v>229</v>
      </c>
      <c r="E90" s="599" t="str">
        <f t="shared" si="7"/>
        <v>May-LisRønning</v>
      </c>
      <c r="F90" s="192">
        <f>YEAR(I$5)-_xlfn.XLOOKUP(E90,Deltakerliste!E$5:E$98,Deltakerliste!I$5:I$98)</f>
        <v>56</v>
      </c>
      <c r="G90" s="192">
        <f>_xlfn.XLOOKUP(E90,Deltakerliste!E$5:E$98,Deltakerliste!H$5:H$98)</f>
        <v>4</v>
      </c>
      <c r="H90" s="592">
        <f>VLOOKUP(F90,Deltakerliste!P$6:T$84,G90,FALSE)</f>
        <v>1.5329999999999997</v>
      </c>
      <c r="I90" s="18"/>
      <c r="J90" s="18"/>
      <c r="K90" s="18"/>
      <c r="L90" s="600"/>
      <c r="M90" s="594"/>
      <c r="N90" s="724"/>
      <c r="O90" s="596"/>
    </row>
    <row r="91" spans="2:15" ht="21" thickBot="1" x14ac:dyDescent="0.3">
      <c r="B91" s="16">
        <f t="shared" si="8"/>
        <v>82</v>
      </c>
      <c r="C91" s="111" t="s">
        <v>147</v>
      </c>
      <c r="D91" s="108" t="s">
        <v>148</v>
      </c>
      <c r="E91" s="599" t="str">
        <f t="shared" si="7"/>
        <v>ViggoSchei</v>
      </c>
      <c r="F91" s="192">
        <f>YEAR(I$5)-_xlfn.XLOOKUP(E91,Deltakerliste!E$5:E$98,Deltakerliste!I$5:I$98)</f>
        <v>75</v>
      </c>
      <c r="G91" s="192">
        <f>_xlfn.XLOOKUP(E91,Deltakerliste!E$5:E$98,Deltakerliste!H$5:H$98)</f>
        <v>2</v>
      </c>
      <c r="H91" s="592">
        <f>VLOOKUP(F91,Deltakerliste!P$6:T$84,G91,FALSE)</f>
        <v>1.605</v>
      </c>
      <c r="I91" s="18"/>
      <c r="J91" s="132"/>
      <c r="K91" s="18"/>
      <c r="L91" s="600"/>
      <c r="M91" s="594"/>
      <c r="N91" s="724"/>
      <c r="O91" s="596"/>
    </row>
    <row r="92" spans="2:15" ht="21" thickBot="1" x14ac:dyDescent="0.3">
      <c r="B92" s="16">
        <f t="shared" si="8"/>
        <v>83</v>
      </c>
      <c r="C92" s="111" t="s">
        <v>155</v>
      </c>
      <c r="D92" s="108" t="s">
        <v>156</v>
      </c>
      <c r="E92" s="599" t="str">
        <f t="shared" si="7"/>
        <v>KjellrunSporild</v>
      </c>
      <c r="F92" s="192">
        <f>YEAR(I$5)-_xlfn.XLOOKUP(E92,Deltakerliste!E$5:E$98,Deltakerliste!I$5:I$98)</f>
        <v>71</v>
      </c>
      <c r="G92" s="192">
        <f>_xlfn.XLOOKUP(E92,Deltakerliste!E$5:E$98,Deltakerliste!H$5:H$98)</f>
        <v>4</v>
      </c>
      <c r="H92" s="592">
        <f>VLOOKUP(F92,Deltakerliste!P$6:T$84,G92,FALSE)</f>
        <v>1.9926000000000013</v>
      </c>
      <c r="I92" s="18"/>
      <c r="J92" s="132"/>
      <c r="K92" s="18"/>
      <c r="L92" s="600"/>
      <c r="M92" s="594"/>
      <c r="N92" s="724"/>
      <c r="O92" s="596"/>
    </row>
    <row r="93" spans="2:15" ht="21" thickBot="1" x14ac:dyDescent="0.3">
      <c r="B93" s="16">
        <f t="shared" si="8"/>
        <v>84</v>
      </c>
      <c r="C93" s="193" t="s">
        <v>232</v>
      </c>
      <c r="D93" s="133" t="s">
        <v>231</v>
      </c>
      <c r="E93" s="599" t="str">
        <f t="shared" si="7"/>
        <v>BeritSunnset</v>
      </c>
      <c r="F93" s="192">
        <f>YEAR(I$5)-_xlfn.XLOOKUP(E93,Deltakerliste!E$5:E$98,Deltakerliste!I$5:I$98)</f>
        <v>63</v>
      </c>
      <c r="G93" s="192">
        <f>_xlfn.XLOOKUP(E93,Deltakerliste!E$5:E$98,Deltakerliste!H$5:H$98)</f>
        <v>4</v>
      </c>
      <c r="H93" s="592">
        <f>VLOOKUP(F93,Deltakerliste!P$6:T$84,G93,FALSE)</f>
        <v>1.7126000000000006</v>
      </c>
      <c r="I93" s="18"/>
      <c r="J93" s="18"/>
      <c r="K93" s="18"/>
      <c r="L93" s="600"/>
      <c r="M93" s="594"/>
      <c r="N93" s="724"/>
      <c r="O93" s="596"/>
    </row>
    <row r="94" spans="2:15" ht="21" thickBot="1" x14ac:dyDescent="0.3">
      <c r="B94" s="16">
        <f t="shared" si="8"/>
        <v>85</v>
      </c>
      <c r="C94" s="193" t="s">
        <v>230</v>
      </c>
      <c r="D94" s="108" t="s">
        <v>231</v>
      </c>
      <c r="E94" s="599" t="str">
        <f t="shared" si="7"/>
        <v>TrineSunnset</v>
      </c>
      <c r="F94" s="192">
        <f>YEAR(I$5)-_xlfn.XLOOKUP(E94,Deltakerliste!E$5:E$98,Deltakerliste!I$5:I$98)</f>
        <v>63</v>
      </c>
      <c r="G94" s="192">
        <f>_xlfn.XLOOKUP(E94,Deltakerliste!E$5:E$98,Deltakerliste!H$5:H$98)</f>
        <v>4</v>
      </c>
      <c r="H94" s="592">
        <f>VLOOKUP(F94,Deltakerliste!P$6:T$84,G94,FALSE)</f>
        <v>1.7126000000000006</v>
      </c>
      <c r="I94" s="18"/>
      <c r="J94" s="18"/>
      <c r="K94" s="18"/>
      <c r="L94" s="600"/>
      <c r="M94" s="594"/>
      <c r="N94" s="724"/>
      <c r="O94" s="596"/>
    </row>
    <row r="95" spans="2:15" ht="21" thickBot="1" x14ac:dyDescent="0.3">
      <c r="B95" s="16">
        <f t="shared" si="8"/>
        <v>86</v>
      </c>
      <c r="C95" s="193" t="s">
        <v>265</v>
      </c>
      <c r="D95" s="108" t="s">
        <v>266</v>
      </c>
      <c r="E95" s="599" t="str">
        <f t="shared" si="7"/>
        <v>ØysteinWiggen</v>
      </c>
      <c r="F95" s="192">
        <f>YEAR(I$5)-_xlfn.XLOOKUP(E95,Deltakerliste!E$5:E$98,Deltakerliste!I$5:I$98)</f>
        <v>60</v>
      </c>
      <c r="G95" s="192">
        <f>_xlfn.XLOOKUP(E95,Deltakerliste!E$5:E$98,Deltakerliste!H$5:H$98)</f>
        <v>2</v>
      </c>
      <c r="H95" s="592">
        <f>VLOOKUP(F95,Deltakerliste!P$6:T$84,G95,FALSE)</f>
        <v>1.2000000000000002</v>
      </c>
      <c r="I95" s="134"/>
      <c r="J95" s="132"/>
      <c r="K95" s="18"/>
      <c r="L95" s="600"/>
      <c r="M95" s="594"/>
      <c r="N95" s="724"/>
      <c r="O95" s="596"/>
    </row>
    <row r="96" spans="2:15" ht="21" thickBot="1" x14ac:dyDescent="0.3">
      <c r="B96" s="16">
        <f t="shared" si="8"/>
        <v>87</v>
      </c>
      <c r="C96" s="193" t="s">
        <v>307</v>
      </c>
      <c r="D96" s="108" t="s">
        <v>308</v>
      </c>
      <c r="E96" s="599" t="str">
        <f t="shared" si="7"/>
        <v>RolfWærnes</v>
      </c>
      <c r="F96" s="192">
        <f>YEAR(I$5)-_xlfn.XLOOKUP(E96,Deltakerliste!E$5:E$98,Deltakerliste!I$5:I$98)</f>
        <v>75</v>
      </c>
      <c r="G96" s="192">
        <f>_xlfn.XLOOKUP(E96,Deltakerliste!E$5:E$98,Deltakerliste!H$5:H$98)</f>
        <v>2</v>
      </c>
      <c r="H96" s="592">
        <f>VLOOKUP(F96,Deltakerliste!P$6:T$84,G96,FALSE)</f>
        <v>1.605</v>
      </c>
      <c r="I96" s="18"/>
      <c r="J96" s="132"/>
      <c r="K96" s="18"/>
      <c r="L96" s="600"/>
      <c r="M96" s="594"/>
      <c r="N96" s="724"/>
      <c r="O96" s="596"/>
    </row>
    <row r="97" spans="2:15" ht="21" thickBot="1" x14ac:dyDescent="0.3">
      <c r="B97" s="16">
        <f t="shared" si="8"/>
        <v>88</v>
      </c>
      <c r="C97" s="193" t="s">
        <v>166</v>
      </c>
      <c r="D97" s="108" t="s">
        <v>167</v>
      </c>
      <c r="E97" s="599" t="str">
        <f t="shared" si="7"/>
        <v>GunnarØsterbø</v>
      </c>
      <c r="F97" s="192">
        <f>YEAR(I$5)-_xlfn.XLOOKUP(E97,Deltakerliste!E$5:E$98,Deltakerliste!I$5:I$98)</f>
        <v>87</v>
      </c>
      <c r="G97" s="192">
        <f>_xlfn.XLOOKUP(E97,Deltakerliste!E$5:E$98,Deltakerliste!H$5:H$98)</f>
        <v>2</v>
      </c>
      <c r="H97" s="592">
        <f>VLOOKUP(F97,Deltakerliste!P$6:T$84,G97,FALSE)</f>
        <v>2.3929999999999998</v>
      </c>
      <c r="I97" s="18"/>
      <c r="J97" s="132"/>
      <c r="K97" s="18"/>
      <c r="L97" s="600"/>
      <c r="M97" s="594"/>
      <c r="N97" s="724"/>
      <c r="O97" s="596"/>
    </row>
    <row r="98" spans="2:15" ht="21" thickBot="1" x14ac:dyDescent="0.3">
      <c r="B98" s="16">
        <f t="shared" si="8"/>
        <v>89</v>
      </c>
      <c r="C98" s="193" t="s">
        <v>168</v>
      </c>
      <c r="D98" s="108" t="s">
        <v>169</v>
      </c>
      <c r="E98" s="599" t="str">
        <f t="shared" si="7"/>
        <v>SteinØvstedal</v>
      </c>
      <c r="F98" s="192">
        <f>YEAR(I$5)-_xlfn.XLOOKUP(E98,Deltakerliste!E$5:E$98,Deltakerliste!I$5:I$98)</f>
        <v>75</v>
      </c>
      <c r="G98" s="192">
        <f>_xlfn.XLOOKUP(E98,Deltakerliste!E$5:E$98,Deltakerliste!H$5:H$98)</f>
        <v>2</v>
      </c>
      <c r="H98" s="592">
        <f>VLOOKUP(F98,Deltakerliste!P$6:T$84,G98,FALSE)</f>
        <v>1.605</v>
      </c>
      <c r="I98" s="132"/>
      <c r="J98" s="132"/>
      <c r="K98" s="18"/>
      <c r="L98" s="725"/>
      <c r="M98" s="717"/>
      <c r="N98" s="726"/>
      <c r="O98" s="719"/>
    </row>
    <row r="100" spans="2:15" ht="17" thickBot="1" x14ac:dyDescent="0.25"/>
    <row r="101" spans="2:15" ht="21" thickTop="1" thickBot="1" x14ac:dyDescent="0.3">
      <c r="D101" s="646" t="s">
        <v>288</v>
      </c>
      <c r="E101" s="647"/>
      <c r="F101" s="666"/>
      <c r="G101" s="666"/>
      <c r="H101" s="666"/>
      <c r="I101" s="648" t="s">
        <v>195</v>
      </c>
      <c r="J101" s="648" t="s">
        <v>196</v>
      </c>
      <c r="K101" s="649" t="s">
        <v>197</v>
      </c>
    </row>
    <row r="102" spans="2:15" ht="20" x14ac:dyDescent="0.25">
      <c r="D102" s="634" t="s">
        <v>172</v>
      </c>
      <c r="E102" s="320"/>
      <c r="F102" s="208"/>
      <c r="G102" s="208"/>
      <c r="H102" s="208"/>
      <c r="I102" s="635">
        <f>COUNT(I10:I99)+COUNTIF(I10:I99,"Brutt")+COUNTIF(I10:I99,"Disk")+COUNTIF(I10:I99,"(*)")</f>
        <v>14</v>
      </c>
      <c r="J102" s="635">
        <f>COUNT(J10:J99)+COUNTIF(J10:J99,"Brutt")+COUNTIF(J10:J99,"Disk")+COUNTIF(J10:J99,"(*)")</f>
        <v>16</v>
      </c>
      <c r="K102" s="636">
        <f>I102+J102</f>
        <v>30</v>
      </c>
    </row>
    <row r="103" spans="2:15" ht="19" x14ac:dyDescent="0.25">
      <c r="D103" s="637" t="s">
        <v>174</v>
      </c>
      <c r="E103" s="320"/>
      <c r="F103" s="208"/>
      <c r="G103" s="208"/>
      <c r="H103" s="208"/>
      <c r="I103" s="635">
        <f>COUNT(I10:I99)</f>
        <v>14</v>
      </c>
      <c r="J103" s="635">
        <f>COUNT(J10:J99)</f>
        <v>16</v>
      </c>
      <c r="K103" s="636">
        <f t="shared" ref="K103" si="9">I103+J103</f>
        <v>30</v>
      </c>
    </row>
    <row r="104" spans="2:15" ht="19" x14ac:dyDescent="0.25">
      <c r="D104" s="637" t="s">
        <v>173</v>
      </c>
      <c r="E104" s="320"/>
      <c r="F104" s="208"/>
      <c r="G104" s="208"/>
      <c r="H104" s="208"/>
      <c r="I104" s="208"/>
      <c r="J104" s="208"/>
      <c r="K104" s="636">
        <f>K102+COUNTIF(L10:L99,"Arr")+COUNTIF(L10:L99,"Løype")</f>
        <v>34</v>
      </c>
    </row>
    <row r="105" spans="2:15" ht="19" x14ac:dyDescent="0.25">
      <c r="D105" s="637" t="s">
        <v>341</v>
      </c>
      <c r="E105" s="320"/>
      <c r="F105" s="208"/>
      <c r="G105" s="208"/>
      <c r="H105" s="208"/>
      <c r="I105" s="208"/>
      <c r="J105" s="208"/>
      <c r="K105" s="638">
        <f>IF(SUM(L10:L99)=0," ",AVERAGEIF(M10:M99,"&gt;0",F10:F99))</f>
        <v>76.441176470588232</v>
      </c>
    </row>
    <row r="106" spans="2:15" ht="19" x14ac:dyDescent="0.25">
      <c r="D106" s="637" t="s">
        <v>296</v>
      </c>
      <c r="E106" s="320"/>
      <c r="F106" s="208"/>
      <c r="G106" s="208"/>
      <c r="H106" s="208"/>
      <c r="I106" s="208"/>
      <c r="J106" s="208"/>
      <c r="K106" s="638">
        <f>AVERAGE(I8:J8)</f>
        <v>3</v>
      </c>
    </row>
    <row r="107" spans="2:15" ht="19" x14ac:dyDescent="0.25">
      <c r="D107" s="637" t="s">
        <v>176</v>
      </c>
      <c r="E107" s="320"/>
      <c r="F107" s="208"/>
      <c r="G107" s="208"/>
      <c r="H107" s="208"/>
      <c r="I107" s="112">
        <f>I8*I103</f>
        <v>36.4</v>
      </c>
      <c r="J107" s="112">
        <f>J8*J103</f>
        <v>54.4</v>
      </c>
      <c r="K107" s="638">
        <f>I107+J107</f>
        <v>90.8</v>
      </c>
    </row>
    <row r="108" spans="2:15" ht="19" x14ac:dyDescent="0.25">
      <c r="D108" s="639" t="s">
        <v>286</v>
      </c>
      <c r="E108" s="320"/>
      <c r="F108" s="208"/>
      <c r="G108" s="208"/>
      <c r="H108" s="208"/>
      <c r="I108" s="103">
        <f>IF(SUM(I10:I99)=0," ",AVERAGE(I10:I99))</f>
        <v>3.1879960317460314E-2</v>
      </c>
      <c r="J108" s="103">
        <f>IF(SUM(J10:J99)=0," ",AVERAGE(J10:J99))</f>
        <v>3.3475839120370367E-2</v>
      </c>
      <c r="K108" s="640">
        <f>IF(SUM(I10:J99)=0," ",AVERAGE(I10:J99))</f>
        <v>3.2731095679012348E-2</v>
      </c>
    </row>
    <row r="109" spans="2:15" ht="20" thickBot="1" x14ac:dyDescent="0.3">
      <c r="D109" s="641" t="s">
        <v>287</v>
      </c>
      <c r="E109" s="642"/>
      <c r="F109" s="644"/>
      <c r="G109" s="644"/>
      <c r="H109" s="644"/>
      <c r="I109" s="643"/>
      <c r="J109" s="644"/>
      <c r="K109" s="645">
        <f>MIN(L10:L99)</f>
        <v>7.080610021786493E-3</v>
      </c>
    </row>
    <row r="110" spans="2:15" ht="17" thickTop="1" x14ac:dyDescent="0.2"/>
  </sheetData>
  <autoFilter ref="C9:O98" xr:uid="{7DEF8F78-F20C-F84B-ACF5-922F0E0F3488}">
    <sortState xmlns:xlrd2="http://schemas.microsoft.com/office/spreadsheetml/2017/richdata2" ref="C10:O98">
      <sortCondition ref="N9:N98"/>
    </sortState>
  </autoFilter>
  <mergeCells count="3">
    <mergeCell ref="W7:X7"/>
    <mergeCell ref="S8:U8"/>
    <mergeCell ref="W8:X8"/>
  </mergeCells>
  <pageMargins left="0.7" right="0.7" top="0.75" bottom="0.75" header="0.3" footer="0.3"/>
  <pageSetup paperSize="9" orientation="portrait" horizontalDpi="0" verticalDpi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FBFB4-7EA8-7846-942B-D43221E58840}">
  <dimension ref="B1:AC110"/>
  <sheetViews>
    <sheetView workbookViewId="0">
      <selection activeCell="I8" sqref="I8"/>
    </sheetView>
  </sheetViews>
  <sheetFormatPr baseColWidth="10" defaultColWidth="10.83203125" defaultRowHeight="16" x14ac:dyDescent="0.2"/>
  <cols>
    <col min="3" max="3" width="14.5" customWidth="1"/>
    <col min="4" max="4" width="20.1640625" customWidth="1"/>
    <col min="5" max="5" width="20.1640625" hidden="1" customWidth="1"/>
    <col min="6" max="6" width="14.5" style="15" customWidth="1"/>
    <col min="7" max="7" width="14.5" style="15" hidden="1" customWidth="1"/>
    <col min="8" max="8" width="14" style="15" customWidth="1"/>
    <col min="9" max="10" width="19.1640625" style="15" customWidth="1"/>
    <col min="11" max="11" width="17.6640625" style="15" customWidth="1"/>
    <col min="12" max="12" width="10.83203125" style="15"/>
    <col min="14" max="14" width="10.83203125" style="15"/>
    <col min="18" max="18" width="12.5" customWidth="1"/>
    <col min="19" max="19" width="13.5" customWidth="1"/>
    <col min="22" max="22" width="1.83203125" customWidth="1"/>
    <col min="23" max="23" width="15.83203125" customWidth="1"/>
    <col min="24" max="24" width="11" customWidth="1"/>
  </cols>
  <sheetData>
    <row r="1" spans="2:29" ht="8" customHeight="1" x14ac:dyDescent="0.2"/>
    <row r="2" spans="2:29" ht="8" customHeight="1" x14ac:dyDescent="0.2"/>
    <row r="5" spans="2:29" ht="26" x14ac:dyDescent="0.3">
      <c r="B5" s="21" t="s">
        <v>335</v>
      </c>
      <c r="C5" s="245" t="s">
        <v>379</v>
      </c>
      <c r="F5" s="667"/>
      <c r="G5" s="667"/>
      <c r="H5" s="671" t="s">
        <v>189</v>
      </c>
      <c r="I5" s="670">
        <f>'Løp 26'!I5+7</f>
        <v>46119</v>
      </c>
    </row>
    <row r="6" spans="2:29" ht="17" thickBot="1" x14ac:dyDescent="0.25">
      <c r="B6" s="15"/>
    </row>
    <row r="7" spans="2:29" ht="59" customHeight="1" thickBot="1" x14ac:dyDescent="0.35">
      <c r="B7" s="12" t="s">
        <v>194</v>
      </c>
      <c r="C7" s="662" t="s">
        <v>57</v>
      </c>
      <c r="D7" s="391" t="s">
        <v>58</v>
      </c>
      <c r="E7" s="663"/>
      <c r="F7" s="663" t="s">
        <v>234</v>
      </c>
      <c r="G7" s="391" t="s">
        <v>280</v>
      </c>
      <c r="H7" s="391" t="s">
        <v>235</v>
      </c>
      <c r="I7" s="391" t="s">
        <v>302</v>
      </c>
      <c r="J7" s="391" t="s">
        <v>303</v>
      </c>
      <c r="K7" s="391" t="s">
        <v>192</v>
      </c>
      <c r="L7" s="194" t="s">
        <v>209</v>
      </c>
      <c r="M7" s="392" t="s">
        <v>55</v>
      </c>
      <c r="N7" s="393" t="s">
        <v>242</v>
      </c>
      <c r="O7" s="393" t="s">
        <v>240</v>
      </c>
      <c r="Q7" s="319"/>
      <c r="R7" s="319"/>
      <c r="S7" s="755" t="str">
        <f>B5</f>
        <v>Løp 27</v>
      </c>
      <c r="T7" s="754" t="str">
        <f>C5</f>
        <v>Nilsbyen</v>
      </c>
      <c r="U7" s="730"/>
      <c r="V7" s="730"/>
      <c r="W7" s="941"/>
      <c r="X7" s="941"/>
    </row>
    <row r="8" spans="2:29" ht="23" customHeight="1" thickTop="1" thickBot="1" x14ac:dyDescent="0.35">
      <c r="B8" s="22"/>
      <c r="C8" s="394"/>
      <c r="D8" s="395"/>
      <c r="E8" s="597"/>
      <c r="F8" s="668"/>
      <c r="G8" s="668"/>
      <c r="H8" s="664"/>
      <c r="I8" s="789">
        <v>1.8</v>
      </c>
      <c r="J8" s="789">
        <v>2.7</v>
      </c>
      <c r="K8" s="391"/>
      <c r="N8" s="720"/>
      <c r="O8" s="390"/>
      <c r="S8" s="942" t="s">
        <v>312</v>
      </c>
      <c r="T8" s="943"/>
      <c r="U8" s="944"/>
      <c r="V8" s="779"/>
      <c r="W8" s="945" t="s">
        <v>313</v>
      </c>
      <c r="X8" s="940"/>
      <c r="AB8" s="836" t="s">
        <v>361</v>
      </c>
      <c r="AC8" s="827"/>
    </row>
    <row r="9" spans="2:29" ht="21" thickBot="1" x14ac:dyDescent="0.3">
      <c r="B9" s="22"/>
      <c r="C9" s="109"/>
      <c r="D9" s="105"/>
      <c r="E9" s="598"/>
      <c r="F9" s="669"/>
      <c r="G9" s="669"/>
      <c r="H9" s="665"/>
      <c r="I9" s="12"/>
      <c r="J9" s="12"/>
      <c r="K9" s="12"/>
      <c r="N9" s="722"/>
      <c r="O9" s="200"/>
      <c r="Q9" s="110"/>
      <c r="S9" s="731"/>
      <c r="T9" s="727" t="s">
        <v>311</v>
      </c>
      <c r="U9" s="750" t="s">
        <v>55</v>
      </c>
      <c r="V9" s="780"/>
      <c r="W9" s="774"/>
      <c r="X9" s="732" t="s">
        <v>55</v>
      </c>
      <c r="AB9" s="834" t="s">
        <v>234</v>
      </c>
      <c r="AC9" s="835" t="s">
        <v>362</v>
      </c>
    </row>
    <row r="10" spans="2:29" ht="21" thickBot="1" x14ac:dyDescent="0.3">
      <c r="B10" s="16">
        <v>1</v>
      </c>
      <c r="C10" s="106" t="s">
        <v>138</v>
      </c>
      <c r="D10" s="107" t="s">
        <v>137</v>
      </c>
      <c r="E10" s="599" t="str">
        <f t="shared" ref="E10:E41" si="0">_xlfn.CONCAT(C10:D10)</f>
        <v>GunnhildOftedal</v>
      </c>
      <c r="F10" s="192">
        <f>YEAR(I$5)-_xlfn.XLOOKUP(E10,Deltakerliste!E$5:E$98,Deltakerliste!I$5:I$98)</f>
        <v>73</v>
      </c>
      <c r="G10" s="192">
        <f>_xlfn.XLOOKUP(E10,Deltakerliste!E$5:E$98,Deltakerliste!H$5:H$98)</f>
        <v>4</v>
      </c>
      <c r="H10" s="592">
        <f>VLOOKUP(F10,Deltakerliste!P$6:T$84,G10,FALSE)</f>
        <v>2.0798000000000014</v>
      </c>
      <c r="I10" s="13"/>
      <c r="J10" s="13">
        <v>2.4791666666666667E-2</v>
      </c>
      <c r="K10" s="13"/>
      <c r="L10" s="600">
        <f t="shared" ref="L10:L50" si="1">IF(OR(I10="Arr",J10="Arr",K10="Arr"),"Arr",IF(OR(I10="Brutt",J10="Brutt",K10="Brutt"),"Brutt",IF(OR(I10="Disk",J10="Disk",K10="Disk"),"Disk",IF(OR(I10="Løype",J10="Løype",K10="Løype"),"Løype",IF(I10&gt;0,I10/I$8,J10/J$8)))))</f>
        <v>9.1820987654320976E-3</v>
      </c>
      <c r="M10" s="594">
        <f>IF(L10="Løype",Poengsammendrag!$F$2,IF(L10="Arr",Poengsammendrag!$F$3,IF(L10="Brutt",50,IF(L10="Disk",50,ROUND(MAXA(100*(MIN(L$10:L$96)/L10),50),0)))))</f>
        <v>75</v>
      </c>
      <c r="N10" s="724">
        <f t="shared" ref="N10:N50" si="2">IF(L10="Arr","Arr",IF(L10="Brutt","Brutt",IF(L10="Disk","Disk",IF(L10="Løype","Løype",L10/H10))))</f>
        <v>4.4148950694451825E-3</v>
      </c>
      <c r="O10" s="596">
        <f>IF(N10="Løype",Poengsammendrag!$F$2,IF(N10="Arr",Poengsammendrag!$F$3,IF(N10="Brutt",50,IF(N10="Disk",50,ROUND(MAXA(100*(MIN(N$10:N$96)/N10),50),0)))))</f>
        <v>100</v>
      </c>
      <c r="Q10" s="672"/>
      <c r="R10" s="672"/>
      <c r="S10" s="802" t="s">
        <v>134</v>
      </c>
      <c r="T10" s="734">
        <v>6.8544238683127569E-3</v>
      </c>
      <c r="U10" s="751">
        <v>100</v>
      </c>
      <c r="V10" s="781"/>
      <c r="W10" s="775" t="s">
        <v>138</v>
      </c>
      <c r="X10" s="739">
        <v>100</v>
      </c>
      <c r="AB10" s="832">
        <v>55</v>
      </c>
      <c r="AC10" s="833">
        <f t="shared" ref="AC10:AC50" si="3">COUNTIFS(F$10:F$99,AB10,M$10:M$99,"&gt;0")</f>
        <v>0</v>
      </c>
    </row>
    <row r="11" spans="2:29" ht="21" customHeight="1" thickBot="1" x14ac:dyDescent="0.3">
      <c r="B11" s="16">
        <f t="shared" ref="B11:B73" si="4">B10+1</f>
        <v>2</v>
      </c>
      <c r="C11" s="106" t="s">
        <v>64</v>
      </c>
      <c r="D11" s="107" t="s">
        <v>65</v>
      </c>
      <c r="E11" s="599" t="str">
        <f t="shared" si="0"/>
        <v>BjørnBerger</v>
      </c>
      <c r="F11" s="192">
        <f>YEAR(I$5)-_xlfn.XLOOKUP(E11,Deltakerliste!E$5:E$98,Deltakerliste!I$5:I$98)</f>
        <v>75</v>
      </c>
      <c r="G11" s="192">
        <f>_xlfn.XLOOKUP(E11,Deltakerliste!E$5:E$98,Deltakerliste!H$5:H$98)</f>
        <v>2</v>
      </c>
      <c r="H11" s="592">
        <f>VLOOKUP(F11,Deltakerliste!P$6:T$84,G11,FALSE)</f>
        <v>1.605</v>
      </c>
      <c r="I11" s="13"/>
      <c r="J11" s="13">
        <v>1.9293981481481481E-2</v>
      </c>
      <c r="K11" s="19"/>
      <c r="L11" s="600">
        <f t="shared" si="1"/>
        <v>7.1459190672153632E-3</v>
      </c>
      <c r="M11" s="594">
        <f>IF(L11="Løype",Poengsammendrag!$F$2,IF(L11="Arr",Poengsammendrag!$F$3,IF(L11="Brutt",50,IF(L11="Disk",50,ROUND(MAXA(100*(MIN(L$10:L$96)/L11),50),0)))))</f>
        <v>96</v>
      </c>
      <c r="N11" s="724">
        <f t="shared" si="2"/>
        <v>4.4522860231871421E-3</v>
      </c>
      <c r="O11" s="596">
        <f>IF(N11="Løype",Poengsammendrag!$F$2,IF(N11="Arr",Poengsammendrag!$F$3,IF(N11="Brutt",50,IF(N11="Disk",50,ROUND(MAXA(100*(MIN(N$10:N$96)/N11),50),0)))))</f>
        <v>99</v>
      </c>
      <c r="Q11" s="672"/>
      <c r="R11" s="672"/>
      <c r="S11" s="803" t="s">
        <v>386</v>
      </c>
      <c r="T11" s="736">
        <v>7.0773319615912208E-3</v>
      </c>
      <c r="U11" s="752">
        <v>97</v>
      </c>
      <c r="V11" s="781"/>
      <c r="W11" s="776" t="s">
        <v>144</v>
      </c>
      <c r="X11" s="740">
        <v>99</v>
      </c>
      <c r="AB11" s="828">
        <f>AB10+1</f>
        <v>56</v>
      </c>
      <c r="AC11" s="829">
        <f t="shared" si="3"/>
        <v>0</v>
      </c>
    </row>
    <row r="12" spans="2:29" ht="21" customHeight="1" thickBot="1" x14ac:dyDescent="0.3">
      <c r="B12" s="16">
        <f t="shared" si="4"/>
        <v>3</v>
      </c>
      <c r="C12" s="106" t="s">
        <v>126</v>
      </c>
      <c r="D12" s="107" t="s">
        <v>127</v>
      </c>
      <c r="E12" s="599" t="str">
        <f t="shared" si="0"/>
        <v>ArneMikkelsen</v>
      </c>
      <c r="F12" s="192">
        <f>YEAR(I$5)-_xlfn.XLOOKUP(E12,Deltakerliste!E$5:E$98,Deltakerliste!I$5:I$98)</f>
        <v>73</v>
      </c>
      <c r="G12" s="192">
        <f>_xlfn.XLOOKUP(E12,Deltakerliste!E$5:E$98,Deltakerliste!H$5:H$98)</f>
        <v>2</v>
      </c>
      <c r="H12" s="592">
        <f>VLOOKUP(F12,Deltakerliste!P$6:T$84,G12,FALSE)</f>
        <v>1.5329999999999999</v>
      </c>
      <c r="I12" s="13"/>
      <c r="J12" s="13">
        <v>1.9108796296296297E-2</v>
      </c>
      <c r="K12" s="13"/>
      <c r="L12" s="600">
        <f t="shared" si="1"/>
        <v>7.0773319615912208E-3</v>
      </c>
      <c r="M12" s="594">
        <f>IF(L12="Løype",Poengsammendrag!$F$2,IF(L12="Arr",Poengsammendrag!$F$3,IF(L12="Brutt",50,IF(L12="Disk",50,ROUND(MAXA(100*(MIN(L$10:L$96)/L12),50),0)))))</f>
        <v>97</v>
      </c>
      <c r="N12" s="724">
        <f t="shared" si="2"/>
        <v>4.6166548999290414E-3</v>
      </c>
      <c r="O12" s="596">
        <f>IF(N12="Løype",Poengsammendrag!$F$2,IF(N12="Arr",Poengsammendrag!$F$3,IF(N12="Brutt",50,IF(N12="Disk",50,ROUND(MAXA(100*(MIN(N$10:N$96)/N12),50),0)))))</f>
        <v>96</v>
      </c>
      <c r="Q12" s="672"/>
      <c r="R12" s="672"/>
      <c r="S12" s="803" t="s">
        <v>64</v>
      </c>
      <c r="T12" s="736">
        <v>7.1459190672153632E-3</v>
      </c>
      <c r="U12" s="752">
        <v>96</v>
      </c>
      <c r="V12" s="781"/>
      <c r="W12" s="776" t="s">
        <v>386</v>
      </c>
      <c r="X12" s="740">
        <v>96</v>
      </c>
      <c r="AB12" s="828">
        <f t="shared" ref="AB12:AB50" si="5">AB11+1</f>
        <v>57</v>
      </c>
      <c r="AC12" s="829">
        <f t="shared" si="3"/>
        <v>0</v>
      </c>
    </row>
    <row r="13" spans="2:29" ht="21" customHeight="1" thickBot="1" x14ac:dyDescent="0.3">
      <c r="B13" s="16">
        <f t="shared" si="4"/>
        <v>4</v>
      </c>
      <c r="C13" s="106" t="s">
        <v>116</v>
      </c>
      <c r="D13" s="107" t="s">
        <v>165</v>
      </c>
      <c r="E13" s="599" t="str">
        <f t="shared" si="0"/>
        <v>AndersWaage</v>
      </c>
      <c r="F13" s="192">
        <f>YEAR(I$5)-_xlfn.XLOOKUP(E13,Deltakerliste!E$5:E$98,Deltakerliste!I$5:I$98)</f>
        <v>78</v>
      </c>
      <c r="G13" s="192">
        <f>_xlfn.XLOOKUP(E13,Deltakerliste!E$5:E$98,Deltakerliste!H$5:H$98)</f>
        <v>2</v>
      </c>
      <c r="H13" s="592">
        <f>VLOOKUP(F13,Deltakerliste!P$6:T$84,G13,FALSE)</f>
        <v>1.7550000000000001</v>
      </c>
      <c r="I13" s="18"/>
      <c r="J13" s="132">
        <v>2.2349537037037036E-2</v>
      </c>
      <c r="K13" s="18"/>
      <c r="L13" s="600">
        <f t="shared" si="1"/>
        <v>8.2776063100137159E-3</v>
      </c>
      <c r="M13" s="594">
        <f>IF(L13="Løype",Poengsammendrag!$F$2,IF(L13="Arr",Poengsammendrag!$F$3,IF(L13="Brutt",50,IF(L13="Disk",50,ROUND(MAXA(100*(MIN(L$10:L$96)/L13),50),0)))))</f>
        <v>83</v>
      </c>
      <c r="N13" s="724">
        <f t="shared" si="2"/>
        <v>4.7165847920306071E-3</v>
      </c>
      <c r="O13" s="596">
        <f>IF(N13="Løype",Poengsammendrag!$F$2,IF(N13="Arr",Poengsammendrag!$F$3,IF(N13="Brutt",50,IF(N13="Disk",50,ROUND(MAXA(100*(MIN(N$10:N$96)/N13),50),0)))))</f>
        <v>94</v>
      </c>
      <c r="Q13" s="672"/>
      <c r="R13" s="672"/>
      <c r="S13" s="803" t="s">
        <v>413</v>
      </c>
      <c r="T13" s="736">
        <v>7.1544924554183802E-3</v>
      </c>
      <c r="U13" s="752">
        <v>96</v>
      </c>
      <c r="V13" s="781"/>
      <c r="W13" s="776" t="s">
        <v>314</v>
      </c>
      <c r="X13" s="740">
        <v>94</v>
      </c>
      <c r="AB13" s="828">
        <f t="shared" si="5"/>
        <v>58</v>
      </c>
      <c r="AC13" s="829">
        <f t="shared" si="3"/>
        <v>0</v>
      </c>
    </row>
    <row r="14" spans="2:29" ht="21" customHeight="1" thickBot="1" x14ac:dyDescent="0.3">
      <c r="B14" s="16">
        <f t="shared" si="4"/>
        <v>5</v>
      </c>
      <c r="C14" s="106" t="s">
        <v>78</v>
      </c>
      <c r="D14" s="107" t="s">
        <v>79</v>
      </c>
      <c r="E14" s="599" t="str">
        <f t="shared" si="0"/>
        <v>LeifEngen</v>
      </c>
      <c r="F14" s="192">
        <f>YEAR(I$5)-_xlfn.XLOOKUP(E14,Deltakerliste!E$5:E$98,Deltakerliste!I$5:I$98)</f>
        <v>85</v>
      </c>
      <c r="G14" s="192">
        <f>_xlfn.XLOOKUP(E14,Deltakerliste!E$5:E$98,Deltakerliste!H$5:H$98)</f>
        <v>2</v>
      </c>
      <c r="H14" s="592">
        <f>VLOOKUP(F14,Deltakerliste!P$6:T$84,G14,FALSE)</f>
        <v>2.2249999999999996</v>
      </c>
      <c r="I14" s="86">
        <v>1.9143518518518518E-2</v>
      </c>
      <c r="J14" s="86"/>
      <c r="K14" s="13"/>
      <c r="L14" s="600">
        <f t="shared" si="1"/>
        <v>1.063528806584362E-2</v>
      </c>
      <c r="M14" s="594">
        <f>IF(L14="Løype",Poengsammendrag!$F$2,IF(L14="Arr",Poengsammendrag!$F$3,IF(L14="Brutt",50,IF(L14="Disk",50,ROUND(MAXA(100*(MIN(L$10:L$96)/L14),50),0)))))</f>
        <v>64</v>
      </c>
      <c r="N14" s="724">
        <f t="shared" si="2"/>
        <v>4.779904748693763E-3</v>
      </c>
      <c r="O14" s="596">
        <f>IF(N14="Løype",Poengsammendrag!$F$2,IF(N14="Arr",Poengsammendrag!$F$3,IF(N14="Brutt",50,IF(N14="Disk",50,ROUND(MAXA(100*(MIN(N$10:N$96)/N14),50),0)))))</f>
        <v>92</v>
      </c>
      <c r="Q14" s="672"/>
      <c r="R14" s="672"/>
      <c r="S14" s="803" t="s">
        <v>368</v>
      </c>
      <c r="T14" s="736">
        <v>7.4459876543209865E-3</v>
      </c>
      <c r="U14" s="752">
        <v>92</v>
      </c>
      <c r="V14" s="781"/>
      <c r="W14" s="776" t="s">
        <v>338</v>
      </c>
      <c r="X14" s="740">
        <v>92</v>
      </c>
      <c r="AB14" s="828">
        <f t="shared" si="5"/>
        <v>59</v>
      </c>
      <c r="AC14" s="829">
        <f t="shared" si="3"/>
        <v>1</v>
      </c>
    </row>
    <row r="15" spans="2:29" ht="21" customHeight="1" thickBot="1" x14ac:dyDescent="0.3">
      <c r="B15" s="16">
        <f t="shared" si="4"/>
        <v>6</v>
      </c>
      <c r="C15" s="106" t="s">
        <v>134</v>
      </c>
      <c r="D15" s="107" t="s">
        <v>135</v>
      </c>
      <c r="E15" s="599" t="str">
        <f t="shared" si="0"/>
        <v>IngeNørstebø</v>
      </c>
      <c r="F15" s="192">
        <f>YEAR(I$5)-_xlfn.XLOOKUP(E15,Deltakerliste!E$5:E$98,Deltakerliste!I$5:I$98)</f>
        <v>70</v>
      </c>
      <c r="G15" s="192">
        <f>_xlfn.XLOOKUP(E15,Deltakerliste!E$5:E$98,Deltakerliste!H$5:H$98)</f>
        <v>2</v>
      </c>
      <c r="H15" s="592">
        <f>VLOOKUP(F15,Deltakerliste!P$6:T$84,G15,FALSE)</f>
        <v>1.4249999999999998</v>
      </c>
      <c r="I15" s="13"/>
      <c r="J15" s="13">
        <v>1.8506944444444444E-2</v>
      </c>
      <c r="K15" s="13"/>
      <c r="L15" s="600">
        <f t="shared" si="1"/>
        <v>6.8544238683127569E-3</v>
      </c>
      <c r="M15" s="594">
        <f>IF(L15="Løype",Poengsammendrag!$F$2,IF(L15="Arr",Poengsammendrag!$F$3,IF(L15="Brutt",50,IF(L15="Disk",50,ROUND(MAXA(100*(MIN(L$10:L$96)/L15),50),0)))))</f>
        <v>100</v>
      </c>
      <c r="N15" s="724">
        <f t="shared" si="2"/>
        <v>4.8101220128510579E-3</v>
      </c>
      <c r="O15" s="596">
        <f>IF(N15="Løype",Poengsammendrag!$F$2,IF(N15="Arr",Poengsammendrag!$F$3,IF(N15="Brutt",50,IF(N15="Disk",50,ROUND(MAXA(100*(MIN(N$10:N$96)/N15),50),0)))))</f>
        <v>92</v>
      </c>
      <c r="Q15" s="672"/>
      <c r="R15" s="672"/>
      <c r="S15" s="803" t="s">
        <v>314</v>
      </c>
      <c r="T15" s="736">
        <v>8.2776063100137159E-3</v>
      </c>
      <c r="U15" s="752">
        <v>83</v>
      </c>
      <c r="V15" s="781"/>
      <c r="W15" s="776" t="s">
        <v>134</v>
      </c>
      <c r="X15" s="740">
        <v>92</v>
      </c>
      <c r="AB15" s="828">
        <f t="shared" si="5"/>
        <v>60</v>
      </c>
      <c r="AC15" s="829">
        <f t="shared" si="3"/>
        <v>1</v>
      </c>
    </row>
    <row r="16" spans="2:29" ht="21" customHeight="1" thickBot="1" x14ac:dyDescent="0.3">
      <c r="B16" s="16">
        <f t="shared" si="4"/>
        <v>7</v>
      </c>
      <c r="C16" s="106" t="s">
        <v>159</v>
      </c>
      <c r="D16" s="107" t="s">
        <v>160</v>
      </c>
      <c r="E16" s="599" t="str">
        <f t="shared" si="0"/>
        <v>EigilSørli</v>
      </c>
      <c r="F16" s="192">
        <f>YEAR(I$5)-_xlfn.XLOOKUP(E16,Deltakerliste!E$5:E$98,Deltakerliste!I$5:I$98)</f>
        <v>86</v>
      </c>
      <c r="G16" s="192">
        <f>_xlfn.XLOOKUP(E16,Deltakerliste!E$5:E$98,Deltakerliste!H$5:H$98)</f>
        <v>2</v>
      </c>
      <c r="H16" s="592">
        <f>VLOOKUP(F16,Deltakerliste!P$6:T$84,G16,FALSE)</f>
        <v>2.3089999999999997</v>
      </c>
      <c r="I16" s="132">
        <v>2.1458333333333333E-2</v>
      </c>
      <c r="J16" s="18"/>
      <c r="K16" s="18"/>
      <c r="L16" s="600">
        <f t="shared" si="1"/>
        <v>1.1921296296296296E-2</v>
      </c>
      <c r="M16" s="594">
        <f>IF(L16="Løype",Poengsammendrag!$F$2,IF(L16="Arr",Poengsammendrag!$F$3,IF(L16="Brutt",50,IF(L16="Disk",50,ROUND(MAXA(100*(MIN(L$10:L$96)/L16),50),0)))))</f>
        <v>57</v>
      </c>
      <c r="N16" s="724">
        <f t="shared" si="2"/>
        <v>5.1629693790802497E-3</v>
      </c>
      <c r="O16" s="596">
        <f>IF(N16="Løype",Poengsammendrag!$F$2,IF(N16="Arr",Poengsammendrag!$F$3,IF(N16="Brutt",50,IF(N16="Disk",50,ROUND(MAXA(100*(MIN(N$10:N$96)/N16),50),0)))))</f>
        <v>86</v>
      </c>
      <c r="Q16" s="672"/>
      <c r="R16" s="672"/>
      <c r="S16" s="803" t="s">
        <v>120</v>
      </c>
      <c r="T16" s="736">
        <v>8.363340192043895E-3</v>
      </c>
      <c r="U16" s="752">
        <v>82</v>
      </c>
      <c r="V16" s="781"/>
      <c r="W16" s="776" t="s">
        <v>357</v>
      </c>
      <c r="X16" s="740">
        <v>86</v>
      </c>
      <c r="AB16" s="828">
        <f t="shared" si="5"/>
        <v>61</v>
      </c>
      <c r="AC16" s="829">
        <f t="shared" si="3"/>
        <v>1</v>
      </c>
    </row>
    <row r="17" spans="2:29" ht="21" customHeight="1" thickBot="1" x14ac:dyDescent="0.3">
      <c r="B17" s="16">
        <f t="shared" si="4"/>
        <v>8</v>
      </c>
      <c r="C17" s="106" t="s">
        <v>118</v>
      </c>
      <c r="D17" s="107" t="s">
        <v>119</v>
      </c>
      <c r="E17" s="599" t="str">
        <f t="shared" si="0"/>
        <v>KnutLillealtern</v>
      </c>
      <c r="F17" s="192">
        <f>YEAR(I$5)-_xlfn.XLOOKUP(E17,Deltakerliste!E$5:E$98,Deltakerliste!I$5:I$98)</f>
        <v>77</v>
      </c>
      <c r="G17" s="192">
        <f>_xlfn.XLOOKUP(E17,Deltakerliste!E$5:E$98,Deltakerliste!H$5:H$98)</f>
        <v>2</v>
      </c>
      <c r="H17" s="592">
        <f>VLOOKUP(F17,Deltakerliste!P$6:T$84,G17,FALSE)</f>
        <v>1.7050000000000001</v>
      </c>
      <c r="I17" s="13"/>
      <c r="J17" s="13">
        <v>2.4062500000000001E-2</v>
      </c>
      <c r="K17" s="17"/>
      <c r="L17" s="600">
        <f t="shared" si="1"/>
        <v>8.912037037037036E-3</v>
      </c>
      <c r="M17" s="594">
        <f>IF(L17="Løype",Poengsammendrag!$F$2,IF(L17="Arr",Poengsammendrag!$F$3,IF(L17="Brutt",50,IF(L17="Disk",50,ROUND(MAXA(100*(MIN(L$10:L$96)/L17),50),0)))))</f>
        <v>77</v>
      </c>
      <c r="N17" s="724">
        <f t="shared" si="2"/>
        <v>5.2270011947431298E-3</v>
      </c>
      <c r="O17" s="596">
        <f>IF(N17="Løype",Poengsammendrag!$F$2,IF(N17="Arr",Poengsammendrag!$F$3,IF(N17="Brutt",50,IF(N17="Disk",50,ROUND(MAXA(100*(MIN(N$10:N$96)/N17),50),0)))))</f>
        <v>84</v>
      </c>
      <c r="Q17" s="672"/>
      <c r="R17" s="672"/>
      <c r="S17" s="803" t="s">
        <v>346</v>
      </c>
      <c r="T17" s="736">
        <v>8.8348765432098748E-3</v>
      </c>
      <c r="U17" s="752">
        <v>78</v>
      </c>
      <c r="V17" s="781"/>
      <c r="W17" s="776" t="s">
        <v>118</v>
      </c>
      <c r="X17" s="740">
        <v>84</v>
      </c>
      <c r="AB17" s="828">
        <f t="shared" si="5"/>
        <v>62</v>
      </c>
      <c r="AC17" s="829">
        <f t="shared" si="3"/>
        <v>0</v>
      </c>
    </row>
    <row r="18" spans="2:29" ht="21" customHeight="1" thickBot="1" x14ac:dyDescent="0.3">
      <c r="B18" s="16">
        <f t="shared" si="4"/>
        <v>9</v>
      </c>
      <c r="C18" s="106" t="s">
        <v>106</v>
      </c>
      <c r="D18" s="107" t="s">
        <v>107</v>
      </c>
      <c r="E18" s="599" t="str">
        <f t="shared" si="0"/>
        <v>Jon ArneKlemetsaune</v>
      </c>
      <c r="F18" s="192">
        <f>YEAR(I$5)-_xlfn.XLOOKUP(E18,Deltakerliste!E$5:E$98,Deltakerliste!I$5:I$98)</f>
        <v>77</v>
      </c>
      <c r="G18" s="192">
        <f>_xlfn.XLOOKUP(E18,Deltakerliste!E$5:E$98,Deltakerliste!H$5:H$98)</f>
        <v>2</v>
      </c>
      <c r="H18" s="592">
        <f>VLOOKUP(F18,Deltakerliste!P$6:T$84,G18,FALSE)</f>
        <v>1.7050000000000001</v>
      </c>
      <c r="I18" s="86"/>
      <c r="J18" s="86">
        <v>2.435185185185185E-2</v>
      </c>
      <c r="K18" s="17"/>
      <c r="L18" s="600">
        <f t="shared" si="1"/>
        <v>9.019204389574759E-3</v>
      </c>
      <c r="M18" s="594">
        <f>IF(L18="Løype",Poengsammendrag!$F$2,IF(L18="Arr",Poengsammendrag!$F$3,IF(L18="Brutt",50,IF(L18="Disk",50,ROUND(MAXA(100*(MIN(L$10:L$96)/L18),50),0)))))</f>
        <v>76</v>
      </c>
      <c r="N18" s="724">
        <f t="shared" si="2"/>
        <v>5.2898559469646677E-3</v>
      </c>
      <c r="O18" s="596">
        <f>IF(N18="Løype",Poengsammendrag!$F$2,IF(N18="Arr",Poengsammendrag!$F$3,IF(N18="Brutt",50,IF(N18="Disk",50,ROUND(MAXA(100*(MIN(N$10:N$96)/N18),50),0)))))</f>
        <v>83</v>
      </c>
      <c r="Q18" s="672"/>
      <c r="R18" s="672"/>
      <c r="S18" s="803" t="s">
        <v>118</v>
      </c>
      <c r="T18" s="736">
        <v>8.912037037037036E-3</v>
      </c>
      <c r="U18" s="752">
        <v>77</v>
      </c>
      <c r="V18" s="781"/>
      <c r="W18" s="776" t="s">
        <v>106</v>
      </c>
      <c r="X18" s="740">
        <v>83</v>
      </c>
      <c r="AB18" s="828">
        <f t="shared" si="5"/>
        <v>63</v>
      </c>
      <c r="AC18" s="829">
        <f t="shared" si="3"/>
        <v>0</v>
      </c>
    </row>
    <row r="19" spans="2:29" ht="21" thickBot="1" x14ac:dyDescent="0.3">
      <c r="B19" s="16">
        <f t="shared" si="4"/>
        <v>10</v>
      </c>
      <c r="C19" s="106" t="s">
        <v>114</v>
      </c>
      <c r="D19" s="107" t="s">
        <v>115</v>
      </c>
      <c r="E19" s="599" t="str">
        <f t="shared" si="0"/>
        <v>MagnusLandstad</v>
      </c>
      <c r="F19" s="192">
        <f>YEAR(I$5)-_xlfn.XLOOKUP(E19,Deltakerliste!E$5:E$98,Deltakerliste!I$5:I$98)</f>
        <v>83</v>
      </c>
      <c r="G19" s="192">
        <f>_xlfn.XLOOKUP(E19,Deltakerliste!E$5:E$98,Deltakerliste!H$5:H$98)</f>
        <v>2</v>
      </c>
      <c r="H19" s="592">
        <f>VLOOKUP(F19,Deltakerliste!P$6:T$84,G19,FALSE)</f>
        <v>2.077</v>
      </c>
      <c r="I19" s="86"/>
      <c r="J19" s="86">
        <v>3.0208333333333334E-2</v>
      </c>
      <c r="K19" s="13"/>
      <c r="L19" s="600">
        <f t="shared" si="1"/>
        <v>1.1188271604938271E-2</v>
      </c>
      <c r="M19" s="594">
        <f>IF(L19="Løype",Poengsammendrag!$F$2,IF(L19="Arr",Poengsammendrag!$F$3,IF(L19="Brutt",50,IF(L19="Disk",50,ROUND(MAXA(100*(MIN(L$10:L$96)/L19),50),0)))))</f>
        <v>61</v>
      </c>
      <c r="N19" s="724">
        <f t="shared" si="2"/>
        <v>5.3867460784488546E-3</v>
      </c>
      <c r="O19" s="596">
        <f>IF(N19="Løype",Poengsammendrag!$F$2,IF(N19="Arr",Poengsammendrag!$F$3,IF(N19="Brutt",50,IF(N19="Disk",50,ROUND(MAXA(100*(MIN(N$10:N$96)/N19),50),0)))))</f>
        <v>82</v>
      </c>
      <c r="Q19" s="672"/>
      <c r="R19" s="672"/>
      <c r="S19" s="803" t="s">
        <v>106</v>
      </c>
      <c r="T19" s="736">
        <v>9.019204389574759E-3</v>
      </c>
      <c r="U19" s="752">
        <v>76</v>
      </c>
      <c r="V19" s="781"/>
      <c r="W19" s="776" t="s">
        <v>114</v>
      </c>
      <c r="X19" s="740">
        <v>82</v>
      </c>
      <c r="AB19" s="828">
        <f t="shared" si="5"/>
        <v>64</v>
      </c>
      <c r="AC19" s="829">
        <f t="shared" si="3"/>
        <v>0</v>
      </c>
    </row>
    <row r="20" spans="2:29" ht="21" thickBot="1" x14ac:dyDescent="0.3">
      <c r="B20" s="16">
        <f t="shared" si="4"/>
        <v>11</v>
      </c>
      <c r="C20" s="106" t="s">
        <v>124</v>
      </c>
      <c r="D20" s="107" t="s">
        <v>125</v>
      </c>
      <c r="E20" s="599" t="str">
        <f t="shared" si="0"/>
        <v>Heidi Midttun</v>
      </c>
      <c r="F20" s="192">
        <f>YEAR(I$5)-_xlfn.XLOOKUP(E20,Deltakerliste!E$5:E$98,Deltakerliste!I$5:I$98)</f>
        <v>71</v>
      </c>
      <c r="G20" s="192">
        <f>_xlfn.XLOOKUP(E20,Deltakerliste!E$5:E$98,Deltakerliste!H$5:H$98)</f>
        <v>4</v>
      </c>
      <c r="H20" s="592">
        <f>VLOOKUP(F20,Deltakerliste!P$6:T$84,G20,FALSE)</f>
        <v>1.9926000000000013</v>
      </c>
      <c r="I20" s="13"/>
      <c r="J20" s="13">
        <v>2.9525462962962962E-2</v>
      </c>
      <c r="K20" s="13"/>
      <c r="L20" s="600">
        <f t="shared" si="1"/>
        <v>1.0935356652949244E-2</v>
      </c>
      <c r="M20" s="594">
        <f>IF(L20="Løype",Poengsammendrag!$F$2,IF(L20="Arr",Poengsammendrag!$F$3,IF(L20="Brutt",50,IF(L20="Disk",50,ROUND(MAXA(100*(MIN(L$10:L$96)/L20),50),0)))))</f>
        <v>63</v>
      </c>
      <c r="N20" s="724">
        <f t="shared" si="2"/>
        <v>5.4879838667817107E-3</v>
      </c>
      <c r="O20" s="596">
        <f>IF(N20="Løype",Poengsammendrag!$F$2,IF(N20="Arr",Poengsammendrag!$F$3,IF(N20="Brutt",50,IF(N20="Disk",50,ROUND(MAXA(100*(MIN(N$10:N$96)/N20),50),0)))))</f>
        <v>80</v>
      </c>
      <c r="Q20" s="672"/>
      <c r="R20" s="672"/>
      <c r="S20" s="803" t="s">
        <v>138</v>
      </c>
      <c r="T20" s="736">
        <v>9.1820987654320976E-3</v>
      </c>
      <c r="U20" s="752">
        <v>75</v>
      </c>
      <c r="V20" s="781"/>
      <c r="W20" s="776" t="s">
        <v>124</v>
      </c>
      <c r="X20" s="740">
        <v>80</v>
      </c>
      <c r="AB20" s="828">
        <f t="shared" si="5"/>
        <v>65</v>
      </c>
      <c r="AC20" s="829">
        <f t="shared" si="3"/>
        <v>0</v>
      </c>
    </row>
    <row r="21" spans="2:29" ht="21" customHeight="1" thickBot="1" x14ac:dyDescent="0.3">
      <c r="B21" s="16">
        <f t="shared" si="4"/>
        <v>12</v>
      </c>
      <c r="C21" s="106" t="s">
        <v>120</v>
      </c>
      <c r="D21" s="107" t="s">
        <v>121</v>
      </c>
      <c r="E21" s="599" t="str">
        <f t="shared" si="0"/>
        <v>KlausLivik</v>
      </c>
      <c r="F21" s="192">
        <f>YEAR(I$5)-_xlfn.XLOOKUP(E21,Deltakerliste!E$5:E$98,Deltakerliste!I$5:I$98)</f>
        <v>72</v>
      </c>
      <c r="G21" s="192">
        <f>_xlfn.XLOOKUP(E21,Deltakerliste!E$5:E$98,Deltakerliste!H$5:H$98)</f>
        <v>2</v>
      </c>
      <c r="H21" s="592">
        <f>VLOOKUP(F21,Deltakerliste!P$6:T$84,G21,FALSE)</f>
        <v>1.4969999999999999</v>
      </c>
      <c r="I21" s="13"/>
      <c r="J21" s="13">
        <v>2.2581018518518518E-2</v>
      </c>
      <c r="K21" s="17"/>
      <c r="L21" s="600">
        <f t="shared" si="1"/>
        <v>8.363340192043895E-3</v>
      </c>
      <c r="M21" s="594">
        <f>IF(L21="Løype",Poengsammendrag!$F$2,IF(L21="Arr",Poengsammendrag!$F$3,IF(L21="Brutt",50,IF(L21="Disk",50,ROUND(MAXA(100*(MIN(L$10:L$96)/L21),50),0)))))</f>
        <v>82</v>
      </c>
      <c r="N21" s="724">
        <f t="shared" si="2"/>
        <v>5.5867335952197034E-3</v>
      </c>
      <c r="O21" s="596">
        <f>IF(N21="Løype",Poengsammendrag!$F$2,IF(N21="Arr",Poengsammendrag!$F$3,IF(N21="Brutt",50,IF(N21="Disk",50,ROUND(MAXA(100*(MIN(N$10:N$96)/N21),50),0)))))</f>
        <v>79</v>
      </c>
      <c r="Q21" s="672"/>
      <c r="R21" s="672"/>
      <c r="S21" s="803" t="s">
        <v>101</v>
      </c>
      <c r="T21" s="736">
        <v>9.3235596707818922E-3</v>
      </c>
      <c r="U21" s="752">
        <v>74</v>
      </c>
      <c r="V21" s="781"/>
      <c r="W21" s="776" t="s">
        <v>120</v>
      </c>
      <c r="X21" s="740">
        <v>79</v>
      </c>
      <c r="AB21" s="828">
        <f t="shared" si="5"/>
        <v>66</v>
      </c>
      <c r="AC21" s="829">
        <f t="shared" si="3"/>
        <v>1</v>
      </c>
    </row>
    <row r="22" spans="2:29" ht="21" customHeight="1" thickBot="1" x14ac:dyDescent="0.3">
      <c r="B22" s="16">
        <f t="shared" si="4"/>
        <v>13</v>
      </c>
      <c r="C22" s="106" t="s">
        <v>88</v>
      </c>
      <c r="D22" s="107" t="s">
        <v>89</v>
      </c>
      <c r="E22" s="599" t="str">
        <f t="shared" si="0"/>
        <v>EdgarFuruholt</v>
      </c>
      <c r="F22" s="192">
        <f>YEAR(I$5)-_xlfn.XLOOKUP(E22,Deltakerliste!E$5:E$98,Deltakerliste!I$5:I$98)</f>
        <v>79</v>
      </c>
      <c r="G22" s="192">
        <f>_xlfn.XLOOKUP(E22,Deltakerliste!E$5:E$98,Deltakerliste!H$5:H$98)</f>
        <v>2</v>
      </c>
      <c r="H22" s="592">
        <f>VLOOKUP(F22,Deltakerliste!P$6:T$84,G22,FALSE)</f>
        <v>1.8050000000000002</v>
      </c>
      <c r="I22" s="132"/>
      <c r="J22" s="132">
        <v>2.7280092592592592E-2</v>
      </c>
      <c r="K22" s="18"/>
      <c r="L22" s="600">
        <f t="shared" si="1"/>
        <v>1.0103737997256515E-2</v>
      </c>
      <c r="M22" s="594">
        <f>IF(L22="Løype",Poengsammendrag!$F$2,IF(L22="Arr",Poengsammendrag!$F$3,IF(L22="Brutt",50,IF(L22="Disk",50,ROUND(MAXA(100*(MIN(L$10:L$96)/L22),50),0)))))</f>
        <v>68</v>
      </c>
      <c r="N22" s="724">
        <f t="shared" si="2"/>
        <v>5.5976387796434985E-3</v>
      </c>
      <c r="O22" s="596">
        <f>IF(N22="Løype",Poengsammendrag!$F$2,IF(N22="Arr",Poengsammendrag!$F$3,IF(N22="Brutt",50,IF(N22="Disk",50,ROUND(MAXA(100*(MIN(N$10:N$96)/N22),50),0)))))</f>
        <v>79</v>
      </c>
      <c r="Q22" s="672"/>
      <c r="R22" s="672"/>
      <c r="S22" s="803" t="s">
        <v>345</v>
      </c>
      <c r="T22" s="736">
        <v>9.8122427983539078E-3</v>
      </c>
      <c r="U22" s="752">
        <v>70</v>
      </c>
      <c r="V22" s="781"/>
      <c r="W22" s="776" t="s">
        <v>88</v>
      </c>
      <c r="X22" s="740">
        <v>79</v>
      </c>
      <c r="AB22" s="828">
        <f t="shared" si="5"/>
        <v>67</v>
      </c>
      <c r="AC22" s="829">
        <f t="shared" si="3"/>
        <v>2</v>
      </c>
    </row>
    <row r="23" spans="2:29" ht="21" customHeight="1" thickBot="1" x14ac:dyDescent="0.3">
      <c r="B23" s="16">
        <f t="shared" si="4"/>
        <v>14</v>
      </c>
      <c r="C23" s="106" t="s">
        <v>142</v>
      </c>
      <c r="D23" s="107" t="s">
        <v>143</v>
      </c>
      <c r="E23" s="599" t="str">
        <f t="shared" si="0"/>
        <v>EgilRepvik</v>
      </c>
      <c r="F23" s="192">
        <f>YEAR(I$5)-_xlfn.XLOOKUP(E23,Deltakerliste!E$5:E$98,Deltakerliste!I$5:I$98)</f>
        <v>80</v>
      </c>
      <c r="G23" s="192">
        <f>_xlfn.XLOOKUP(E23,Deltakerliste!E$5:E$98,Deltakerliste!H$5:H$98)</f>
        <v>2</v>
      </c>
      <c r="H23" s="592">
        <f>VLOOKUP(F23,Deltakerliste!P$6:T$84,G23,FALSE)</f>
        <v>1.8550000000000002</v>
      </c>
      <c r="I23" s="132">
        <v>1.9560185185185184E-2</v>
      </c>
      <c r="J23" s="18"/>
      <c r="K23" s="18"/>
      <c r="L23" s="600">
        <f t="shared" si="1"/>
        <v>1.0866769547325102E-2</v>
      </c>
      <c r="M23" s="594">
        <f>IF(L23="Løype",Poengsammendrag!$F$2,IF(L23="Arr",Poengsammendrag!$F$3,IF(L23="Brutt",50,IF(L23="Disk",50,ROUND(MAXA(100*(MIN(L$10:L$96)/L23),50),0)))))</f>
        <v>63</v>
      </c>
      <c r="N23" s="724">
        <f t="shared" si="2"/>
        <v>5.858096791010836E-3</v>
      </c>
      <c r="O23" s="596">
        <f>IF(N23="Løype",Poengsammendrag!$F$2,IF(N23="Arr",Poengsammendrag!$F$3,IF(N23="Brutt",50,IF(N23="Disk",50,ROUND(MAXA(100*(MIN(N$10:N$96)/N23),50),0)))))</f>
        <v>75</v>
      </c>
      <c r="Q23" s="672"/>
      <c r="R23" s="672"/>
      <c r="S23" s="803" t="s">
        <v>88</v>
      </c>
      <c r="T23" s="736">
        <v>1.0103737997256515E-2</v>
      </c>
      <c r="U23" s="752">
        <v>68</v>
      </c>
      <c r="V23" s="781"/>
      <c r="W23" s="776" t="s">
        <v>356</v>
      </c>
      <c r="X23" s="740">
        <v>75</v>
      </c>
      <c r="AB23" s="828">
        <f t="shared" si="5"/>
        <v>68</v>
      </c>
      <c r="AC23" s="829">
        <f t="shared" si="3"/>
        <v>1</v>
      </c>
    </row>
    <row r="24" spans="2:29" ht="21" thickBot="1" x14ac:dyDescent="0.3">
      <c r="B24" s="16">
        <f t="shared" si="4"/>
        <v>15</v>
      </c>
      <c r="C24" s="106" t="s">
        <v>298</v>
      </c>
      <c r="D24" s="107" t="s">
        <v>297</v>
      </c>
      <c r="E24" s="599" t="str">
        <f t="shared" si="0"/>
        <v>ØyvindSchjelderup</v>
      </c>
      <c r="F24" s="192">
        <f>YEAR(I$5)-_xlfn.XLOOKUP(E24,Deltakerliste!E$5:E$98,Deltakerliste!I$5:I$98)</f>
        <v>61</v>
      </c>
      <c r="G24" s="192">
        <f>_xlfn.XLOOKUP(E24,Deltakerliste!E$5:E$98,Deltakerliste!H$5:H$98)</f>
        <v>2</v>
      </c>
      <c r="H24" s="592">
        <f>VLOOKUP(F24,Deltakerliste!P$6:T$84,G24,FALSE)</f>
        <v>1.2190000000000001</v>
      </c>
      <c r="I24" s="18"/>
      <c r="J24" s="132">
        <v>1.9317129629629629E-2</v>
      </c>
      <c r="K24" s="18"/>
      <c r="L24" s="600">
        <f t="shared" si="1"/>
        <v>7.1544924554183802E-3</v>
      </c>
      <c r="M24" s="594">
        <f>IF(L24="Løype",Poengsammendrag!$F$2,IF(L24="Arr",Poengsammendrag!$F$3,IF(L24="Brutt",50,IF(L24="Disk",50,ROUND(MAXA(100*(MIN(L$10:L$96)/L24),50),0)))))</f>
        <v>96</v>
      </c>
      <c r="N24" s="724">
        <f t="shared" si="2"/>
        <v>5.8691488559625754E-3</v>
      </c>
      <c r="O24" s="596">
        <f>IF(N24="Løype",Poengsammendrag!$F$2,IF(N24="Arr",Poengsammendrag!$F$3,IF(N24="Brutt",50,IF(N24="Disk",50,ROUND(MAXA(100*(MIN(N$10:N$96)/N24),50),0)))))</f>
        <v>75</v>
      </c>
      <c r="Q24" s="672"/>
      <c r="R24" s="672"/>
      <c r="S24" s="803" t="s">
        <v>342</v>
      </c>
      <c r="T24" s="736">
        <v>1.0320216049382715E-2</v>
      </c>
      <c r="U24" s="752">
        <v>66</v>
      </c>
      <c r="V24" s="781"/>
      <c r="W24" s="776" t="s">
        <v>413</v>
      </c>
      <c r="X24" s="740">
        <v>75</v>
      </c>
      <c r="AB24" s="828">
        <f t="shared" si="5"/>
        <v>69</v>
      </c>
      <c r="AC24" s="829">
        <f t="shared" si="3"/>
        <v>0</v>
      </c>
    </row>
    <row r="25" spans="2:29" ht="21" thickBot="1" x14ac:dyDescent="0.3">
      <c r="B25" s="16">
        <f t="shared" si="4"/>
        <v>16</v>
      </c>
      <c r="C25" s="106" t="s">
        <v>265</v>
      </c>
      <c r="D25" s="107" t="s">
        <v>266</v>
      </c>
      <c r="E25" s="599" t="str">
        <f t="shared" si="0"/>
        <v>ØysteinWiggen</v>
      </c>
      <c r="F25" s="192">
        <f>YEAR(I$5)-_xlfn.XLOOKUP(E25,Deltakerliste!E$5:E$98,Deltakerliste!I$5:I$98)</f>
        <v>60</v>
      </c>
      <c r="G25" s="192">
        <f>_xlfn.XLOOKUP(E25,Deltakerliste!E$5:E$98,Deltakerliste!H$5:H$98)</f>
        <v>2</v>
      </c>
      <c r="H25" s="592">
        <f>VLOOKUP(F25,Deltakerliste!P$6:T$84,G25,FALSE)</f>
        <v>1.2000000000000002</v>
      </c>
      <c r="I25" s="134"/>
      <c r="J25" s="132">
        <v>2.0104166666666666E-2</v>
      </c>
      <c r="K25" s="18"/>
      <c r="L25" s="600">
        <f t="shared" si="1"/>
        <v>7.4459876543209865E-3</v>
      </c>
      <c r="M25" s="594">
        <f>IF(L25="Løype",Poengsammendrag!$F$2,IF(L25="Arr",Poengsammendrag!$F$3,IF(L25="Brutt",50,IF(L25="Disk",50,ROUND(MAXA(100*(MIN(L$10:L$96)/L25),50),0)))))</f>
        <v>92</v>
      </c>
      <c r="N25" s="724">
        <f t="shared" si="2"/>
        <v>6.2049897119341542E-3</v>
      </c>
      <c r="O25" s="596">
        <f>IF(N25="Løype",Poengsammendrag!$F$2,IF(N25="Arr",Poengsammendrag!$F$3,IF(N25="Brutt",50,IF(N25="Disk",50,ROUND(MAXA(100*(MIN(N$10:N$96)/N25),50),0)))))</f>
        <v>71</v>
      </c>
      <c r="Q25" s="672"/>
      <c r="R25" s="672"/>
      <c r="S25" s="803" t="s">
        <v>338</v>
      </c>
      <c r="T25" s="736">
        <v>1.063528806584362E-2</v>
      </c>
      <c r="U25" s="752">
        <v>64</v>
      </c>
      <c r="V25" s="781"/>
      <c r="W25" s="776" t="s">
        <v>368</v>
      </c>
      <c r="X25" s="740">
        <v>71</v>
      </c>
      <c r="AB25" s="828">
        <f t="shared" si="5"/>
        <v>70</v>
      </c>
      <c r="AC25" s="829">
        <f t="shared" si="3"/>
        <v>1</v>
      </c>
    </row>
    <row r="26" spans="2:29" ht="21" customHeight="1" thickBot="1" x14ac:dyDescent="0.3">
      <c r="B26" s="16">
        <f t="shared" si="4"/>
        <v>17</v>
      </c>
      <c r="C26" s="106" t="s">
        <v>101</v>
      </c>
      <c r="D26" s="107" t="s">
        <v>102</v>
      </c>
      <c r="E26" s="599" t="str">
        <f t="shared" si="0"/>
        <v>EvenHofstad</v>
      </c>
      <c r="F26" s="192">
        <f>YEAR(I$5)-_xlfn.XLOOKUP(E26,Deltakerliste!E$5:E$98,Deltakerliste!I$5:I$98)</f>
        <v>72</v>
      </c>
      <c r="G26" s="192">
        <f>_xlfn.XLOOKUP(E26,Deltakerliste!E$5:E$98,Deltakerliste!H$5:H$98)</f>
        <v>2</v>
      </c>
      <c r="H26" s="592">
        <f>VLOOKUP(F26,Deltakerliste!P$6:T$84,G26,FALSE)</f>
        <v>1.4969999999999999</v>
      </c>
      <c r="I26" s="86"/>
      <c r="J26" s="86">
        <v>2.5173611111111112E-2</v>
      </c>
      <c r="K26" s="13"/>
      <c r="L26" s="600">
        <f t="shared" si="1"/>
        <v>9.3235596707818922E-3</v>
      </c>
      <c r="M26" s="594">
        <f>IF(L26="Løype",Poengsammendrag!$F$2,IF(L26="Arr",Poengsammendrag!$F$3,IF(L26="Brutt",50,IF(L26="Disk",50,ROUND(MAXA(100*(MIN(L$10:L$96)/L26),50),0)))))</f>
        <v>74</v>
      </c>
      <c r="N26" s="724">
        <f t="shared" si="2"/>
        <v>6.2281627727333953E-3</v>
      </c>
      <c r="O26" s="596">
        <f>IF(N26="Løype",Poengsammendrag!$F$2,IF(N26="Arr",Poengsammendrag!$F$3,IF(N26="Brutt",50,IF(N26="Disk",50,ROUND(MAXA(100*(MIN(N$10:N$96)/N26),50),0)))))</f>
        <v>71</v>
      </c>
      <c r="Q26" s="672"/>
      <c r="R26" s="672"/>
      <c r="S26" s="803" t="s">
        <v>70</v>
      </c>
      <c r="T26" s="736">
        <v>1.0808899176954732E-2</v>
      </c>
      <c r="U26" s="752">
        <v>63</v>
      </c>
      <c r="V26" s="781"/>
      <c r="W26" s="776" t="s">
        <v>101</v>
      </c>
      <c r="X26" s="740">
        <v>71</v>
      </c>
      <c r="AB26" s="828">
        <f t="shared" si="5"/>
        <v>71</v>
      </c>
      <c r="AC26" s="829">
        <f t="shared" si="3"/>
        <v>1</v>
      </c>
    </row>
    <row r="27" spans="2:29" ht="21" thickBot="1" x14ac:dyDescent="0.3">
      <c r="B27" s="16">
        <f t="shared" si="4"/>
        <v>18</v>
      </c>
      <c r="C27" s="106" t="s">
        <v>96</v>
      </c>
      <c r="D27" s="107" t="s">
        <v>97</v>
      </c>
      <c r="E27" s="599" t="str">
        <f t="shared" si="0"/>
        <v>StigHaugskott</v>
      </c>
      <c r="F27" s="192">
        <f>YEAR(I$5)-_xlfn.XLOOKUP(E27,Deltakerliste!E$5:E$98,Deltakerliste!I$5:I$98)</f>
        <v>87</v>
      </c>
      <c r="G27" s="192">
        <f>_xlfn.XLOOKUP(E27,Deltakerliste!E$5:E$98,Deltakerliste!H$5:H$98)</f>
        <v>2</v>
      </c>
      <c r="H27" s="592">
        <f>VLOOKUP(F27,Deltakerliste!P$6:T$84,G27,FALSE)</f>
        <v>2.3929999999999998</v>
      </c>
      <c r="I27" s="86">
        <v>2.7939814814814813E-2</v>
      </c>
      <c r="J27" s="86"/>
      <c r="K27" s="86"/>
      <c r="L27" s="600">
        <f t="shared" si="1"/>
        <v>1.5522119341563785E-2</v>
      </c>
      <c r="M27" s="594">
        <f>IF(L27="Løype",Poengsammendrag!$F$2,IF(L27="Arr",Poengsammendrag!$F$3,IF(L27="Brutt",50,IF(L27="Disk",50,ROUND(MAXA(100*(MIN(L$10:L$96)/L27),50),0)))))</f>
        <v>50</v>
      </c>
      <c r="N27" s="724">
        <f t="shared" si="2"/>
        <v>6.4864685923793509E-3</v>
      </c>
      <c r="O27" s="596">
        <f>IF(N27="Løype",Poengsammendrag!$F$2,IF(N27="Arr",Poengsammendrag!$F$3,IF(N27="Brutt",50,IF(N27="Disk",50,ROUND(MAXA(100*(MIN(N$10:N$96)/N27),50),0)))))</f>
        <v>68</v>
      </c>
      <c r="Q27" s="672"/>
      <c r="R27" s="672"/>
      <c r="S27" s="803" t="s">
        <v>356</v>
      </c>
      <c r="T27" s="736">
        <v>1.0866769547325102E-2</v>
      </c>
      <c r="U27" s="752">
        <v>63</v>
      </c>
      <c r="V27" s="781"/>
      <c r="W27" s="776" t="s">
        <v>96</v>
      </c>
      <c r="X27" s="740">
        <v>68</v>
      </c>
      <c r="AB27" s="828">
        <f t="shared" si="5"/>
        <v>72</v>
      </c>
      <c r="AC27" s="829">
        <f t="shared" si="3"/>
        <v>2</v>
      </c>
    </row>
    <row r="28" spans="2:29" ht="21" customHeight="1" thickBot="1" x14ac:dyDescent="0.3">
      <c r="B28" s="16">
        <f t="shared" si="4"/>
        <v>19</v>
      </c>
      <c r="C28" s="106" t="s">
        <v>70</v>
      </c>
      <c r="D28" s="107" t="s">
        <v>71</v>
      </c>
      <c r="E28" s="599" t="str">
        <f t="shared" si="0"/>
        <v>TrondDamås</v>
      </c>
      <c r="F28" s="192">
        <f>YEAR(I$5)-_xlfn.XLOOKUP(E28,Deltakerliste!E$5:E$98,Deltakerliste!I$5:I$98)</f>
        <v>76</v>
      </c>
      <c r="G28" s="192">
        <f>_xlfn.XLOOKUP(E28,Deltakerliste!E$5:E$98,Deltakerliste!H$5:H$98)</f>
        <v>2</v>
      </c>
      <c r="H28" s="592">
        <f>VLOOKUP(F28,Deltakerliste!P$6:T$84,G28,FALSE)</f>
        <v>1.655</v>
      </c>
      <c r="I28" s="13">
        <v>1.9456018518518518E-2</v>
      </c>
      <c r="J28" s="13"/>
      <c r="K28" s="13"/>
      <c r="L28" s="600">
        <f t="shared" si="1"/>
        <v>1.0808899176954732E-2</v>
      </c>
      <c r="M28" s="594">
        <f>IF(L28="Løype",Poengsammendrag!$F$2,IF(L28="Arr",Poengsammendrag!$F$3,IF(L28="Brutt",50,IF(L28="Disk",50,ROUND(MAXA(100*(MIN(L$10:L$96)/L28),50),0)))))</f>
        <v>63</v>
      </c>
      <c r="N28" s="724">
        <f t="shared" si="2"/>
        <v>6.5310569045043702E-3</v>
      </c>
      <c r="O28" s="596">
        <f>IF(N28="Løype",Poengsammendrag!$F$2,IF(N28="Arr",Poengsammendrag!$F$3,IF(N28="Brutt",50,IF(N28="Disk",50,ROUND(MAXA(100*(MIN(N$10:N$96)/N28),50),0)))))</f>
        <v>68</v>
      </c>
      <c r="Q28" s="672"/>
      <c r="R28" s="672"/>
      <c r="S28" s="803" t="s">
        <v>124</v>
      </c>
      <c r="T28" s="736">
        <v>1.0935356652949244E-2</v>
      </c>
      <c r="U28" s="752">
        <v>63</v>
      </c>
      <c r="V28" s="781"/>
      <c r="W28" s="776" t="s">
        <v>70</v>
      </c>
      <c r="X28" s="740">
        <v>68</v>
      </c>
      <c r="AB28" s="828">
        <f t="shared" si="5"/>
        <v>73</v>
      </c>
      <c r="AC28" s="829">
        <f t="shared" si="3"/>
        <v>4</v>
      </c>
    </row>
    <row r="29" spans="2:29" ht="21" thickBot="1" x14ac:dyDescent="0.3">
      <c r="B29" s="16">
        <f t="shared" si="4"/>
        <v>20</v>
      </c>
      <c r="C29" s="106" t="s">
        <v>63</v>
      </c>
      <c r="D29" s="107" t="s">
        <v>336</v>
      </c>
      <c r="E29" s="599" t="str">
        <f t="shared" si="0"/>
        <v>ToreFornes</v>
      </c>
      <c r="F29" s="192">
        <f>YEAR(I$5)-_xlfn.XLOOKUP(E29,Deltakerliste!E$5:E$98,Deltakerliste!I$5:I$98)</f>
        <v>67</v>
      </c>
      <c r="G29" s="192">
        <f>_xlfn.XLOOKUP(E29,Deltakerliste!E$5:E$98,Deltakerliste!H$5:H$98)</f>
        <v>2</v>
      </c>
      <c r="H29" s="592">
        <f>VLOOKUP(F29,Deltakerliste!P$6:T$84,G29,FALSE)</f>
        <v>1.3469999999999998</v>
      </c>
      <c r="I29" s="86"/>
      <c r="J29" s="86">
        <v>2.3854166666666666E-2</v>
      </c>
      <c r="K29" s="13"/>
      <c r="L29" s="600">
        <f t="shared" si="1"/>
        <v>8.8348765432098748E-3</v>
      </c>
      <c r="M29" s="594">
        <f>IF(L29="Løype",Poengsammendrag!$F$2,IF(L29="Arr",Poengsammendrag!$F$3,IF(L29="Brutt",50,IF(L29="Disk",50,ROUND(MAXA(100*(MIN(L$10:L$96)/L29),50),0)))))</f>
        <v>78</v>
      </c>
      <c r="N29" s="724">
        <f t="shared" si="2"/>
        <v>6.558928391395602E-3</v>
      </c>
      <c r="O29" s="596">
        <f>IF(N29="Løype",Poengsammendrag!$F$2,IF(N29="Arr",Poengsammendrag!$F$3,IF(N29="Brutt",50,IF(N29="Disk",50,ROUND(MAXA(100*(MIN(N$10:N$96)/N29),50),0)))))</f>
        <v>67</v>
      </c>
      <c r="Q29" s="672"/>
      <c r="R29" s="672"/>
      <c r="S29" s="803" t="s">
        <v>90</v>
      </c>
      <c r="T29" s="736">
        <v>1.1143261316872429E-2</v>
      </c>
      <c r="U29" s="752">
        <v>62</v>
      </c>
      <c r="V29" s="781"/>
      <c r="W29" s="776" t="s">
        <v>346</v>
      </c>
      <c r="X29" s="740">
        <v>67</v>
      </c>
      <c r="AB29" s="828">
        <f t="shared" si="5"/>
        <v>74</v>
      </c>
      <c r="AC29" s="829">
        <f t="shared" si="3"/>
        <v>2</v>
      </c>
    </row>
    <row r="30" spans="2:29" ht="21" thickBot="1" x14ac:dyDescent="0.3">
      <c r="B30" s="16">
        <f t="shared" si="4"/>
        <v>21</v>
      </c>
      <c r="C30" s="106" t="s">
        <v>116</v>
      </c>
      <c r="D30" s="107" t="s">
        <v>117</v>
      </c>
      <c r="E30" s="599" t="str">
        <f t="shared" si="0"/>
        <v>AndersLauglo</v>
      </c>
      <c r="F30" s="192">
        <f>YEAR(I$5)-_xlfn.XLOOKUP(E30,Deltakerliste!E$5:E$98,Deltakerliste!I$5:I$98)</f>
        <v>87</v>
      </c>
      <c r="G30" s="192">
        <f>_xlfn.XLOOKUP(E30,Deltakerliste!E$5:E$98,Deltakerliste!H$5:H$98)</f>
        <v>2</v>
      </c>
      <c r="H30" s="592">
        <f>VLOOKUP(F30,Deltakerliste!P$6:T$84,G30,FALSE)</f>
        <v>2.3929999999999998</v>
      </c>
      <c r="I30" s="13">
        <v>2.8807870370370369E-2</v>
      </c>
      <c r="J30" s="13"/>
      <c r="K30" s="86"/>
      <c r="L30" s="600">
        <f t="shared" si="1"/>
        <v>1.6004372427983537E-2</v>
      </c>
      <c r="M30" s="594">
        <f>IF(L30="Løype",Poengsammendrag!$F$2,IF(L30="Arr",Poengsammendrag!$F$3,IF(L30="Brutt",50,IF(L30="Disk",50,ROUND(MAXA(100*(MIN(L$10:L$96)/L30),50),0)))))</f>
        <v>50</v>
      </c>
      <c r="N30" s="724">
        <f t="shared" si="2"/>
        <v>6.6879951642221224E-3</v>
      </c>
      <c r="O30" s="596">
        <f>IF(N30="Løype",Poengsammendrag!$F$2,IF(N30="Arr",Poengsammendrag!$F$3,IF(N30="Brutt",50,IF(N30="Disk",50,ROUND(MAXA(100*(MIN(N$10:N$96)/N30),50),0)))))</f>
        <v>66</v>
      </c>
      <c r="Q30" s="672"/>
      <c r="R30" s="672"/>
      <c r="S30" s="803" t="s">
        <v>114</v>
      </c>
      <c r="T30" s="736">
        <v>1.1188271604938271E-2</v>
      </c>
      <c r="U30" s="752">
        <v>61</v>
      </c>
      <c r="V30" s="781"/>
      <c r="W30" s="776" t="s">
        <v>315</v>
      </c>
      <c r="X30" s="740">
        <v>66</v>
      </c>
      <c r="AB30" s="828">
        <f t="shared" si="5"/>
        <v>75</v>
      </c>
      <c r="AC30" s="829">
        <f t="shared" si="3"/>
        <v>5</v>
      </c>
    </row>
    <row r="31" spans="2:29" ht="21" customHeight="1" thickBot="1" x14ac:dyDescent="0.3">
      <c r="B31" s="16">
        <f t="shared" si="4"/>
        <v>22</v>
      </c>
      <c r="C31" s="106" t="s">
        <v>90</v>
      </c>
      <c r="D31" s="107" t="s">
        <v>91</v>
      </c>
      <c r="E31" s="599" t="str">
        <f t="shared" si="0"/>
        <v>TorGjermstad</v>
      </c>
      <c r="F31" s="192">
        <f>YEAR(I$5)-_xlfn.XLOOKUP(E31,Deltakerliste!E$5:E$98,Deltakerliste!I$5:I$98)</f>
        <v>76</v>
      </c>
      <c r="G31" s="192">
        <f>_xlfn.XLOOKUP(E31,Deltakerliste!E$5:E$98,Deltakerliste!H$5:H$98)</f>
        <v>2</v>
      </c>
      <c r="H31" s="592">
        <f>VLOOKUP(F31,Deltakerliste!P$6:T$84,G31,FALSE)</f>
        <v>1.655</v>
      </c>
      <c r="I31" s="86">
        <v>2.0057870370370372E-2</v>
      </c>
      <c r="J31" s="86"/>
      <c r="K31" s="13"/>
      <c r="L31" s="600">
        <f t="shared" si="1"/>
        <v>1.1143261316872429E-2</v>
      </c>
      <c r="M31" s="594">
        <f>IF(L31="Løype",Poengsammendrag!$F$2,IF(L31="Arr",Poengsammendrag!$F$3,IF(L31="Brutt",50,IF(L31="Disk",50,ROUND(MAXA(100*(MIN(L$10:L$96)/L31),50),0)))))</f>
        <v>62</v>
      </c>
      <c r="N31" s="724">
        <f t="shared" si="2"/>
        <v>6.7330884089863621E-3</v>
      </c>
      <c r="O31" s="596">
        <f>IF(N31="Løype",Poengsammendrag!$F$2,IF(N31="Arr",Poengsammendrag!$F$3,IF(N31="Brutt",50,IF(N31="Disk",50,ROUND(MAXA(100*(MIN(N$10:N$96)/N31),50),0)))))</f>
        <v>66</v>
      </c>
      <c r="Q31" s="672"/>
      <c r="R31" s="672"/>
      <c r="S31" s="803" t="s">
        <v>68</v>
      </c>
      <c r="T31" s="736">
        <v>1.1243998628257887E-2</v>
      </c>
      <c r="U31" s="752">
        <v>61</v>
      </c>
      <c r="V31" s="781"/>
      <c r="W31" s="776" t="s">
        <v>90</v>
      </c>
      <c r="X31" s="740">
        <v>66</v>
      </c>
      <c r="AB31" s="828">
        <f t="shared" si="5"/>
        <v>76</v>
      </c>
      <c r="AC31" s="829">
        <f t="shared" si="3"/>
        <v>2</v>
      </c>
    </row>
    <row r="32" spans="2:29" ht="21" customHeight="1" thickBot="1" x14ac:dyDescent="0.3">
      <c r="B32" s="16">
        <f t="shared" si="4"/>
        <v>23</v>
      </c>
      <c r="C32" s="106" t="s">
        <v>68</v>
      </c>
      <c r="D32" s="107" t="s">
        <v>69</v>
      </c>
      <c r="E32" s="599" t="str">
        <f t="shared" si="0"/>
        <v>JanBøhle</v>
      </c>
      <c r="F32" s="192">
        <f>YEAR(I$5)-_xlfn.XLOOKUP(E32,Deltakerliste!E$5:E$98,Deltakerliste!I$5:I$98)</f>
        <v>74</v>
      </c>
      <c r="G32" s="192">
        <f>_xlfn.XLOOKUP(E32,Deltakerliste!E$5:E$98,Deltakerliste!H$5:H$98)</f>
        <v>2</v>
      </c>
      <c r="H32" s="592">
        <f>VLOOKUP(F32,Deltakerliste!P$6:T$84,G32,FALSE)</f>
        <v>1.569</v>
      </c>
      <c r="I32" s="86"/>
      <c r="J32" s="86">
        <v>3.0358796296296297E-2</v>
      </c>
      <c r="K32" s="13"/>
      <c r="L32" s="600">
        <f t="shared" si="1"/>
        <v>1.1243998628257887E-2</v>
      </c>
      <c r="M32" s="594">
        <f>IF(L32="Løype",Poengsammendrag!$F$2,IF(L32="Arr",Poengsammendrag!$F$3,IF(L32="Brutt",50,IF(L32="Disk",50,ROUND(MAXA(100*(MIN(L$10:L$96)/L32),50),0)))))</f>
        <v>61</v>
      </c>
      <c r="N32" s="724">
        <f t="shared" si="2"/>
        <v>7.1663471180738606E-3</v>
      </c>
      <c r="O32" s="596">
        <f>IF(N32="Løype",Poengsammendrag!$F$2,IF(N32="Arr",Poengsammendrag!$F$3,IF(N32="Brutt",50,IF(N32="Disk",50,ROUND(MAXA(100*(MIN(N$10:N$96)/N32),50),0)))))</f>
        <v>62</v>
      </c>
      <c r="S32" s="803" t="s">
        <v>340</v>
      </c>
      <c r="T32" s="736">
        <v>1.1299725651577504E-2</v>
      </c>
      <c r="U32" s="752">
        <v>61</v>
      </c>
      <c r="V32" s="781"/>
      <c r="W32" s="776" t="s">
        <v>68</v>
      </c>
      <c r="X32" s="740">
        <v>62</v>
      </c>
      <c r="AB32" s="828">
        <f t="shared" si="5"/>
        <v>77</v>
      </c>
      <c r="AC32" s="829">
        <f t="shared" si="3"/>
        <v>3</v>
      </c>
    </row>
    <row r="33" spans="2:29" ht="21" customHeight="1" thickBot="1" x14ac:dyDescent="0.3">
      <c r="B33" s="16">
        <f t="shared" si="4"/>
        <v>24</v>
      </c>
      <c r="C33" s="106" t="s">
        <v>307</v>
      </c>
      <c r="D33" s="107" t="s">
        <v>308</v>
      </c>
      <c r="E33" s="599" t="str">
        <f t="shared" si="0"/>
        <v>RolfWærnes</v>
      </c>
      <c r="F33" s="192">
        <f>YEAR(I$5)-_xlfn.XLOOKUP(E33,Deltakerliste!E$5:E$98,Deltakerliste!I$5:I$98)</f>
        <v>75</v>
      </c>
      <c r="G33" s="192">
        <f>_xlfn.XLOOKUP(E33,Deltakerliste!E$5:E$98,Deltakerliste!H$5:H$98)</f>
        <v>2</v>
      </c>
      <c r="H33" s="592">
        <f>VLOOKUP(F33,Deltakerliste!P$6:T$84,G33,FALSE)</f>
        <v>1.605</v>
      </c>
      <c r="I33" s="18"/>
      <c r="J33" s="132">
        <v>3.1342592592592596E-2</v>
      </c>
      <c r="K33" s="18"/>
      <c r="L33" s="600">
        <f t="shared" si="1"/>
        <v>1.1608367626886145E-2</v>
      </c>
      <c r="M33" s="594">
        <f>IF(L33="Løype",Poengsammendrag!$F$2,IF(L33="Arr",Poengsammendrag!$F$3,IF(L33="Brutt",50,IF(L33="Disk",50,ROUND(MAXA(100*(MIN(L$10:L$96)/L33),50),0)))))</f>
        <v>59</v>
      </c>
      <c r="N33" s="724">
        <f t="shared" si="2"/>
        <v>7.2326278049134858E-3</v>
      </c>
      <c r="O33" s="596">
        <f>IF(N33="Løype",Poengsammendrag!$F$2,IF(N33="Arr",Poengsammendrag!$F$3,IF(N33="Brutt",50,IF(N33="Disk",50,ROUND(MAXA(100*(MIN(N$10:N$96)/N33),50),0)))))</f>
        <v>61</v>
      </c>
      <c r="S33" s="803" t="s">
        <v>307</v>
      </c>
      <c r="T33" s="736">
        <v>1.1608367626886145E-2</v>
      </c>
      <c r="U33" s="752">
        <v>59</v>
      </c>
      <c r="V33" s="781"/>
      <c r="W33" s="776" t="s">
        <v>307</v>
      </c>
      <c r="X33" s="740">
        <v>61</v>
      </c>
      <c r="AB33" s="828">
        <f t="shared" si="5"/>
        <v>78</v>
      </c>
      <c r="AC33" s="829">
        <f t="shared" si="3"/>
        <v>2</v>
      </c>
    </row>
    <row r="34" spans="2:29" ht="21" customHeight="1" thickBot="1" x14ac:dyDescent="0.3">
      <c r="B34" s="16">
        <f t="shared" si="4"/>
        <v>25</v>
      </c>
      <c r="C34" s="106" t="s">
        <v>63</v>
      </c>
      <c r="D34" s="107" t="s">
        <v>98</v>
      </c>
      <c r="E34" s="599" t="str">
        <f t="shared" si="0"/>
        <v>ToreHeggem</v>
      </c>
      <c r="F34" s="192">
        <f>YEAR(I$5)-_xlfn.XLOOKUP(E34,Deltakerliste!E$5:E$98,Deltakerliste!I$5:I$98)</f>
        <v>73</v>
      </c>
      <c r="G34" s="192">
        <f>_xlfn.XLOOKUP(E34,Deltakerliste!E$5:E$98,Deltakerliste!H$5:H$98)</f>
        <v>2</v>
      </c>
      <c r="H34" s="592">
        <f>VLOOKUP(F34,Deltakerliste!P$6:T$84,G34,FALSE)</f>
        <v>1.5329999999999999</v>
      </c>
      <c r="I34" s="86"/>
      <c r="J34" s="86">
        <v>3.050925925925926E-2</v>
      </c>
      <c r="K34" s="13"/>
      <c r="L34" s="600">
        <f t="shared" si="1"/>
        <v>1.1299725651577504E-2</v>
      </c>
      <c r="M34" s="594">
        <f>IF(L34="Løype",Poengsammendrag!$F$2,IF(L34="Arr",Poengsammendrag!$F$3,IF(L34="Brutt",50,IF(L34="Disk",50,ROUND(MAXA(100*(MIN(L$10:L$96)/L34),50),0)))))</f>
        <v>61</v>
      </c>
      <c r="N34" s="724">
        <f t="shared" si="2"/>
        <v>7.3709886833512751E-3</v>
      </c>
      <c r="O34" s="596">
        <f>IF(N34="Løype",Poengsammendrag!$F$2,IF(N34="Arr",Poengsammendrag!$F$3,IF(N34="Brutt",50,IF(N34="Disk",50,ROUND(MAXA(100*(MIN(N$10:N$96)/N34),50),0)))))</f>
        <v>60</v>
      </c>
      <c r="S34" s="803" t="s">
        <v>357</v>
      </c>
      <c r="T34" s="736">
        <v>1.1921296296296296E-2</v>
      </c>
      <c r="U34" s="752">
        <v>57</v>
      </c>
      <c r="V34" s="781"/>
      <c r="W34" s="776" t="s">
        <v>340</v>
      </c>
      <c r="X34" s="740">
        <v>60</v>
      </c>
      <c r="AB34" s="828">
        <f t="shared" si="5"/>
        <v>79</v>
      </c>
      <c r="AC34" s="829">
        <f t="shared" si="3"/>
        <v>3</v>
      </c>
    </row>
    <row r="35" spans="2:29" ht="21" customHeight="1" thickBot="1" x14ac:dyDescent="0.3">
      <c r="B35" s="16">
        <f t="shared" si="4"/>
        <v>26</v>
      </c>
      <c r="C35" s="106" t="s">
        <v>265</v>
      </c>
      <c r="D35" s="107" t="s">
        <v>344</v>
      </c>
      <c r="E35" s="599" t="str">
        <f t="shared" si="0"/>
        <v>ØysteinNytrø</v>
      </c>
      <c r="F35" s="192">
        <f>YEAR(I$5)-_xlfn.XLOOKUP(E35,Deltakerliste!E$5:E$98,Deltakerliste!I$5:I$98)</f>
        <v>66</v>
      </c>
      <c r="G35" s="192">
        <f>_xlfn.XLOOKUP(E35,Deltakerliste!E$5:E$98,Deltakerliste!H$5:H$98)</f>
        <v>2</v>
      </c>
      <c r="H35" s="592">
        <f>VLOOKUP(F35,Deltakerliste!P$6:T$84,G35,FALSE)</f>
        <v>1.3209999999999997</v>
      </c>
      <c r="I35" s="18"/>
      <c r="J35" s="132">
        <v>2.6493055555555554E-2</v>
      </c>
      <c r="K35" s="18"/>
      <c r="L35" s="600">
        <f t="shared" si="1"/>
        <v>9.8122427983539078E-3</v>
      </c>
      <c r="M35" s="594">
        <f>IF(L35="Løype",Poengsammendrag!$F$2,IF(L35="Arr",Poengsammendrag!$F$3,IF(L35="Brutt",50,IF(L35="Disk",50,ROUND(MAXA(100*(MIN(L$10:L$96)/L35),50),0)))))</f>
        <v>70</v>
      </c>
      <c r="N35" s="724">
        <f t="shared" si="2"/>
        <v>7.4278900820241561E-3</v>
      </c>
      <c r="O35" s="596">
        <f>IF(N35="Løype",Poengsammendrag!$F$2,IF(N35="Arr",Poengsammendrag!$F$3,IF(N35="Brutt",50,IF(N35="Disk",50,ROUND(MAXA(100*(MIN(N$10:N$96)/N35),50),0)))))</f>
        <v>59</v>
      </c>
      <c r="S35" s="803" t="s">
        <v>350</v>
      </c>
      <c r="T35" s="736">
        <v>1.3177297668038407E-2</v>
      </c>
      <c r="U35" s="752">
        <v>52</v>
      </c>
      <c r="V35" s="781"/>
      <c r="W35" s="776" t="s">
        <v>345</v>
      </c>
      <c r="X35" s="740">
        <v>59</v>
      </c>
      <c r="AB35" s="828">
        <f t="shared" si="5"/>
        <v>80</v>
      </c>
      <c r="AC35" s="829">
        <f t="shared" si="3"/>
        <v>1</v>
      </c>
    </row>
    <row r="36" spans="2:29" ht="21" thickBot="1" x14ac:dyDescent="0.3">
      <c r="B36" s="16">
        <f t="shared" si="4"/>
        <v>27</v>
      </c>
      <c r="C36" s="106" t="s">
        <v>103</v>
      </c>
      <c r="D36" s="107" t="s">
        <v>104</v>
      </c>
      <c r="E36" s="599" t="str">
        <f t="shared" si="0"/>
        <v>SveinHove</v>
      </c>
      <c r="F36" s="192">
        <f>YEAR(I$5)-_xlfn.XLOOKUP(E36,Deltakerliste!E$5:E$98,Deltakerliste!I$5:I$98)</f>
        <v>79</v>
      </c>
      <c r="G36" s="192">
        <f>_xlfn.XLOOKUP(E36,Deltakerliste!E$5:E$98,Deltakerliste!H$5:H$98)</f>
        <v>2</v>
      </c>
      <c r="H36" s="592">
        <f>VLOOKUP(F36,Deltakerliste!P$6:T$84,G36,FALSE)</f>
        <v>1.8050000000000002</v>
      </c>
      <c r="I36" s="86">
        <v>2.4594907407407409E-2</v>
      </c>
      <c r="J36" s="86"/>
      <c r="K36" s="17"/>
      <c r="L36" s="600">
        <f t="shared" si="1"/>
        <v>1.3663837448559672E-2</v>
      </c>
      <c r="M36" s="594">
        <f>IF(L36="Løype",Poengsammendrag!$F$2,IF(L36="Arr",Poengsammendrag!$F$3,IF(L36="Brutt",50,IF(L36="Disk",50,ROUND(MAXA(100*(MIN(L$10:L$96)/L36),50),0)))))</f>
        <v>50</v>
      </c>
      <c r="N36" s="724">
        <f t="shared" si="2"/>
        <v>7.5699930462934462E-3</v>
      </c>
      <c r="O36" s="596">
        <f>IF(N36="Løype",Poengsammendrag!$F$2,IF(N36="Arr",Poengsammendrag!$F$3,IF(N36="Brutt",50,IF(N36="Disk",50,ROUND(MAXA(100*(MIN(N$10:N$96)/N36),50),0)))))</f>
        <v>58</v>
      </c>
      <c r="S36" s="803" t="s">
        <v>103</v>
      </c>
      <c r="T36" s="736">
        <v>1.3663837448559672E-2</v>
      </c>
      <c r="U36" s="752">
        <v>50</v>
      </c>
      <c r="V36" s="781"/>
      <c r="W36" s="776" t="s">
        <v>103</v>
      </c>
      <c r="X36" s="740">
        <v>58</v>
      </c>
      <c r="AB36" s="828">
        <f t="shared" si="5"/>
        <v>81</v>
      </c>
      <c r="AC36" s="829">
        <f t="shared" si="3"/>
        <v>1</v>
      </c>
    </row>
    <row r="37" spans="2:29" ht="21" customHeight="1" thickBot="1" x14ac:dyDescent="0.3">
      <c r="B37" s="16">
        <f t="shared" si="4"/>
        <v>28</v>
      </c>
      <c r="C37" s="106" t="s">
        <v>248</v>
      </c>
      <c r="D37" s="107" t="s">
        <v>249</v>
      </c>
      <c r="E37" s="599" t="str">
        <f t="shared" si="0"/>
        <v>ErikLund</v>
      </c>
      <c r="F37" s="192">
        <f>YEAR(I$5)-_xlfn.XLOOKUP(E37,Deltakerliste!E$5:E$98,Deltakerliste!I$5:I$98)</f>
        <v>79</v>
      </c>
      <c r="G37" s="192">
        <f>_xlfn.XLOOKUP(E37,Deltakerliste!E$5:E$98,Deltakerliste!H$5:H$98)</f>
        <v>2</v>
      </c>
      <c r="H37" s="592">
        <f>VLOOKUP(F37,Deltakerliste!P$6:T$84,G37,FALSE)</f>
        <v>1.8050000000000002</v>
      </c>
      <c r="I37" s="855">
        <v>2.5034722222222222E-2</v>
      </c>
      <c r="J37" s="13"/>
      <c r="K37" s="17"/>
      <c r="L37" s="600">
        <f t="shared" si="1"/>
        <v>1.3908179012345678E-2</v>
      </c>
      <c r="M37" s="594">
        <f>IF(L37="Løype",Poengsammendrag!$F$2,IF(L37="Arr",Poengsammendrag!$F$3,IF(L37="Brutt",50,IF(L37="Disk",50,ROUND(MAXA(100*(MIN(L$10:L$96)/L37),50),0)))))</f>
        <v>50</v>
      </c>
      <c r="N37" s="724">
        <f t="shared" si="2"/>
        <v>7.7053623337095161E-3</v>
      </c>
      <c r="O37" s="596">
        <f>IF(N37="Løype",Poengsammendrag!$F$2,IF(N37="Arr",Poengsammendrag!$F$3,IF(N37="Brutt",50,IF(N37="Disk",50,ROUND(MAXA(100*(MIN(N$10:N$96)/N37),50),0)))))</f>
        <v>57</v>
      </c>
      <c r="S37" s="803" t="s">
        <v>248</v>
      </c>
      <c r="T37" s="736">
        <v>1.3908179012345678E-2</v>
      </c>
      <c r="U37" s="752">
        <v>50</v>
      </c>
      <c r="V37" s="781"/>
      <c r="W37" s="776" t="s">
        <v>248</v>
      </c>
      <c r="X37" s="740">
        <v>57</v>
      </c>
      <c r="AB37" s="828">
        <f t="shared" si="5"/>
        <v>82</v>
      </c>
      <c r="AC37" s="829">
        <f t="shared" si="3"/>
        <v>1</v>
      </c>
    </row>
    <row r="38" spans="2:29" ht="21" customHeight="1" thickBot="1" x14ac:dyDescent="0.3">
      <c r="B38" s="16">
        <f t="shared" si="4"/>
        <v>29</v>
      </c>
      <c r="C38" s="106" t="s">
        <v>72</v>
      </c>
      <c r="D38" s="107" t="s">
        <v>73</v>
      </c>
      <c r="E38" s="599" t="str">
        <f t="shared" si="0"/>
        <v>KåreEggereide</v>
      </c>
      <c r="F38" s="192">
        <f>YEAR(I$5)-_xlfn.XLOOKUP(E38,Deltakerliste!E$5:E$98,Deltakerliste!I$5:I$98)</f>
        <v>75</v>
      </c>
      <c r="G38" s="192">
        <f>_xlfn.XLOOKUP(E38,Deltakerliste!E$5:E$98,Deltakerliste!H$5:H$98)</f>
        <v>2</v>
      </c>
      <c r="H38" s="592">
        <f>VLOOKUP(F38,Deltakerliste!P$6:T$84,G38,FALSE)</f>
        <v>1.605</v>
      </c>
      <c r="I38" s="86"/>
      <c r="J38" s="13">
        <v>3.5578703703703703E-2</v>
      </c>
      <c r="K38" s="13"/>
      <c r="L38" s="600">
        <f t="shared" si="1"/>
        <v>1.3177297668038407E-2</v>
      </c>
      <c r="M38" s="594">
        <f>IF(L38="Løype",Poengsammendrag!$F$2,IF(L38="Arr",Poengsammendrag!$F$3,IF(L38="Brutt",50,IF(L38="Disk",50,ROUND(MAXA(100*(MIN(L$10:L$96)/L38),50),0)))))</f>
        <v>52</v>
      </c>
      <c r="N38" s="724">
        <f t="shared" si="2"/>
        <v>8.2101543103043038E-3</v>
      </c>
      <c r="O38" s="596">
        <f>IF(N38="Løype",Poengsammendrag!$F$2,IF(N38="Arr",Poengsammendrag!$F$3,IF(N38="Brutt",50,IF(N38="Disk",50,ROUND(MAXA(100*(MIN(N$10:N$96)/N38),50),0)))))</f>
        <v>54</v>
      </c>
      <c r="S38" s="803" t="s">
        <v>168</v>
      </c>
      <c r="T38" s="736">
        <v>1.4583333333333332E-2</v>
      </c>
      <c r="U38" s="752">
        <v>50</v>
      </c>
      <c r="V38" s="781"/>
      <c r="W38" s="776" t="s">
        <v>350</v>
      </c>
      <c r="X38" s="740">
        <v>54</v>
      </c>
      <c r="AB38" s="828">
        <f t="shared" si="5"/>
        <v>83</v>
      </c>
      <c r="AC38" s="829">
        <f t="shared" si="3"/>
        <v>1</v>
      </c>
    </row>
    <row r="39" spans="2:29" ht="21" customHeight="1" thickBot="1" x14ac:dyDescent="0.3">
      <c r="B39" s="16">
        <f t="shared" si="4"/>
        <v>30</v>
      </c>
      <c r="C39" s="106" t="s">
        <v>170</v>
      </c>
      <c r="D39" s="107" t="s">
        <v>171</v>
      </c>
      <c r="E39" s="599" t="str">
        <f t="shared" si="0"/>
        <v>ØisteinÅsmul</v>
      </c>
      <c r="F39" s="192">
        <f>YEAR(I$5)-_xlfn.XLOOKUP(E39,Deltakerliste!E$5:E$98,Deltakerliste!I$5:I$98)</f>
        <v>81</v>
      </c>
      <c r="G39" s="192">
        <f>_xlfn.XLOOKUP(E39,Deltakerliste!E$5:E$98,Deltakerliste!H$5:H$98)</f>
        <v>2</v>
      </c>
      <c r="H39" s="592">
        <f>VLOOKUP(F39,Deltakerliste!P$6:T$84,G39,FALSE)</f>
        <v>1.9290000000000003</v>
      </c>
      <c r="I39" s="132">
        <v>2.8888888888888888E-2</v>
      </c>
      <c r="J39" s="132"/>
      <c r="K39" s="18"/>
      <c r="L39" s="600">
        <f t="shared" si="1"/>
        <v>1.604938271604938E-2</v>
      </c>
      <c r="M39" s="594">
        <f>IF(L39="Løype",Poengsammendrag!$F$2,IF(L39="Arr",Poengsammendrag!$F$3,IF(L39="Brutt",50,IF(L39="Disk",50,ROUND(MAXA(100*(MIN(L$10:L$96)/L39),50),0)))))</f>
        <v>50</v>
      </c>
      <c r="N39" s="724">
        <f t="shared" si="2"/>
        <v>8.3200532483407863E-3</v>
      </c>
      <c r="O39" s="596">
        <f>IF(N39="Løype",Poengsammendrag!$F$2,IF(N39="Arr",Poengsammendrag!$F$3,IF(N39="Brutt",50,IF(N39="Disk",50,ROUND(MAXA(100*(MIN(N$10:N$96)/N39),50),0)))))</f>
        <v>53</v>
      </c>
      <c r="S39" s="803" t="s">
        <v>149</v>
      </c>
      <c r="T39" s="736">
        <v>1.546210562414266E-2</v>
      </c>
      <c r="U39" s="752">
        <v>50</v>
      </c>
      <c r="V39" s="781"/>
      <c r="W39" s="776" t="s">
        <v>347</v>
      </c>
      <c r="X39" s="740">
        <v>53</v>
      </c>
      <c r="AB39" s="828">
        <f t="shared" si="5"/>
        <v>84</v>
      </c>
      <c r="AC39" s="829">
        <f t="shared" si="3"/>
        <v>0</v>
      </c>
    </row>
    <row r="40" spans="2:29" ht="21" thickBot="1" x14ac:dyDescent="0.3">
      <c r="B40" s="16">
        <f t="shared" si="4"/>
        <v>31</v>
      </c>
      <c r="C40" s="106" t="s">
        <v>149</v>
      </c>
      <c r="D40" s="107" t="s">
        <v>150</v>
      </c>
      <c r="E40" s="599" t="str">
        <f t="shared" si="0"/>
        <v>BenteSkorge</v>
      </c>
      <c r="F40" s="192">
        <f>YEAR(I$5)-_xlfn.XLOOKUP(E40,Deltakerliste!E$5:E$98,Deltakerliste!I$5:I$98)</f>
        <v>67</v>
      </c>
      <c r="G40" s="192">
        <f>_xlfn.XLOOKUP(E40,Deltakerliste!E$5:E$98,Deltakerliste!H$5:H$98)</f>
        <v>4</v>
      </c>
      <c r="H40" s="592">
        <f>VLOOKUP(F40,Deltakerliste!P$6:T$84,G40,FALSE)</f>
        <v>1.8422000000000009</v>
      </c>
      <c r="I40" s="132"/>
      <c r="J40" s="132">
        <v>4.1747685185185186E-2</v>
      </c>
      <c r="K40" s="18"/>
      <c r="L40" s="600">
        <f t="shared" si="1"/>
        <v>1.546210562414266E-2</v>
      </c>
      <c r="M40" s="594">
        <f>IF(L40="Løype",Poengsammendrag!$F$2,IF(L40="Arr",Poengsammendrag!$F$3,IF(L40="Brutt",50,IF(L40="Disk",50,ROUND(MAXA(100*(MIN(L$10:L$96)/L40),50),0)))))</f>
        <v>50</v>
      </c>
      <c r="N40" s="724">
        <f t="shared" si="2"/>
        <v>8.3932828271320436E-3</v>
      </c>
      <c r="O40" s="596">
        <f>IF(N40="Løype",Poengsammendrag!$F$2,IF(N40="Arr",Poengsammendrag!$F$3,IF(N40="Brutt",50,IF(N40="Disk",50,ROUND(MAXA(100*(MIN(N$10:N$96)/N40),50),0)))))</f>
        <v>53</v>
      </c>
      <c r="S40" s="803" t="s">
        <v>96</v>
      </c>
      <c r="T40" s="736">
        <v>1.5522119341563785E-2</v>
      </c>
      <c r="U40" s="752">
        <v>50</v>
      </c>
      <c r="V40" s="781"/>
      <c r="W40" s="776" t="s">
        <v>149</v>
      </c>
      <c r="X40" s="740">
        <v>53</v>
      </c>
      <c r="AB40" s="828">
        <f t="shared" si="5"/>
        <v>85</v>
      </c>
      <c r="AC40" s="829">
        <f t="shared" si="3"/>
        <v>1</v>
      </c>
    </row>
    <row r="41" spans="2:29" ht="21" thickBot="1" x14ac:dyDescent="0.3">
      <c r="B41" s="16">
        <f t="shared" si="4"/>
        <v>32</v>
      </c>
      <c r="C41" s="106" t="s">
        <v>342</v>
      </c>
      <c r="D41" s="107" t="s">
        <v>343</v>
      </c>
      <c r="E41" s="599" t="str">
        <f t="shared" si="0"/>
        <v>ArildHeggeset</v>
      </c>
      <c r="F41" s="192">
        <f>YEAR(I$5)-_xlfn.XLOOKUP(E41,Deltakerliste!E$5:E$98,Deltakerliste!I$5:I$98)</f>
        <v>59</v>
      </c>
      <c r="G41" s="192">
        <f>_xlfn.XLOOKUP(E41,Deltakerliste!E$5:E$98,Deltakerliste!H$5:H$98)</f>
        <v>2</v>
      </c>
      <c r="H41" s="592">
        <f>VLOOKUP(F41,Deltakerliste!P$6:T$84,G41,FALSE)</f>
        <v>1.1860000000000002</v>
      </c>
      <c r="I41" s="86">
        <v>1.8576388888888889E-2</v>
      </c>
      <c r="J41" s="86"/>
      <c r="K41" s="13"/>
      <c r="L41" s="600">
        <f t="shared" si="1"/>
        <v>1.0320216049382715E-2</v>
      </c>
      <c r="M41" s="594">
        <f>IF(L41="Løype",Poengsammendrag!$F$2,IF(L41="Arr",Poengsammendrag!$F$3,IF(L41="Brutt",50,IF(L41="Disk",50,ROUND(MAXA(100*(MIN(L$10:L$96)/L41),50),0)))))</f>
        <v>66</v>
      </c>
      <c r="N41" s="724">
        <f t="shared" si="2"/>
        <v>8.7016998730039749E-3</v>
      </c>
      <c r="O41" s="596">
        <f>IF(N41="Løype",Poengsammendrag!$F$2,IF(N41="Arr",Poengsammendrag!$F$3,IF(N41="Brutt",50,IF(N41="Disk",50,ROUND(MAXA(100*(MIN(N$10:N$96)/N41),50),0)))))</f>
        <v>51</v>
      </c>
      <c r="S41" s="803" t="s">
        <v>315</v>
      </c>
      <c r="T41" s="736">
        <v>1.6004372427983537E-2</v>
      </c>
      <c r="U41" s="752">
        <v>50</v>
      </c>
      <c r="V41" s="781"/>
      <c r="W41" s="776" t="s">
        <v>342</v>
      </c>
      <c r="X41" s="740">
        <v>51</v>
      </c>
      <c r="AB41" s="828">
        <f t="shared" si="5"/>
        <v>86</v>
      </c>
      <c r="AC41" s="829">
        <f t="shared" si="3"/>
        <v>2</v>
      </c>
    </row>
    <row r="42" spans="2:29" ht="21" customHeight="1" thickBot="1" x14ac:dyDescent="0.3">
      <c r="B42" s="16">
        <f t="shared" si="4"/>
        <v>33</v>
      </c>
      <c r="C42" s="106" t="s">
        <v>411</v>
      </c>
      <c r="D42" s="107" t="s">
        <v>412</v>
      </c>
      <c r="E42" s="599" t="str">
        <f t="shared" ref="E42:E73" si="6">_xlfn.CONCAT(C42:D42)</f>
        <v>HenrySundsetvik</v>
      </c>
      <c r="F42" s="192">
        <f>YEAR(I$5)-_xlfn.XLOOKUP(E42,Deltakerliste!E$5:E$98,Deltakerliste!I$5:I$98)</f>
        <v>86</v>
      </c>
      <c r="G42" s="192">
        <f>_xlfn.XLOOKUP(E42,Deltakerliste!E$5:E$98,Deltakerliste!H$5:H$98)</f>
        <v>2</v>
      </c>
      <c r="H42" s="592">
        <f>VLOOKUP(F42,Deltakerliste!P$6:T$84,G42,FALSE)</f>
        <v>2.3089999999999997</v>
      </c>
      <c r="I42" s="132">
        <v>3.6284722222222225E-2</v>
      </c>
      <c r="J42" s="132"/>
      <c r="K42" s="18"/>
      <c r="L42" s="600">
        <f t="shared" si="1"/>
        <v>2.0158179012345682E-2</v>
      </c>
      <c r="M42" s="594">
        <f>IF(L42="Løype",Poengsammendrag!$F$2,IF(L42="Arr",Poengsammendrag!$F$3,IF(L42="Brutt",50,IF(L42="Disk",50,ROUND(MAXA(100*(MIN(L$10:L$96)/L42),50),0)))))</f>
        <v>50</v>
      </c>
      <c r="N42" s="724">
        <f t="shared" si="2"/>
        <v>8.7302637558881267E-3</v>
      </c>
      <c r="O42" s="596">
        <f>IF(N42="Løype",Poengsammendrag!$F$2,IF(N42="Arr",Poengsammendrag!$F$3,IF(N42="Brutt",50,IF(N42="Disk",50,ROUND(MAXA(100*(MIN(N$10:N$96)/N42),50),0)))))</f>
        <v>51</v>
      </c>
      <c r="S42" s="803" t="s">
        <v>347</v>
      </c>
      <c r="T42" s="796">
        <v>1.604938271604938E-2</v>
      </c>
      <c r="U42" s="765">
        <v>50</v>
      </c>
      <c r="V42" s="782"/>
      <c r="W42" s="777" t="s">
        <v>411</v>
      </c>
      <c r="X42" s="762">
        <v>51</v>
      </c>
      <c r="AB42" s="828">
        <f t="shared" si="5"/>
        <v>87</v>
      </c>
      <c r="AC42" s="829">
        <f t="shared" si="3"/>
        <v>2</v>
      </c>
    </row>
    <row r="43" spans="2:29" ht="21" thickBot="1" x14ac:dyDescent="0.3">
      <c r="B43" s="16">
        <f t="shared" si="4"/>
        <v>34</v>
      </c>
      <c r="C43" s="106" t="s">
        <v>78</v>
      </c>
      <c r="D43" s="107" t="s">
        <v>146</v>
      </c>
      <c r="E43" s="599" t="str">
        <f t="shared" si="6"/>
        <v>LeifRøhjell</v>
      </c>
      <c r="F43" s="192">
        <f>YEAR(I$5)-_xlfn.XLOOKUP(E43,Deltakerliste!E$5:E$98,Deltakerliste!I$5:I$98)</f>
        <v>82</v>
      </c>
      <c r="G43" s="192">
        <f>_xlfn.XLOOKUP(E43,Deltakerliste!E$5:E$98,Deltakerliste!H$5:H$98)</f>
        <v>2</v>
      </c>
      <c r="H43" s="592">
        <f>VLOOKUP(F43,Deltakerliste!P$6:T$84,G43,FALSE)</f>
        <v>2.0030000000000001</v>
      </c>
      <c r="I43" s="132">
        <v>3.246527777777778E-2</v>
      </c>
      <c r="J43" s="18"/>
      <c r="K43" s="18"/>
      <c r="L43" s="600">
        <f t="shared" si="1"/>
        <v>1.8036265432098766E-2</v>
      </c>
      <c r="M43" s="594">
        <f>IF(L43="Løype",Poengsammendrag!$F$2,IF(L43="Arr",Poengsammendrag!$F$3,IF(L43="Brutt",50,IF(L43="Disk",50,ROUND(MAXA(100*(MIN(L$10:L$96)/L43),50),0)))))</f>
        <v>50</v>
      </c>
      <c r="N43" s="724">
        <f t="shared" si="2"/>
        <v>9.0046257773833075E-3</v>
      </c>
      <c r="O43" s="596">
        <f>IF(N43="Løype",Poengsammendrag!$F$2,IF(N43="Arr",Poengsammendrag!$F$3,IF(N43="Brutt",50,IF(N43="Disk",50,ROUND(MAXA(100*(MIN(N$10:N$96)/N43),50),0)))))</f>
        <v>50</v>
      </c>
      <c r="S43" s="803" t="s">
        <v>337</v>
      </c>
      <c r="T43" s="797">
        <v>1.8036265432098766E-2</v>
      </c>
      <c r="U43" s="770">
        <v>50</v>
      </c>
      <c r="V43" s="778"/>
      <c r="W43" s="783" t="s">
        <v>337</v>
      </c>
      <c r="X43" s="740">
        <v>50</v>
      </c>
      <c r="AB43" s="828">
        <f t="shared" si="5"/>
        <v>88</v>
      </c>
      <c r="AC43" s="829">
        <f t="shared" si="3"/>
        <v>0</v>
      </c>
    </row>
    <row r="44" spans="2:29" ht="21" customHeight="1" thickBot="1" x14ac:dyDescent="0.3">
      <c r="B44" s="16">
        <f t="shared" si="4"/>
        <v>35</v>
      </c>
      <c r="C44" s="106" t="s">
        <v>168</v>
      </c>
      <c r="D44" s="107" t="s">
        <v>169</v>
      </c>
      <c r="E44" s="599" t="str">
        <f t="shared" si="6"/>
        <v>SteinØvstedal</v>
      </c>
      <c r="F44" s="192">
        <f>YEAR(I$5)-_xlfn.XLOOKUP(E44,Deltakerliste!E$5:E$98,Deltakerliste!I$5:I$98)</f>
        <v>75</v>
      </c>
      <c r="G44" s="192">
        <f>_xlfn.XLOOKUP(E44,Deltakerliste!E$5:E$98,Deltakerliste!H$5:H$98)</f>
        <v>2</v>
      </c>
      <c r="H44" s="592">
        <f>VLOOKUP(F44,Deltakerliste!P$6:T$84,G44,FALSE)</f>
        <v>1.605</v>
      </c>
      <c r="I44" s="132"/>
      <c r="J44" s="132">
        <v>3.9375E-2</v>
      </c>
      <c r="K44" s="18"/>
      <c r="L44" s="600">
        <f t="shared" si="1"/>
        <v>1.4583333333333332E-2</v>
      </c>
      <c r="M44" s="594">
        <f>IF(L44="Løype",Poengsammendrag!$F$2,IF(L44="Arr",Poengsammendrag!$F$3,IF(L44="Brutt",50,IF(L44="Disk",50,ROUND(MAXA(100*(MIN(L$10:L$96)/L44),50),0)))))</f>
        <v>50</v>
      </c>
      <c r="N44" s="724">
        <f t="shared" si="2"/>
        <v>9.0861889927310487E-3</v>
      </c>
      <c r="O44" s="596">
        <f>IF(N44="Løype",Poengsammendrag!$F$2,IF(N44="Arr",Poengsammendrag!$F$3,IF(N44="Brutt",50,IF(N44="Disk",50,ROUND(MAXA(100*(MIN(N$10:N$96)/N44),50),0)))))</f>
        <v>50</v>
      </c>
      <c r="S44" s="803" t="s">
        <v>263</v>
      </c>
      <c r="T44" s="797">
        <v>1.9373713991769549E-2</v>
      </c>
      <c r="U44" s="770">
        <v>50</v>
      </c>
      <c r="V44" s="772"/>
      <c r="W44" s="783" t="s">
        <v>168</v>
      </c>
      <c r="X44" s="740">
        <v>50</v>
      </c>
      <c r="AB44" s="828">
        <f t="shared" si="5"/>
        <v>89</v>
      </c>
      <c r="AC44" s="829">
        <f t="shared" si="3"/>
        <v>0</v>
      </c>
    </row>
    <row r="45" spans="2:29" ht="21" thickBot="1" x14ac:dyDescent="0.3">
      <c r="B45" s="16">
        <f t="shared" si="4"/>
        <v>36</v>
      </c>
      <c r="C45" s="106" t="s">
        <v>94</v>
      </c>
      <c r="D45" s="107" t="s">
        <v>95</v>
      </c>
      <c r="E45" s="599" t="str">
        <f t="shared" si="6"/>
        <v>TerjeHanssen</v>
      </c>
      <c r="F45" s="192">
        <f>YEAR(I$5)-_xlfn.XLOOKUP(E45,Deltakerliste!E$5:E$98,Deltakerliste!I$5:I$98)</f>
        <v>78</v>
      </c>
      <c r="G45" s="192">
        <f>_xlfn.XLOOKUP(E45,Deltakerliste!E$5:E$98,Deltakerliste!H$5:H$98)</f>
        <v>2</v>
      </c>
      <c r="H45" s="592">
        <f>VLOOKUP(F45,Deltakerliste!P$6:T$84,G45,FALSE)</f>
        <v>1.7550000000000001</v>
      </c>
      <c r="I45" s="86">
        <v>3.5555555555555556E-2</v>
      </c>
      <c r="J45" s="86"/>
      <c r="K45" s="17"/>
      <c r="L45" s="600">
        <f t="shared" si="1"/>
        <v>1.9753086419753086E-2</v>
      </c>
      <c r="M45" s="594">
        <f>IF(L45="Løype",Poengsammendrag!$F$2,IF(L45="Arr",Poengsammendrag!$F$3,IF(L45="Brutt",50,IF(L45="Disk",50,ROUND(MAXA(100*(MIN(L$10:L$96)/L45),50),0)))))</f>
        <v>50</v>
      </c>
      <c r="N45" s="724">
        <f t="shared" si="2"/>
        <v>1.1255319897295205E-2</v>
      </c>
      <c r="O45" s="596">
        <f>IF(N45="Løype",Poengsammendrag!$F$2,IF(N45="Arr",Poengsammendrag!$F$3,IF(N45="Brutt",50,IF(N45="Disk",50,ROUND(MAXA(100*(MIN(N$10:N$96)/N45),50),0)))))</f>
        <v>50</v>
      </c>
      <c r="S45" s="803" t="s">
        <v>94</v>
      </c>
      <c r="T45" s="797">
        <v>1.9753086419753086E-2</v>
      </c>
      <c r="U45" s="770">
        <v>50</v>
      </c>
      <c r="V45" s="772"/>
      <c r="W45" s="783" t="s">
        <v>94</v>
      </c>
      <c r="X45" s="740">
        <v>50</v>
      </c>
      <c r="AB45" s="828">
        <f t="shared" si="5"/>
        <v>90</v>
      </c>
      <c r="AC45" s="829">
        <f t="shared" si="3"/>
        <v>0</v>
      </c>
    </row>
    <row r="46" spans="2:29" ht="21" thickBot="1" x14ac:dyDescent="0.3">
      <c r="B46" s="16">
        <f t="shared" si="4"/>
        <v>37</v>
      </c>
      <c r="C46" s="106" t="s">
        <v>263</v>
      </c>
      <c r="D46" s="107" t="s">
        <v>264</v>
      </c>
      <c r="E46" s="599" t="str">
        <f t="shared" si="6"/>
        <v>RuneHolt</v>
      </c>
      <c r="F46" s="192">
        <f>YEAR(I$5)-_xlfn.XLOOKUP(E46,Deltakerliste!E$5:E$98,Deltakerliste!I$5:I$98)</f>
        <v>73</v>
      </c>
      <c r="G46" s="192">
        <f>_xlfn.XLOOKUP(E46,Deltakerliste!E$5:E$98,Deltakerliste!H$5:H$98)</f>
        <v>2</v>
      </c>
      <c r="H46" s="592">
        <f>VLOOKUP(F46,Deltakerliste!P$6:T$84,G46,FALSE)</f>
        <v>1.5329999999999999</v>
      </c>
      <c r="I46" s="86">
        <v>3.4872685185185187E-2</v>
      </c>
      <c r="J46" s="134"/>
      <c r="K46" s="17"/>
      <c r="L46" s="600">
        <f t="shared" si="1"/>
        <v>1.9373713991769549E-2</v>
      </c>
      <c r="M46" s="594">
        <f>IF(L46="Løype",Poengsammendrag!$F$2,IF(L46="Arr",Poengsammendrag!$F$3,IF(L46="Brutt",50,IF(L46="Disk",50,ROUND(MAXA(100*(MIN(L$10:L$96)/L46),50),0)))))</f>
        <v>50</v>
      </c>
      <c r="N46" s="724">
        <f t="shared" si="2"/>
        <v>1.2637778207286073E-2</v>
      </c>
      <c r="O46" s="596">
        <f>IF(N46="Løype",Poengsammendrag!$F$2,IF(N46="Arr",Poengsammendrag!$F$3,IF(N46="Brutt",50,IF(N46="Disk",50,ROUND(MAXA(100*(MIN(N$10:N$96)/N46),50),0)))))</f>
        <v>50</v>
      </c>
      <c r="S46" s="803" t="s">
        <v>411</v>
      </c>
      <c r="T46" s="797">
        <v>2.0158179012345682E-2</v>
      </c>
      <c r="U46" s="770">
        <v>50</v>
      </c>
      <c r="V46" s="772"/>
      <c r="W46" s="783" t="s">
        <v>263</v>
      </c>
      <c r="X46" s="740">
        <v>50</v>
      </c>
      <c r="AB46" s="828">
        <f t="shared" si="5"/>
        <v>91</v>
      </c>
      <c r="AC46" s="829">
        <f t="shared" si="3"/>
        <v>0</v>
      </c>
    </row>
    <row r="47" spans="2:29" ht="21" customHeight="1" thickBot="1" x14ac:dyDescent="0.3">
      <c r="B47" s="16">
        <f t="shared" si="4"/>
        <v>38</v>
      </c>
      <c r="C47" s="106" t="s">
        <v>60</v>
      </c>
      <c r="D47" s="107" t="s">
        <v>372</v>
      </c>
      <c r="E47" s="599" t="str">
        <f t="shared" si="6"/>
        <v>JosteinGrepstad</v>
      </c>
      <c r="F47" s="192">
        <f>YEAR(I$5)-_xlfn.XLOOKUP(E47,Deltakerliste!E$5:E$98,Deltakerliste!I$5:I$98)</f>
        <v>75</v>
      </c>
      <c r="G47" s="192">
        <f>_xlfn.XLOOKUP(E47,Deltakerliste!E$5:E$98,Deltakerliste!H$5:H$98)</f>
        <v>2</v>
      </c>
      <c r="H47" s="592">
        <f>VLOOKUP(F47,Deltakerliste!P$6:T$84,G47,FALSE)</f>
        <v>1.605</v>
      </c>
      <c r="I47" s="14">
        <v>4.0300925925925928E-2</v>
      </c>
      <c r="J47" s="901"/>
      <c r="K47" s="18"/>
      <c r="L47" s="600">
        <f t="shared" si="1"/>
        <v>2.238940329218107E-2</v>
      </c>
      <c r="M47" s="594">
        <f>IF(L47="Løype",Poengsammendrag!$F$2,IF(L47="Arr",Poengsammendrag!$F$3,IF(L47="Brutt",50,IF(L47="Disk",50,ROUND(MAXA(100*(MIN(L$10:L$96)/L47),50),0)))))</f>
        <v>50</v>
      </c>
      <c r="N47" s="724">
        <f t="shared" si="2"/>
        <v>1.3949783982667333E-2</v>
      </c>
      <c r="O47" s="596">
        <f>IF(N47="Løype",Poengsammendrag!$F$2,IF(N47="Arr",Poengsammendrag!$F$3,IF(N47="Brutt",50,IF(N47="Disk",50,ROUND(MAXA(100*(MIN(N$10:N$96)/N47),50),0)))))</f>
        <v>50</v>
      </c>
      <c r="S47" s="803" t="s">
        <v>373</v>
      </c>
      <c r="T47" s="797">
        <v>2.238940329218107E-2</v>
      </c>
      <c r="U47" s="770">
        <v>50</v>
      </c>
      <c r="V47" s="772"/>
      <c r="W47" s="783" t="s">
        <v>373</v>
      </c>
      <c r="X47" s="740">
        <v>50</v>
      </c>
      <c r="AB47" s="828">
        <f t="shared" si="5"/>
        <v>92</v>
      </c>
      <c r="AC47" s="829">
        <f t="shared" si="3"/>
        <v>0</v>
      </c>
    </row>
    <row r="48" spans="2:29" ht="21" customHeight="1" thickBot="1" x14ac:dyDescent="0.3">
      <c r="B48" s="16">
        <f t="shared" si="4"/>
        <v>39</v>
      </c>
      <c r="C48" s="106" t="s">
        <v>130</v>
      </c>
      <c r="D48" s="107" t="s">
        <v>131</v>
      </c>
      <c r="E48" s="599" t="str">
        <f t="shared" si="6"/>
        <v>AtleMørk</v>
      </c>
      <c r="F48" s="192">
        <f>YEAR(I$5)-_xlfn.XLOOKUP(E48,Deltakerliste!E$5:E$98,Deltakerliste!I$5:I$98)</f>
        <v>77</v>
      </c>
      <c r="G48" s="192">
        <f>_xlfn.XLOOKUP(E48,Deltakerliste!E$5:E$98,Deltakerliste!H$5:H$98)</f>
        <v>2</v>
      </c>
      <c r="H48" s="592">
        <f>VLOOKUP(F48,Deltakerliste!P$6:T$84,G48,FALSE)</f>
        <v>1.7050000000000001</v>
      </c>
      <c r="I48" s="132" t="s">
        <v>319</v>
      </c>
      <c r="J48" s="132"/>
      <c r="K48" s="132"/>
      <c r="L48" s="600" t="str">
        <f t="shared" si="1"/>
        <v>Disk</v>
      </c>
      <c r="M48" s="594">
        <f>IF(L48="Løype",Poengsammendrag!$F$2,IF(L48="Arr",Poengsammendrag!$F$3,IF(L48="Brutt",50,IF(L48="Disk",50,ROUND(MAXA(100*(MIN(L$10:L$96)/L48),50),0)))))</f>
        <v>50</v>
      </c>
      <c r="N48" s="724" t="str">
        <f t="shared" si="2"/>
        <v>Disk</v>
      </c>
      <c r="O48" s="596">
        <f>IF(N48="Løype",Poengsammendrag!$F$2,IF(N48="Arr",Poengsammendrag!$F$3,IF(N48="Brutt",50,IF(N48="Disk",50,ROUND(MAXA(100*(MIN(N$10:N$96)/N48),50),0)))))</f>
        <v>50</v>
      </c>
      <c r="S48" s="803" t="s">
        <v>130</v>
      </c>
      <c r="T48" s="797" t="s">
        <v>319</v>
      </c>
      <c r="U48" s="770">
        <v>50</v>
      </c>
      <c r="V48" s="772"/>
      <c r="W48" s="783" t="s">
        <v>130</v>
      </c>
      <c r="X48" s="740">
        <v>50</v>
      </c>
      <c r="AB48" s="828">
        <f t="shared" si="5"/>
        <v>93</v>
      </c>
      <c r="AC48" s="829">
        <f t="shared" si="3"/>
        <v>0</v>
      </c>
    </row>
    <row r="49" spans="2:29" ht="21" customHeight="1" thickBot="1" x14ac:dyDescent="0.3">
      <c r="B49" s="16">
        <f t="shared" si="4"/>
        <v>40</v>
      </c>
      <c r="C49" s="106" t="s">
        <v>269</v>
      </c>
      <c r="D49" s="107" t="s">
        <v>270</v>
      </c>
      <c r="E49" s="599" t="str">
        <f t="shared" si="6"/>
        <v>Per OlavJohansen</v>
      </c>
      <c r="F49" s="192">
        <f>YEAR(I$5)-_xlfn.XLOOKUP(E49,Deltakerliste!E$5:E$98,Deltakerliste!I$5:I$98)</f>
        <v>68</v>
      </c>
      <c r="G49" s="192">
        <f>_xlfn.XLOOKUP(E49,Deltakerliste!E$5:E$98,Deltakerliste!H$5:H$98)</f>
        <v>2</v>
      </c>
      <c r="H49" s="592">
        <f>VLOOKUP(F49,Deltakerliste!P$6:T$84,G49,FALSE)</f>
        <v>1.3729999999999998</v>
      </c>
      <c r="I49" s="132" t="s">
        <v>319</v>
      </c>
      <c r="J49" s="132"/>
      <c r="K49" s="134"/>
      <c r="L49" s="600" t="str">
        <f t="shared" si="1"/>
        <v>Disk</v>
      </c>
      <c r="M49" s="594">
        <f>IF(L49="Løype",Poengsammendrag!$F$2,IF(L49="Arr",Poengsammendrag!$F$3,IF(L49="Brutt",50,IF(L49="Disk",50,ROUND(MAXA(100*(MIN(L$10:L$96)/L49),50),0)))))</f>
        <v>50</v>
      </c>
      <c r="N49" s="724" t="str">
        <f t="shared" si="2"/>
        <v>Disk</v>
      </c>
      <c r="O49" s="596">
        <f>IF(N49="Løype",Poengsammendrag!$F$2,IF(N49="Arr",Poengsammendrag!$F$3,IF(N49="Brutt",50,IF(N49="Disk",50,ROUND(MAXA(100*(MIN(N$10:N$96)/N49),50),0)))))</f>
        <v>50</v>
      </c>
      <c r="S49" s="803" t="s">
        <v>269</v>
      </c>
      <c r="T49" s="796" t="s">
        <v>319</v>
      </c>
      <c r="U49" s="793">
        <v>50</v>
      </c>
      <c r="V49" s="794"/>
      <c r="W49" s="795" t="s">
        <v>269</v>
      </c>
      <c r="X49" s="762">
        <v>50</v>
      </c>
      <c r="AB49" s="828">
        <f t="shared" si="5"/>
        <v>94</v>
      </c>
      <c r="AC49" s="829">
        <f t="shared" si="3"/>
        <v>0</v>
      </c>
    </row>
    <row r="50" spans="2:29" ht="21" thickBot="1" x14ac:dyDescent="0.3">
      <c r="B50" s="16">
        <f t="shared" si="4"/>
        <v>41</v>
      </c>
      <c r="C50" s="106" t="s">
        <v>136</v>
      </c>
      <c r="D50" s="107" t="s">
        <v>137</v>
      </c>
      <c r="E50" s="599" t="str">
        <f t="shared" si="6"/>
        <v>HaraldOftedal</v>
      </c>
      <c r="F50" s="192">
        <f>YEAR(I$5)-_xlfn.XLOOKUP(E50,Deltakerliste!E$5:E$98,Deltakerliste!I$5:I$98)</f>
        <v>74</v>
      </c>
      <c r="G50" s="192">
        <f>_xlfn.XLOOKUP(E50,Deltakerliste!E$5:E$98,Deltakerliste!H$5:H$98)</f>
        <v>2</v>
      </c>
      <c r="H50" s="592">
        <f>VLOOKUP(F50,Deltakerliste!P$6:T$84,G50,FALSE)</f>
        <v>1.569</v>
      </c>
      <c r="I50" s="132"/>
      <c r="J50" s="132" t="s">
        <v>62</v>
      </c>
      <c r="K50" s="134"/>
      <c r="L50" s="600" t="str">
        <f t="shared" si="1"/>
        <v>Løype</v>
      </c>
      <c r="M50" s="594">
        <f>IF(L50="Løype",Poengsammendrag!$F$2,IF(L50="Arr",Poengsammendrag!$F$3,IF(L50="Brutt",50,IF(L50="Disk",50,ROUND(MAXA(100*(MIN(L$10:L$96)/L50),50),0)))))</f>
        <v>100</v>
      </c>
      <c r="N50" s="724" t="str">
        <f t="shared" si="2"/>
        <v>Løype</v>
      </c>
      <c r="O50" s="596">
        <f>IF(N50="Løype",Poengsammendrag!$F$2,IF(N50="Arr",Poengsammendrag!$F$3,IF(N50="Brutt",50,IF(N50="Disk",50,ROUND(MAXA(100*(MIN(N$10:N$96)/N50),50),0)))))</f>
        <v>100</v>
      </c>
      <c r="S50" s="803" t="s">
        <v>136</v>
      </c>
      <c r="T50" s="851" t="s">
        <v>62</v>
      </c>
      <c r="U50" s="770">
        <v>100</v>
      </c>
      <c r="V50" s="772"/>
      <c r="W50" s="783" t="s">
        <v>136</v>
      </c>
      <c r="X50" s="740">
        <v>100</v>
      </c>
      <c r="AB50" s="830">
        <f t="shared" si="5"/>
        <v>95</v>
      </c>
      <c r="AC50" s="831">
        <f t="shared" si="3"/>
        <v>0</v>
      </c>
    </row>
    <row r="51" spans="2:29" ht="21" customHeight="1" thickBot="1" x14ac:dyDescent="0.3">
      <c r="B51" s="16">
        <f t="shared" si="4"/>
        <v>42</v>
      </c>
      <c r="C51" s="106" t="s">
        <v>60</v>
      </c>
      <c r="D51" s="107" t="s">
        <v>61</v>
      </c>
      <c r="E51" s="599" t="str">
        <f t="shared" si="6"/>
        <v>JosteinAlvestad</v>
      </c>
      <c r="F51" s="192">
        <f>YEAR(I$5)-_xlfn.XLOOKUP(E51,Deltakerliste!E$5:E$98,Deltakerliste!I$5:I$98)</f>
        <v>71</v>
      </c>
      <c r="G51" s="192">
        <f>_xlfn.XLOOKUP(E51,Deltakerliste!E$5:E$98,Deltakerliste!H$5:H$98)</f>
        <v>2</v>
      </c>
      <c r="H51" s="592">
        <f>VLOOKUP(F51,Deltakerliste!P$6:T$84,G51,FALSE)</f>
        <v>1.4609999999999999</v>
      </c>
      <c r="I51" s="13"/>
      <c r="J51" s="13"/>
      <c r="K51" s="17"/>
      <c r="L51" s="600"/>
      <c r="M51" s="594"/>
      <c r="N51" s="724"/>
      <c r="O51" s="596"/>
      <c r="S51" s="803"/>
      <c r="T51" s="797"/>
      <c r="U51" s="770"/>
      <c r="V51" s="772"/>
      <c r="W51" s="783"/>
      <c r="X51" s="740"/>
    </row>
    <row r="52" spans="2:29" ht="21" thickBot="1" x14ac:dyDescent="0.3">
      <c r="B52" s="16">
        <f t="shared" si="4"/>
        <v>43</v>
      </c>
      <c r="C52" s="106" t="s">
        <v>414</v>
      </c>
      <c r="D52" s="107" t="s">
        <v>415</v>
      </c>
      <c r="E52" s="599" t="str">
        <f t="shared" si="6"/>
        <v>HåkonArnesen</v>
      </c>
      <c r="F52" s="192">
        <f>YEAR(I$5)-_xlfn.XLOOKUP(E52,Deltakerliste!E$5:E$98,Deltakerliste!I$5:I$98)</f>
        <v>64</v>
      </c>
      <c r="G52" s="192">
        <f>_xlfn.XLOOKUP(E52,Deltakerliste!E$5:E$98,Deltakerliste!H$5:H$98)</f>
        <v>2</v>
      </c>
      <c r="H52" s="592">
        <f>VLOOKUP(F52,Deltakerliste!P$6:T$84,G52,FALSE)</f>
        <v>1.2759999999999998</v>
      </c>
      <c r="I52" s="13"/>
      <c r="J52" s="13"/>
      <c r="K52" s="17"/>
      <c r="L52" s="600"/>
      <c r="M52" s="594"/>
      <c r="N52" s="724"/>
      <c r="O52" s="596"/>
      <c r="S52" s="803"/>
      <c r="T52" s="797"/>
      <c r="U52" s="770"/>
      <c r="V52" s="772"/>
      <c r="W52" s="783"/>
      <c r="X52" s="740"/>
      <c r="AC52" s="651">
        <f>SUM(AC10:AC50)</f>
        <v>41</v>
      </c>
    </row>
    <row r="53" spans="2:29" ht="21" thickBot="1" x14ac:dyDescent="0.3">
      <c r="B53" s="16">
        <f t="shared" si="4"/>
        <v>44</v>
      </c>
      <c r="C53" s="106" t="s">
        <v>66</v>
      </c>
      <c r="D53" s="107" t="s">
        <v>67</v>
      </c>
      <c r="E53" s="599" t="str">
        <f t="shared" si="6"/>
        <v>FrankBjarkø</v>
      </c>
      <c r="F53" s="192">
        <f>YEAR(I$5)-_xlfn.XLOOKUP(E53,Deltakerliste!E$5:E$98,Deltakerliste!I$5:I$98)</f>
        <v>74</v>
      </c>
      <c r="G53" s="192">
        <f>_xlfn.XLOOKUP(E53,Deltakerliste!E$5:E$98,Deltakerliste!H$5:H$98)</f>
        <v>2</v>
      </c>
      <c r="H53" s="592">
        <f>VLOOKUP(F53,Deltakerliste!P$6:T$84,G53,FALSE)</f>
        <v>1.569</v>
      </c>
      <c r="I53" s="13"/>
      <c r="J53" s="13"/>
      <c r="K53" s="13"/>
      <c r="L53" s="600"/>
      <c r="M53" s="594"/>
      <c r="N53" s="724"/>
      <c r="O53" s="596"/>
      <c r="S53" s="803"/>
      <c r="T53" s="797"/>
      <c r="U53" s="770"/>
      <c r="V53" s="772"/>
      <c r="W53" s="783"/>
      <c r="X53" s="740"/>
    </row>
    <row r="54" spans="2:29" ht="21" thickBot="1" x14ac:dyDescent="0.3">
      <c r="B54" s="16">
        <f t="shared" si="4"/>
        <v>45</v>
      </c>
      <c r="C54" s="106" t="s">
        <v>364</v>
      </c>
      <c r="D54" s="107" t="s">
        <v>365</v>
      </c>
      <c r="E54" s="599" t="str">
        <f t="shared" si="6"/>
        <v>GerdBjørset</v>
      </c>
      <c r="F54" s="192">
        <f>YEAR(I$5)-_xlfn.XLOOKUP(E54,Deltakerliste!E$5:E$98,Deltakerliste!I$5:I$98)</f>
        <v>72</v>
      </c>
      <c r="G54" s="192">
        <f>_xlfn.XLOOKUP(E54,Deltakerliste!E$5:E$98,Deltakerliste!H$5:H$98)</f>
        <v>4</v>
      </c>
      <c r="H54" s="592">
        <f>VLOOKUP(F54,Deltakerliste!P$6:T$84,G54,FALSE)</f>
        <v>2.0362000000000013</v>
      </c>
      <c r="I54" s="13"/>
      <c r="J54" s="13"/>
      <c r="K54" s="13"/>
      <c r="L54" s="600"/>
      <c r="M54" s="594"/>
      <c r="N54" s="724"/>
      <c r="O54" s="596"/>
      <c r="S54" s="846"/>
      <c r="T54" s="847"/>
      <c r="U54" s="848"/>
      <c r="V54" s="778"/>
      <c r="W54" s="849"/>
      <c r="X54" s="850"/>
    </row>
    <row r="55" spans="2:29" ht="21" customHeight="1" thickBot="1" x14ac:dyDescent="0.3">
      <c r="B55" s="16">
        <f t="shared" si="4"/>
        <v>46</v>
      </c>
      <c r="C55" s="106" t="s">
        <v>64</v>
      </c>
      <c r="D55" s="107" t="s">
        <v>267</v>
      </c>
      <c r="E55" s="599" t="str">
        <f t="shared" si="6"/>
        <v>BjørnBrenne</v>
      </c>
      <c r="F55" s="192">
        <f>YEAR(I$5)-_xlfn.XLOOKUP(E55,Deltakerliste!E$5:E$98,Deltakerliste!I$5:I$98)</f>
        <v>81</v>
      </c>
      <c r="G55" s="192">
        <f>_xlfn.XLOOKUP(E55,Deltakerliste!E$5:E$98,Deltakerliste!H$5:H$98)</f>
        <v>2</v>
      </c>
      <c r="H55" s="592">
        <f>VLOOKUP(F55,Deltakerliste!P$6:T$84,G55,FALSE)</f>
        <v>1.9290000000000003</v>
      </c>
      <c r="I55" s="86"/>
      <c r="J55" s="86"/>
      <c r="K55" s="13"/>
      <c r="L55" s="600"/>
      <c r="M55" s="594"/>
      <c r="N55" s="724"/>
      <c r="O55" s="596"/>
      <c r="S55" s="803"/>
      <c r="T55" s="798"/>
      <c r="U55" s="770"/>
      <c r="V55" s="772"/>
      <c r="W55" s="783"/>
      <c r="X55" s="740"/>
    </row>
    <row r="56" spans="2:29" ht="21" thickBot="1" x14ac:dyDescent="0.3">
      <c r="B56" s="16">
        <f t="shared" si="4"/>
        <v>47</v>
      </c>
      <c r="C56" s="106" t="s">
        <v>342</v>
      </c>
      <c r="D56" s="107" t="s">
        <v>388</v>
      </c>
      <c r="E56" s="599" t="str">
        <f t="shared" si="6"/>
        <v>ArildClausen</v>
      </c>
      <c r="F56" s="192">
        <f>YEAR(I$5)-_xlfn.XLOOKUP(E56,Deltakerliste!E$5:E$98,Deltakerliste!I$5:I$98)</f>
        <v>58</v>
      </c>
      <c r="G56" s="192">
        <f>_xlfn.XLOOKUP(E56,Deltakerliste!E$5:E$98,Deltakerliste!H$5:H$98)</f>
        <v>2</v>
      </c>
      <c r="H56" s="592">
        <f>VLOOKUP(F56,Deltakerliste!P$6:T$84,G56,FALSE)</f>
        <v>1.1720000000000002</v>
      </c>
      <c r="I56" s="86"/>
      <c r="J56" s="86"/>
      <c r="K56" s="13"/>
      <c r="L56" s="600"/>
      <c r="M56" s="594"/>
      <c r="N56" s="724"/>
      <c r="O56" s="596"/>
      <c r="S56" s="803"/>
      <c r="T56" s="798"/>
      <c r="U56" s="770"/>
      <c r="V56" s="772"/>
      <c r="W56" s="783"/>
      <c r="X56" s="740"/>
    </row>
    <row r="57" spans="2:29" ht="21" thickBot="1" x14ac:dyDescent="0.3">
      <c r="B57" s="16">
        <f t="shared" si="4"/>
        <v>48</v>
      </c>
      <c r="C57" s="106" t="s">
        <v>74</v>
      </c>
      <c r="D57" s="107" t="s">
        <v>75</v>
      </c>
      <c r="E57" s="599" t="str">
        <f t="shared" si="6"/>
        <v>StinaElfving</v>
      </c>
      <c r="F57" s="192">
        <f>YEAR(I$5)-_xlfn.XLOOKUP(E57,Deltakerliste!E$5:E$98,Deltakerliste!I$5:I$98)</f>
        <v>76</v>
      </c>
      <c r="G57" s="192">
        <f>_xlfn.XLOOKUP(E57,Deltakerliste!E$5:E$98,Deltakerliste!H$5:H$98)</f>
        <v>4</v>
      </c>
      <c r="H57" s="592">
        <f>VLOOKUP(F57,Deltakerliste!P$6:T$84,G57,FALSE)</f>
        <v>2.2246000000000015</v>
      </c>
      <c r="I57" s="13"/>
      <c r="J57" s="13"/>
      <c r="K57" s="17"/>
      <c r="L57" s="600"/>
      <c r="M57" s="594"/>
      <c r="N57" s="724"/>
      <c r="O57" s="596"/>
      <c r="S57" s="803"/>
      <c r="T57" s="798"/>
      <c r="U57" s="770"/>
      <c r="V57" s="772"/>
      <c r="W57" s="783"/>
      <c r="X57" s="740"/>
    </row>
    <row r="58" spans="2:29" ht="20" customHeight="1" thickBot="1" x14ac:dyDescent="0.3">
      <c r="B58" s="16">
        <f t="shared" si="4"/>
        <v>49</v>
      </c>
      <c r="C58" s="106" t="s">
        <v>76</v>
      </c>
      <c r="D58" s="107" t="s">
        <v>77</v>
      </c>
      <c r="E58" s="599" t="str">
        <f t="shared" si="6"/>
        <v>ReinoldEllingsen</v>
      </c>
      <c r="F58" s="192">
        <f>YEAR(I$5)-_xlfn.XLOOKUP(E58,Deltakerliste!E$5:E$98,Deltakerliste!I$5:I$98)</f>
        <v>75</v>
      </c>
      <c r="G58" s="192">
        <f>_xlfn.XLOOKUP(E58,Deltakerliste!E$5:E$98,Deltakerliste!H$5:H$98)</f>
        <v>2</v>
      </c>
      <c r="H58" s="592">
        <f>VLOOKUP(F58,Deltakerliste!P$6:T$84,G58,FALSE)</f>
        <v>1.605</v>
      </c>
      <c r="I58" s="13"/>
      <c r="J58" s="13"/>
      <c r="K58" s="13"/>
      <c r="L58" s="600"/>
      <c r="M58" s="594"/>
      <c r="N58" s="724"/>
      <c r="O58" s="596"/>
      <c r="S58" s="804"/>
      <c r="T58" s="801"/>
      <c r="U58" s="771"/>
      <c r="V58" s="773"/>
      <c r="W58" s="784"/>
      <c r="X58" s="741"/>
    </row>
    <row r="59" spans="2:29" ht="21" thickBot="1" x14ac:dyDescent="0.3">
      <c r="B59" s="16">
        <f t="shared" si="4"/>
        <v>50</v>
      </c>
      <c r="C59" s="106" t="s">
        <v>216</v>
      </c>
      <c r="D59" s="107" t="s">
        <v>77</v>
      </c>
      <c r="E59" s="599" t="str">
        <f t="shared" si="6"/>
        <v>Åse RitaEllingsen</v>
      </c>
      <c r="F59" s="192">
        <f>YEAR(I$5)-_xlfn.XLOOKUP(E59,Deltakerliste!E$5:E$98,Deltakerliste!I$5:I$98)</f>
        <v>62</v>
      </c>
      <c r="G59" s="192">
        <f>_xlfn.XLOOKUP(E59,Deltakerliste!E$5:E$98,Deltakerliste!H$5:H$98)</f>
        <v>4</v>
      </c>
      <c r="H59" s="592">
        <f>VLOOKUP(F59,Deltakerliste!P$6:T$84,G59,FALSE)</f>
        <v>1.6834000000000005</v>
      </c>
      <c r="I59" s="86"/>
      <c r="J59" s="14"/>
      <c r="K59" s="13"/>
      <c r="L59" s="600"/>
      <c r="M59" s="594"/>
      <c r="N59" s="724"/>
      <c r="O59" s="596"/>
    </row>
    <row r="60" spans="2:29" ht="21" customHeight="1" thickBot="1" x14ac:dyDescent="0.3">
      <c r="B60" s="16">
        <f t="shared" si="4"/>
        <v>51</v>
      </c>
      <c r="C60" s="106" t="s">
        <v>80</v>
      </c>
      <c r="D60" s="107" t="s">
        <v>81</v>
      </c>
      <c r="E60" s="599" t="str">
        <f t="shared" si="6"/>
        <v>HalvorFlatberg</v>
      </c>
      <c r="F60" s="192">
        <f>YEAR(I$5)-_xlfn.XLOOKUP(E60,Deltakerliste!E$5:E$98,Deltakerliste!I$5:I$98)</f>
        <v>80</v>
      </c>
      <c r="G60" s="192">
        <f>_xlfn.XLOOKUP(E60,Deltakerliste!E$5:E$98,Deltakerliste!H$5:H$98)</f>
        <v>2</v>
      </c>
      <c r="H60" s="592">
        <f>VLOOKUP(F60,Deltakerliste!P$6:T$84,G60,FALSE)</f>
        <v>1.8550000000000002</v>
      </c>
      <c r="I60" s="86"/>
      <c r="J60" s="86"/>
      <c r="K60" s="13"/>
      <c r="L60" s="600"/>
      <c r="M60" s="594"/>
      <c r="N60" s="724"/>
      <c r="O60" s="596"/>
    </row>
    <row r="61" spans="2:29" ht="21" customHeight="1" thickBot="1" x14ac:dyDescent="0.3">
      <c r="B61" s="16">
        <f t="shared" si="4"/>
        <v>52</v>
      </c>
      <c r="C61" s="106" t="s">
        <v>271</v>
      </c>
      <c r="D61" s="107" t="s">
        <v>272</v>
      </c>
      <c r="E61" s="599" t="str">
        <f t="shared" si="6"/>
        <v>Arne KjellFoldvik</v>
      </c>
      <c r="F61" s="192">
        <f>YEAR(I$5)-_xlfn.XLOOKUP(E61,Deltakerliste!E$5:E$98,Deltakerliste!I$5:I$98)</f>
        <v>92</v>
      </c>
      <c r="G61" s="192">
        <f>_xlfn.XLOOKUP(E61,Deltakerliste!E$5:E$98,Deltakerliste!H$5:H$98)</f>
        <v>2</v>
      </c>
      <c r="H61" s="592">
        <f>VLOOKUP(F61,Deltakerliste!P$6:T$84,G61,FALSE)</f>
        <v>2.8130000000000002</v>
      </c>
      <c r="I61" s="14"/>
      <c r="J61" s="14"/>
      <c r="K61" s="13"/>
      <c r="L61" s="600"/>
      <c r="M61" s="594"/>
      <c r="N61" s="724"/>
      <c r="O61" s="596"/>
    </row>
    <row r="62" spans="2:29" ht="21" customHeight="1" thickBot="1" x14ac:dyDescent="0.3">
      <c r="B62" s="16">
        <f t="shared" si="4"/>
        <v>53</v>
      </c>
      <c r="C62" s="106" t="s">
        <v>82</v>
      </c>
      <c r="D62" s="107" t="s">
        <v>83</v>
      </c>
      <c r="E62" s="599" t="str">
        <f t="shared" si="6"/>
        <v>RoarForbord</v>
      </c>
      <c r="F62" s="192">
        <f>YEAR(I$5)-_xlfn.XLOOKUP(E62,Deltakerliste!E$5:E$98,Deltakerliste!I$5:I$98)</f>
        <v>83</v>
      </c>
      <c r="G62" s="192">
        <f>_xlfn.XLOOKUP(E62,Deltakerliste!E$5:E$98,Deltakerliste!H$5:H$98)</f>
        <v>2</v>
      </c>
      <c r="H62" s="592">
        <f>VLOOKUP(F62,Deltakerliste!P$6:T$84,G62,FALSE)</f>
        <v>2.077</v>
      </c>
      <c r="I62" s="86"/>
      <c r="J62" s="86"/>
      <c r="K62" s="13"/>
      <c r="L62" s="600"/>
      <c r="M62" s="594"/>
      <c r="N62" s="724"/>
      <c r="O62" s="596"/>
    </row>
    <row r="63" spans="2:29" ht="21" thickBot="1" x14ac:dyDescent="0.3">
      <c r="B63" s="16">
        <f t="shared" si="4"/>
        <v>54</v>
      </c>
      <c r="C63" s="106" t="s">
        <v>377</v>
      </c>
      <c r="D63" s="107" t="s">
        <v>83</v>
      </c>
      <c r="E63" s="599" t="str">
        <f t="shared" si="6"/>
        <v>HildeForbord</v>
      </c>
      <c r="F63" s="192">
        <f>YEAR(I$5)-_xlfn.XLOOKUP(E63,Deltakerliste!E$5:E$98,Deltakerliste!I$5:I$98)</f>
        <v>60</v>
      </c>
      <c r="G63" s="192">
        <f>_xlfn.XLOOKUP(E63,Deltakerliste!E$5:E$98,Deltakerliste!H$5:H$98)</f>
        <v>4</v>
      </c>
      <c r="H63" s="592">
        <f>VLOOKUP(F63,Deltakerliste!P$6:T$84,G63,FALSE)</f>
        <v>1.6250000000000002</v>
      </c>
      <c r="I63" s="14"/>
      <c r="J63" s="14"/>
      <c r="K63" s="13"/>
      <c r="L63" s="600"/>
      <c r="M63" s="594"/>
      <c r="N63" s="724"/>
      <c r="O63" s="596"/>
    </row>
    <row r="64" spans="2:29" ht="21" thickBot="1" x14ac:dyDescent="0.3">
      <c r="B64" s="16">
        <f t="shared" si="4"/>
        <v>55</v>
      </c>
      <c r="C64" s="106" t="s">
        <v>84</v>
      </c>
      <c r="D64" s="107" t="s">
        <v>85</v>
      </c>
      <c r="E64" s="599" t="str">
        <f t="shared" si="6"/>
        <v>PaulForseth</v>
      </c>
      <c r="F64" s="192">
        <f>YEAR(I$5)-_xlfn.XLOOKUP(E64,Deltakerliste!E$5:E$98,Deltakerliste!I$5:I$98)</f>
        <v>94</v>
      </c>
      <c r="G64" s="192">
        <f>_xlfn.XLOOKUP(E64,Deltakerliste!E$5:E$98,Deltakerliste!H$5:H$98)</f>
        <v>2</v>
      </c>
      <c r="H64" s="592">
        <f>VLOOKUP(F64,Deltakerliste!P$6:T$84,G64,FALSE)</f>
        <v>2.9810000000000003</v>
      </c>
      <c r="I64" s="86"/>
      <c r="J64" s="86"/>
      <c r="K64" s="17"/>
      <c r="L64" s="600"/>
      <c r="M64" s="594"/>
      <c r="N64" s="724"/>
      <c r="O64" s="596"/>
    </row>
    <row r="65" spans="2:17" ht="21" thickBot="1" x14ac:dyDescent="0.3">
      <c r="B65" s="16">
        <f t="shared" si="4"/>
        <v>56</v>
      </c>
      <c r="C65" s="106" t="s">
        <v>86</v>
      </c>
      <c r="D65" s="107" t="s">
        <v>87</v>
      </c>
      <c r="E65" s="599" t="str">
        <f t="shared" si="6"/>
        <v>KristianFougner</v>
      </c>
      <c r="F65" s="192">
        <f>YEAR(I$5)-_xlfn.XLOOKUP(E65,Deltakerliste!E$5:E$98,Deltakerliste!I$5:I$98)</f>
        <v>76</v>
      </c>
      <c r="G65" s="192">
        <f>_xlfn.XLOOKUP(E65,Deltakerliste!E$5:E$98,Deltakerliste!H$5:H$98)</f>
        <v>2</v>
      </c>
      <c r="H65" s="592">
        <f>VLOOKUP(F65,Deltakerliste!P$6:T$84,G65,FALSE)</f>
        <v>1.655</v>
      </c>
      <c r="I65" s="86"/>
      <c r="J65" s="86"/>
      <c r="K65" s="13"/>
      <c r="L65" s="600"/>
      <c r="M65" s="594"/>
      <c r="N65" s="724"/>
      <c r="O65" s="596"/>
    </row>
    <row r="66" spans="2:17" ht="21" thickBot="1" x14ac:dyDescent="0.3">
      <c r="B66" s="16">
        <f t="shared" si="4"/>
        <v>57</v>
      </c>
      <c r="C66" s="106" t="s">
        <v>207</v>
      </c>
      <c r="D66" s="107" t="s">
        <v>89</v>
      </c>
      <c r="E66" s="599" t="str">
        <f t="shared" si="6"/>
        <v>AnneFuruholt</v>
      </c>
      <c r="F66" s="192">
        <f>YEAR(I$5)-_xlfn.XLOOKUP(E66,Deltakerliste!E$5:E$98,Deltakerliste!I$5:I$98)</f>
        <v>79</v>
      </c>
      <c r="G66" s="192">
        <f>_xlfn.XLOOKUP(E66,Deltakerliste!E$5:E$98,Deltakerliste!H$5:H$98)</f>
        <v>4</v>
      </c>
      <c r="H66" s="592">
        <f>VLOOKUP(F66,Deltakerliste!P$6:T$84,G66,FALSE)</f>
        <v>2.3974000000000011</v>
      </c>
      <c r="I66" s="13"/>
      <c r="J66" s="13"/>
      <c r="K66" s="13"/>
      <c r="L66" s="600"/>
      <c r="M66" s="594"/>
      <c r="N66" s="724"/>
      <c r="O66" s="596"/>
    </row>
    <row r="67" spans="2:17" ht="21" thickBot="1" x14ac:dyDescent="0.3">
      <c r="B67" s="16">
        <f t="shared" si="4"/>
        <v>58</v>
      </c>
      <c r="C67" s="106" t="s">
        <v>116</v>
      </c>
      <c r="D67" s="107" t="s">
        <v>353</v>
      </c>
      <c r="E67" s="599" t="str">
        <f t="shared" si="6"/>
        <v>AndersGjermo</v>
      </c>
      <c r="F67" s="192">
        <f>YEAR(I$5)-_xlfn.XLOOKUP(E67,Deltakerliste!E$5:E$98,Deltakerliste!I$5:I$98)</f>
        <v>68</v>
      </c>
      <c r="G67" s="192">
        <f>_xlfn.XLOOKUP(E67,Deltakerliste!E$5:E$98,Deltakerliste!H$5:H$98)</f>
        <v>2</v>
      </c>
      <c r="H67" s="592">
        <f>VLOOKUP(F67,Deltakerliste!P$6:T$84,G67,FALSE)</f>
        <v>1.3729999999999998</v>
      </c>
      <c r="I67" s="132"/>
      <c r="J67" s="132"/>
      <c r="K67" s="18"/>
      <c r="L67" s="600"/>
      <c r="M67" s="594"/>
      <c r="N67" s="724"/>
      <c r="O67" s="596"/>
    </row>
    <row r="68" spans="2:17" ht="21" thickBot="1" x14ac:dyDescent="0.3">
      <c r="B68" s="16">
        <f t="shared" si="4"/>
        <v>59</v>
      </c>
      <c r="C68" s="106" t="s">
        <v>92</v>
      </c>
      <c r="D68" s="107" t="s">
        <v>93</v>
      </c>
      <c r="E68" s="599" t="str">
        <f t="shared" si="6"/>
        <v>Jens ØysteinGjersvold</v>
      </c>
      <c r="F68" s="192">
        <f>YEAR(I$5)-_xlfn.XLOOKUP(E68,Deltakerliste!E$5:E$98,Deltakerliste!I$5:I$98)</f>
        <v>74</v>
      </c>
      <c r="G68" s="192">
        <f>_xlfn.XLOOKUP(E68,Deltakerliste!E$5:E$98,Deltakerliste!H$5:H$98)</f>
        <v>2</v>
      </c>
      <c r="H68" s="592">
        <f>VLOOKUP(F68,Deltakerliste!P$6:T$84,G68,FALSE)</f>
        <v>1.569</v>
      </c>
      <c r="I68" s="14"/>
      <c r="J68" s="14"/>
      <c r="K68" s="18"/>
      <c r="L68" s="600"/>
      <c r="M68" s="594"/>
      <c r="N68" s="724"/>
      <c r="O68" s="596"/>
    </row>
    <row r="69" spans="2:17" ht="21" thickBot="1" x14ac:dyDescent="0.3">
      <c r="B69" s="16">
        <f t="shared" si="4"/>
        <v>60</v>
      </c>
      <c r="C69" s="106" t="s">
        <v>64</v>
      </c>
      <c r="D69" s="107" t="s">
        <v>366</v>
      </c>
      <c r="E69" s="599" t="str">
        <f t="shared" si="6"/>
        <v>BjørnHafskjold</v>
      </c>
      <c r="F69" s="192">
        <f>YEAR(I$5)-_xlfn.XLOOKUP(E69,Deltakerliste!E$5:E$98,Deltakerliste!I$5:I$98)</f>
        <v>79</v>
      </c>
      <c r="G69" s="192">
        <f>_xlfn.XLOOKUP(E69,Deltakerliste!E$5:E$98,Deltakerliste!H$5:H$98)</f>
        <v>2</v>
      </c>
      <c r="H69" s="592">
        <f>VLOOKUP(F69,Deltakerliste!P$6:T$84,G69,FALSE)</f>
        <v>1.8050000000000002</v>
      </c>
      <c r="I69" s="14"/>
      <c r="J69" s="14"/>
      <c r="K69" s="18"/>
      <c r="L69" s="600"/>
      <c r="M69" s="594"/>
      <c r="N69" s="724"/>
      <c r="O69" s="596"/>
    </row>
    <row r="70" spans="2:17" ht="21" thickBot="1" x14ac:dyDescent="0.3">
      <c r="B70" s="16">
        <f t="shared" si="4"/>
        <v>61</v>
      </c>
      <c r="C70" s="106" t="s">
        <v>309</v>
      </c>
      <c r="D70" s="107" t="s">
        <v>310</v>
      </c>
      <c r="E70" s="599" t="str">
        <f t="shared" si="6"/>
        <v>VigdisHeimly</v>
      </c>
      <c r="F70" s="192">
        <f>YEAR(I$5)-_xlfn.XLOOKUP(E70,Deltakerliste!E$5:E$98,Deltakerliste!I$5:I$98)</f>
        <v>67</v>
      </c>
      <c r="G70" s="192">
        <f>_xlfn.XLOOKUP(E70,Deltakerliste!E$5:E$98,Deltakerliste!H$5:H$98)</f>
        <v>4</v>
      </c>
      <c r="H70" s="592">
        <f>VLOOKUP(F70,Deltakerliste!P$6:T$84,G70,FALSE)</f>
        <v>1.8422000000000009</v>
      </c>
      <c r="I70" s="86"/>
      <c r="J70" s="86"/>
      <c r="K70" s="17"/>
      <c r="L70" s="600"/>
      <c r="M70" s="594"/>
      <c r="N70" s="724"/>
      <c r="O70" s="596"/>
    </row>
    <row r="71" spans="2:17" ht="21" thickBot="1" x14ac:dyDescent="0.3">
      <c r="B71" s="16">
        <f t="shared" si="4"/>
        <v>62</v>
      </c>
      <c r="C71" s="106" t="s">
        <v>126</v>
      </c>
      <c r="D71" s="107" t="s">
        <v>383</v>
      </c>
      <c r="E71" s="599" t="str">
        <f t="shared" si="6"/>
        <v>ArneHelland</v>
      </c>
      <c r="F71" s="192">
        <f>YEAR(I$5)-_xlfn.XLOOKUP(E71,Deltakerliste!E$5:E$98,Deltakerliste!I$5:I$98)</f>
        <v>61</v>
      </c>
      <c r="G71" s="192">
        <f>_xlfn.XLOOKUP(E71,Deltakerliste!E$5:E$98,Deltakerliste!H$5:H$98)</f>
        <v>2</v>
      </c>
      <c r="H71" s="592">
        <f>VLOOKUP(F71,Deltakerliste!P$6:T$84,G71,FALSE)</f>
        <v>1.2190000000000001</v>
      </c>
      <c r="I71" s="86"/>
      <c r="J71" s="86"/>
      <c r="K71" s="17"/>
      <c r="L71" s="600"/>
      <c r="M71" s="594"/>
      <c r="N71" s="724"/>
      <c r="O71" s="596"/>
    </row>
    <row r="72" spans="2:17" ht="21" thickBot="1" x14ac:dyDescent="0.3">
      <c r="B72" s="16">
        <f t="shared" si="4"/>
        <v>63</v>
      </c>
      <c r="C72" s="106" t="s">
        <v>118</v>
      </c>
      <c r="D72" s="107" t="s">
        <v>383</v>
      </c>
      <c r="E72" s="599" t="str">
        <f t="shared" si="6"/>
        <v>KnutHelland</v>
      </c>
      <c r="F72" s="192">
        <f>YEAR(I$5)-_xlfn.XLOOKUP(E72,Deltakerliste!E$5:E$98,Deltakerliste!I$5:I$98)</f>
        <v>64</v>
      </c>
      <c r="G72" s="192">
        <f>_xlfn.XLOOKUP(E72,Deltakerliste!E$5:E$98,Deltakerliste!H$5:H$98)</f>
        <v>2</v>
      </c>
      <c r="H72" s="592">
        <f>VLOOKUP(F72,Deltakerliste!P$6:T$84,G72,FALSE)</f>
        <v>1.2759999999999998</v>
      </c>
      <c r="I72" s="86"/>
      <c r="J72" s="86"/>
      <c r="K72" s="17"/>
      <c r="L72" s="600"/>
      <c r="M72" s="594"/>
      <c r="N72" s="724"/>
      <c r="O72" s="596"/>
    </row>
    <row r="73" spans="2:17" ht="21" thickBot="1" x14ac:dyDescent="0.3">
      <c r="B73" s="16">
        <f t="shared" si="4"/>
        <v>64</v>
      </c>
      <c r="C73" s="106" t="s">
        <v>99</v>
      </c>
      <c r="D73" s="107" t="s">
        <v>100</v>
      </c>
      <c r="E73" s="599" t="str">
        <f t="shared" si="6"/>
        <v>RobertHirsch</v>
      </c>
      <c r="F73" s="192">
        <f>YEAR(I$5)-_xlfn.XLOOKUP(E73,Deltakerliste!E$5:E$98,Deltakerliste!I$5:I$98)</f>
        <v>69</v>
      </c>
      <c r="G73" s="192">
        <f>_xlfn.XLOOKUP(E73,Deltakerliste!E$5:E$98,Deltakerliste!H$5:H$98)</f>
        <v>2</v>
      </c>
      <c r="H73" s="592">
        <f>VLOOKUP(F73,Deltakerliste!P$6:T$84,G73,FALSE)</f>
        <v>1.3989999999999998</v>
      </c>
      <c r="I73" s="86"/>
      <c r="J73" s="86"/>
      <c r="K73" s="13"/>
      <c r="L73" s="600"/>
      <c r="M73" s="594"/>
      <c r="N73" s="724"/>
      <c r="O73" s="596"/>
    </row>
    <row r="74" spans="2:17" ht="21" thickBot="1" x14ac:dyDescent="0.3">
      <c r="B74" s="16">
        <f t="shared" ref="B74:B98" si="7">B73+1</f>
        <v>65</v>
      </c>
      <c r="C74" s="106" t="s">
        <v>63</v>
      </c>
      <c r="D74" s="107" t="s">
        <v>105</v>
      </c>
      <c r="E74" s="599" t="str">
        <f t="shared" ref="E74:E98" si="8">_xlfn.CONCAT(C74:D74)</f>
        <v>ToreKiste</v>
      </c>
      <c r="F74" s="192">
        <f>YEAR(I$5)-_xlfn.XLOOKUP(E74,Deltakerliste!E$5:E$98,Deltakerliste!I$5:I$98)</f>
        <v>81</v>
      </c>
      <c r="G74" s="192">
        <f>_xlfn.XLOOKUP(E74,Deltakerliste!E$5:E$98,Deltakerliste!H$5:H$98)</f>
        <v>2</v>
      </c>
      <c r="H74" s="592">
        <f>VLOOKUP(F74,Deltakerliste!P$6:T$84,G74,FALSE)</f>
        <v>1.9290000000000003</v>
      </c>
      <c r="I74" s="86"/>
      <c r="J74" s="86"/>
      <c r="K74" s="13"/>
      <c r="L74" s="600"/>
      <c r="M74" s="594"/>
      <c r="N74" s="724"/>
      <c r="O74" s="596"/>
    </row>
    <row r="75" spans="2:17" ht="21" thickBot="1" x14ac:dyDescent="0.3">
      <c r="B75" s="16">
        <f t="shared" si="7"/>
        <v>66</v>
      </c>
      <c r="C75" s="106" t="s">
        <v>108</v>
      </c>
      <c r="D75" s="107" t="s">
        <v>109</v>
      </c>
      <c r="E75" s="599" t="str">
        <f t="shared" si="8"/>
        <v>Finn FayeKnudsen</v>
      </c>
      <c r="F75" s="192">
        <f>YEAR(I$5)-_xlfn.XLOOKUP(E75,Deltakerliste!E$5:E$98,Deltakerliste!I$5:I$98)</f>
        <v>84</v>
      </c>
      <c r="G75" s="192">
        <f>_xlfn.XLOOKUP(E75,Deltakerliste!E$5:E$98,Deltakerliste!H$5:H$98)</f>
        <v>2</v>
      </c>
      <c r="H75" s="592">
        <f>VLOOKUP(F75,Deltakerliste!P$6:T$84,G75,FALSE)</f>
        <v>2.1509999999999998</v>
      </c>
      <c r="I75" s="86"/>
      <c r="J75" s="86"/>
      <c r="K75" s="13"/>
      <c r="L75" s="600"/>
      <c r="M75" s="594"/>
      <c r="N75" s="724"/>
      <c r="O75" s="596"/>
      <c r="Q75" s="112"/>
    </row>
    <row r="76" spans="2:17" ht="21" thickBot="1" x14ac:dyDescent="0.3">
      <c r="B76" s="16">
        <f t="shared" si="7"/>
        <v>67</v>
      </c>
      <c r="C76" s="106" t="s">
        <v>110</v>
      </c>
      <c r="D76" s="107" t="s">
        <v>111</v>
      </c>
      <c r="E76" s="599" t="str">
        <f t="shared" si="8"/>
        <v>Jan ErikKofoed</v>
      </c>
      <c r="F76" s="192">
        <f>YEAR(I$5)-_xlfn.XLOOKUP(E76,Deltakerliste!E$5:E$98,Deltakerliste!I$5:I$98)</f>
        <v>72</v>
      </c>
      <c r="G76" s="192">
        <f>_xlfn.XLOOKUP(E76,Deltakerliste!E$5:E$98,Deltakerliste!H$5:H$98)</f>
        <v>2</v>
      </c>
      <c r="H76" s="592">
        <f>VLOOKUP(F76,Deltakerliste!P$6:T$84,G76,FALSE)</f>
        <v>1.4969999999999999</v>
      </c>
      <c r="I76" s="86"/>
      <c r="J76" s="86"/>
      <c r="K76" s="13"/>
      <c r="L76" s="600"/>
      <c r="M76" s="594"/>
      <c r="N76" s="724"/>
      <c r="O76" s="596"/>
    </row>
    <row r="77" spans="2:17" ht="21" thickBot="1" x14ac:dyDescent="0.3">
      <c r="B77" s="16">
        <f t="shared" si="7"/>
        <v>68</v>
      </c>
      <c r="C77" s="106" t="s">
        <v>251</v>
      </c>
      <c r="D77" s="107" t="s">
        <v>252</v>
      </c>
      <c r="E77" s="599" t="str">
        <f t="shared" si="8"/>
        <v>OttarKristiansen</v>
      </c>
      <c r="F77" s="192">
        <f>YEAR(I$5)-_xlfn.XLOOKUP(E77,Deltakerliste!E$5:E$98,Deltakerliste!I$5:I$98)</f>
        <v>77</v>
      </c>
      <c r="G77" s="192">
        <f>_xlfn.XLOOKUP(E77,Deltakerliste!E$5:E$98,Deltakerliste!H$5:H$98)</f>
        <v>2</v>
      </c>
      <c r="H77" s="592">
        <f>VLOOKUP(F77,Deltakerliste!P$6:T$84,G77,FALSE)</f>
        <v>1.7050000000000001</v>
      </c>
      <c r="I77" s="86"/>
      <c r="J77" s="86"/>
      <c r="K77" s="17"/>
      <c r="L77" s="600"/>
      <c r="M77" s="594"/>
      <c r="N77" s="724"/>
      <c r="O77" s="596"/>
    </row>
    <row r="78" spans="2:17" ht="21" thickBot="1" x14ac:dyDescent="0.3">
      <c r="B78" s="16">
        <f t="shared" si="7"/>
        <v>69</v>
      </c>
      <c r="C78" s="106" t="s">
        <v>299</v>
      </c>
      <c r="D78" s="107" t="s">
        <v>300</v>
      </c>
      <c r="E78" s="599" t="str">
        <f t="shared" si="8"/>
        <v>OlavKvittem</v>
      </c>
      <c r="F78" s="192">
        <f>YEAR(I$5)-_xlfn.XLOOKUP(E78,Deltakerliste!E$5:E$98,Deltakerliste!I$5:I$98)</f>
        <v>71</v>
      </c>
      <c r="G78" s="192">
        <f>_xlfn.XLOOKUP(E78,Deltakerliste!E$5:E$98,Deltakerliste!H$5:H$98)</f>
        <v>2</v>
      </c>
      <c r="H78" s="592">
        <f>VLOOKUP(F78,Deltakerliste!P$6:T$84,G78,FALSE)</f>
        <v>1.4609999999999999</v>
      </c>
      <c r="I78" s="86"/>
      <c r="J78" s="86"/>
      <c r="K78" s="13"/>
      <c r="L78" s="600"/>
      <c r="M78" s="594"/>
      <c r="N78" s="724"/>
      <c r="O78" s="596"/>
    </row>
    <row r="79" spans="2:17" ht="21" thickBot="1" x14ac:dyDescent="0.3">
      <c r="B79" s="16">
        <f t="shared" si="7"/>
        <v>70</v>
      </c>
      <c r="C79" s="106" t="s">
        <v>112</v>
      </c>
      <c r="D79" s="107" t="s">
        <v>113</v>
      </c>
      <c r="E79" s="599" t="str">
        <f t="shared" si="8"/>
        <v>ToridKvaal</v>
      </c>
      <c r="F79" s="192">
        <f>YEAR(I$5)-_xlfn.XLOOKUP(E79,Deltakerliste!E$5:E$98,Deltakerliste!I$5:I$98)</f>
        <v>84</v>
      </c>
      <c r="G79" s="192">
        <f>_xlfn.XLOOKUP(E79,Deltakerliste!E$5:E$98,Deltakerliste!H$5:H$98)</f>
        <v>4</v>
      </c>
      <c r="H79" s="592">
        <f>VLOOKUP(F79,Deltakerliste!P$6:T$84,G79,FALSE)</f>
        <v>2.7814000000000005</v>
      </c>
      <c r="I79" s="86"/>
      <c r="J79" s="86"/>
      <c r="K79" s="13"/>
      <c r="L79" s="600"/>
      <c r="M79" s="594"/>
      <c r="N79" s="724"/>
      <c r="O79" s="596"/>
    </row>
    <row r="80" spans="2:17" ht="21" thickBot="1" x14ac:dyDescent="0.3">
      <c r="B80" s="16">
        <f t="shared" si="7"/>
        <v>71</v>
      </c>
      <c r="C80" s="106" t="s">
        <v>254</v>
      </c>
      <c r="D80" s="107" t="s">
        <v>255</v>
      </c>
      <c r="E80" s="599" t="str">
        <f t="shared" si="8"/>
        <v>ArnfinnLangeland</v>
      </c>
      <c r="F80" s="192">
        <f>YEAR(I$5)-_xlfn.XLOOKUP(E80,Deltakerliste!E$5:E$98,Deltakerliste!I$5:I$98)</f>
        <v>90</v>
      </c>
      <c r="G80" s="192">
        <f>_xlfn.XLOOKUP(E80,Deltakerliste!E$5:E$98,Deltakerliste!H$5:H$98)</f>
        <v>2</v>
      </c>
      <c r="H80" s="592">
        <f>VLOOKUP(F80,Deltakerliste!P$6:T$84,G80,FALSE)</f>
        <v>2.645</v>
      </c>
      <c r="I80" s="86"/>
      <c r="J80" s="86"/>
      <c r="K80" s="13"/>
      <c r="L80" s="600"/>
      <c r="M80" s="594"/>
      <c r="N80" s="724"/>
      <c r="O80" s="596"/>
    </row>
    <row r="81" spans="2:15" ht="21" thickBot="1" x14ac:dyDescent="0.3">
      <c r="B81" s="16">
        <f t="shared" si="7"/>
        <v>72</v>
      </c>
      <c r="C81" s="106" t="s">
        <v>222</v>
      </c>
      <c r="D81" s="107" t="s">
        <v>221</v>
      </c>
      <c r="E81" s="599" t="str">
        <f t="shared" si="8"/>
        <v>Kjell Maroni</v>
      </c>
      <c r="F81" s="192">
        <f>YEAR(I$5)-_xlfn.XLOOKUP(E81,Deltakerliste!E$5:E$98,Deltakerliste!I$5:I$98)</f>
        <v>70</v>
      </c>
      <c r="G81" s="192">
        <f>_xlfn.XLOOKUP(E81,Deltakerliste!E$5:E$98,Deltakerliste!H$5:H$98)</f>
        <v>2</v>
      </c>
      <c r="H81" s="592">
        <f>VLOOKUP(F81,Deltakerliste!P$6:T$84,G81,FALSE)</f>
        <v>1.4249999999999998</v>
      </c>
      <c r="I81" s="13"/>
      <c r="J81" s="13"/>
      <c r="K81" s="13"/>
      <c r="L81" s="600"/>
      <c r="M81" s="594"/>
      <c r="N81" s="724"/>
      <c r="O81" s="596"/>
    </row>
    <row r="82" spans="2:15" ht="21" thickBot="1" x14ac:dyDescent="0.3">
      <c r="B82" s="16">
        <f t="shared" si="7"/>
        <v>73</v>
      </c>
      <c r="C82" s="106" t="s">
        <v>122</v>
      </c>
      <c r="D82" s="107" t="s">
        <v>123</v>
      </c>
      <c r="E82" s="599" t="str">
        <f t="shared" si="8"/>
        <v>MartinMelhuus</v>
      </c>
      <c r="F82" s="192">
        <f>YEAR(I$5)-_xlfn.XLOOKUP(E82,Deltakerliste!E$5:E$98,Deltakerliste!I$5:I$98)</f>
        <v>82</v>
      </c>
      <c r="G82" s="192">
        <f>_xlfn.XLOOKUP(E82,Deltakerliste!E$5:E$98,Deltakerliste!H$5:H$98)</f>
        <v>2</v>
      </c>
      <c r="H82" s="592">
        <f>VLOOKUP(F82,Deltakerliste!P$6:T$84,G82,FALSE)</f>
        <v>2.0030000000000001</v>
      </c>
      <c r="I82" s="13"/>
      <c r="J82" s="13"/>
      <c r="K82" s="13"/>
      <c r="L82" s="600"/>
      <c r="M82" s="594"/>
      <c r="N82" s="724"/>
      <c r="O82" s="596"/>
    </row>
    <row r="83" spans="2:15" ht="21" thickBot="1" x14ac:dyDescent="0.3">
      <c r="B83" s="16">
        <f t="shared" si="7"/>
        <v>74</v>
      </c>
      <c r="C83" s="106" t="s">
        <v>128</v>
      </c>
      <c r="D83" s="107" t="s">
        <v>129</v>
      </c>
      <c r="E83" s="599" t="str">
        <f t="shared" si="8"/>
        <v>OddMusum</v>
      </c>
      <c r="F83" s="192">
        <f>YEAR(I$5)-_xlfn.XLOOKUP(E83,Deltakerliste!E$5:E$98,Deltakerliste!I$5:I$98)</f>
        <v>84</v>
      </c>
      <c r="G83" s="192">
        <f>_xlfn.XLOOKUP(E83,Deltakerliste!E$5:E$98,Deltakerliste!H$5:H$98)</f>
        <v>2</v>
      </c>
      <c r="H83" s="592">
        <f>VLOOKUP(F83,Deltakerliste!P$6:T$84,G83,FALSE)</f>
        <v>2.1509999999999998</v>
      </c>
      <c r="I83" s="13"/>
      <c r="J83" s="13"/>
      <c r="K83" s="13"/>
      <c r="L83" s="600"/>
      <c r="M83" s="594"/>
      <c r="N83" s="724"/>
      <c r="O83" s="596"/>
    </row>
    <row r="84" spans="2:15" ht="21" thickBot="1" x14ac:dyDescent="0.3">
      <c r="B84" s="16">
        <f t="shared" si="7"/>
        <v>75</v>
      </c>
      <c r="C84" s="106" t="s">
        <v>132</v>
      </c>
      <c r="D84" s="107" t="s">
        <v>133</v>
      </c>
      <c r="E84" s="599" t="str">
        <f t="shared" si="8"/>
        <v>JarleNestvold</v>
      </c>
      <c r="F84" s="192">
        <f>YEAR(I$5)-_xlfn.XLOOKUP(E84,Deltakerliste!E$5:E$98,Deltakerliste!I$5:I$98)</f>
        <v>89</v>
      </c>
      <c r="G84" s="192">
        <f>_xlfn.XLOOKUP(E84,Deltakerliste!E$5:E$98,Deltakerliste!H$5:H$98)</f>
        <v>2</v>
      </c>
      <c r="H84" s="592">
        <f>VLOOKUP(F84,Deltakerliste!P$6:T$84,G84,FALSE)</f>
        <v>2.5609999999999999</v>
      </c>
      <c r="I84" s="132"/>
      <c r="J84" s="18"/>
      <c r="K84" s="18"/>
      <c r="L84" s="600"/>
      <c r="M84" s="594"/>
      <c r="N84" s="724"/>
      <c r="O84" s="596"/>
    </row>
    <row r="85" spans="2:15" ht="21" thickBot="1" x14ac:dyDescent="0.3">
      <c r="B85" s="16">
        <f t="shared" si="7"/>
        <v>76</v>
      </c>
      <c r="C85" s="106" t="s">
        <v>402</v>
      </c>
      <c r="D85" s="107" t="s">
        <v>403</v>
      </c>
      <c r="E85" s="599" t="str">
        <f t="shared" si="8"/>
        <v>BørgeNordli</v>
      </c>
      <c r="F85" s="192">
        <f>YEAR(I$5)-_xlfn.XLOOKUP(E85,Deltakerliste!E$5:E$98,Deltakerliste!I$5:I$98)</f>
        <v>44</v>
      </c>
      <c r="G85" s="192">
        <f>_xlfn.XLOOKUP(E85,Deltakerliste!E$5:E$98,Deltakerliste!H$5:H$98)</f>
        <v>2</v>
      </c>
      <c r="H85" s="592">
        <f>VLOOKUP(F85,Deltakerliste!P$6:T$84,G85,FALSE)</f>
        <v>1.0399999999999996</v>
      </c>
      <c r="I85" s="132"/>
      <c r="J85" s="132"/>
      <c r="K85" s="18"/>
      <c r="L85" s="600"/>
      <c r="M85" s="594"/>
      <c r="N85" s="724"/>
      <c r="O85" s="596"/>
    </row>
    <row r="86" spans="2:15" ht="21" thickBot="1" x14ac:dyDescent="0.3">
      <c r="B86" s="16">
        <f t="shared" si="7"/>
        <v>77</v>
      </c>
      <c r="C86" s="111" t="s">
        <v>72</v>
      </c>
      <c r="D86" s="193" t="s">
        <v>139</v>
      </c>
      <c r="E86" s="599" t="str">
        <f t="shared" si="8"/>
        <v>KåreOnsøyen</v>
      </c>
      <c r="F86" s="192">
        <f>YEAR(I$5)-_xlfn.XLOOKUP(E86,Deltakerliste!E$5:E$98,Deltakerliste!I$5:I$98)</f>
        <v>78</v>
      </c>
      <c r="G86" s="192">
        <f>_xlfn.XLOOKUP(E86,Deltakerliste!E$5:E$98,Deltakerliste!H$5:H$98)</f>
        <v>2</v>
      </c>
      <c r="H86" s="592">
        <f>VLOOKUP(F86,Deltakerliste!P$6:T$84,G86,FALSE)</f>
        <v>1.7550000000000001</v>
      </c>
      <c r="I86" s="13"/>
      <c r="J86" s="13"/>
      <c r="K86" s="13"/>
      <c r="L86" s="600"/>
      <c r="M86" s="594"/>
      <c r="N86" s="724"/>
      <c r="O86" s="596"/>
    </row>
    <row r="87" spans="2:15" ht="21" thickBot="1" x14ac:dyDescent="0.3">
      <c r="B87" s="16">
        <f t="shared" si="7"/>
        <v>78</v>
      </c>
      <c r="C87" s="111" t="s">
        <v>140</v>
      </c>
      <c r="D87" s="193" t="s">
        <v>141</v>
      </c>
      <c r="E87" s="599" t="str">
        <f t="shared" si="8"/>
        <v>Grete BergeOwren</v>
      </c>
      <c r="F87" s="192">
        <f>YEAR(I$5)-_xlfn.XLOOKUP(E87,Deltakerliste!E$5:E$98,Deltakerliste!I$5:I$98)</f>
        <v>68</v>
      </c>
      <c r="G87" s="192">
        <f>_xlfn.XLOOKUP(E87,Deltakerliste!E$5:E$98,Deltakerliste!H$5:H$98)</f>
        <v>4</v>
      </c>
      <c r="H87" s="592">
        <f>VLOOKUP(F87,Deltakerliste!P$6:T$84,G87,FALSE)</f>
        <v>1.877800000000001</v>
      </c>
      <c r="I87" s="18"/>
      <c r="J87" s="18"/>
      <c r="K87" s="18"/>
      <c r="L87" s="600"/>
      <c r="M87" s="594"/>
      <c r="N87" s="724"/>
      <c r="O87" s="596"/>
    </row>
    <row r="88" spans="2:15" ht="21" thickBot="1" x14ac:dyDescent="0.3">
      <c r="B88" s="16">
        <f t="shared" si="7"/>
        <v>79</v>
      </c>
      <c r="C88" s="111" t="s">
        <v>144</v>
      </c>
      <c r="D88" s="108" t="s">
        <v>145</v>
      </c>
      <c r="E88" s="599" t="str">
        <f t="shared" si="8"/>
        <v>Bjørn Rindstad</v>
      </c>
      <c r="F88" s="192">
        <f>YEAR(I$5)-_xlfn.XLOOKUP(E88,Deltakerliste!E$5:E$98,Deltakerliste!I$5:I$98)</f>
        <v>75</v>
      </c>
      <c r="G88" s="192">
        <f>_xlfn.XLOOKUP(E88,Deltakerliste!E$5:E$98,Deltakerliste!H$5:H$98)</f>
        <v>2</v>
      </c>
      <c r="H88" s="592">
        <f>VLOOKUP(F88,Deltakerliste!P$6:T$84,G88,FALSE)</f>
        <v>1.605</v>
      </c>
      <c r="I88" s="18"/>
      <c r="J88" s="18"/>
      <c r="K88" s="18"/>
      <c r="L88" s="600"/>
      <c r="M88" s="594"/>
      <c r="N88" s="724"/>
      <c r="O88" s="596"/>
    </row>
    <row r="89" spans="2:15" ht="21" thickBot="1" x14ac:dyDescent="0.3">
      <c r="B89" s="16">
        <f t="shared" si="7"/>
        <v>80</v>
      </c>
      <c r="C89" s="111" t="s">
        <v>298</v>
      </c>
      <c r="D89" s="193" t="s">
        <v>405</v>
      </c>
      <c r="E89" s="599" t="str">
        <f t="shared" si="8"/>
        <v>ØyvindRogndalen</v>
      </c>
      <c r="F89" s="192">
        <f>YEAR(I$5)-_xlfn.XLOOKUP(E89,Deltakerliste!E$5:E$98,Deltakerliste!I$5:I$98)</f>
        <v>81</v>
      </c>
      <c r="G89" s="192">
        <f>_xlfn.XLOOKUP(E89,Deltakerliste!E$5:E$98,Deltakerliste!H$5:H$98)</f>
        <v>2</v>
      </c>
      <c r="H89" s="592">
        <f>VLOOKUP(F89,Deltakerliste!P$6:T$84,G89,FALSE)</f>
        <v>1.9290000000000003</v>
      </c>
      <c r="I89" s="132"/>
      <c r="J89" s="18"/>
      <c r="K89" s="18"/>
      <c r="L89" s="600"/>
      <c r="M89" s="594"/>
      <c r="N89" s="724"/>
      <c r="O89" s="596"/>
    </row>
    <row r="90" spans="2:15" ht="21" thickBot="1" x14ac:dyDescent="0.3">
      <c r="B90" s="16">
        <f t="shared" si="7"/>
        <v>81</v>
      </c>
      <c r="C90" s="111" t="s">
        <v>228</v>
      </c>
      <c r="D90" s="193" t="s">
        <v>229</v>
      </c>
      <c r="E90" s="599" t="str">
        <f t="shared" si="8"/>
        <v>May-LisRønning</v>
      </c>
      <c r="F90" s="192">
        <f>YEAR(I$5)-_xlfn.XLOOKUP(E90,Deltakerliste!E$5:E$98,Deltakerliste!I$5:I$98)</f>
        <v>56</v>
      </c>
      <c r="G90" s="192">
        <f>_xlfn.XLOOKUP(E90,Deltakerliste!E$5:E$98,Deltakerliste!H$5:H$98)</f>
        <v>4</v>
      </c>
      <c r="H90" s="592">
        <f>VLOOKUP(F90,Deltakerliste!P$6:T$84,G90,FALSE)</f>
        <v>1.5329999999999997</v>
      </c>
      <c r="I90" s="18"/>
      <c r="J90" s="18"/>
      <c r="K90" s="18"/>
      <c r="L90" s="600"/>
      <c r="M90" s="594"/>
      <c r="N90" s="724"/>
      <c r="O90" s="596"/>
    </row>
    <row r="91" spans="2:15" ht="21" thickBot="1" x14ac:dyDescent="0.3">
      <c r="B91" s="16">
        <f t="shared" si="7"/>
        <v>82</v>
      </c>
      <c r="C91" s="111" t="s">
        <v>147</v>
      </c>
      <c r="D91" s="108" t="s">
        <v>148</v>
      </c>
      <c r="E91" s="599" t="str">
        <f t="shared" si="8"/>
        <v>ViggoSchei</v>
      </c>
      <c r="F91" s="192">
        <f>YEAR(I$5)-_xlfn.XLOOKUP(E91,Deltakerliste!E$5:E$98,Deltakerliste!I$5:I$98)</f>
        <v>75</v>
      </c>
      <c r="G91" s="192">
        <f>_xlfn.XLOOKUP(E91,Deltakerliste!E$5:E$98,Deltakerliste!H$5:H$98)</f>
        <v>2</v>
      </c>
      <c r="H91" s="592">
        <f>VLOOKUP(F91,Deltakerliste!P$6:T$84,G91,FALSE)</f>
        <v>1.605</v>
      </c>
      <c r="I91" s="18"/>
      <c r="J91" s="132"/>
      <c r="K91" s="18"/>
      <c r="L91" s="600"/>
      <c r="M91" s="594"/>
      <c r="N91" s="724"/>
      <c r="O91" s="596"/>
    </row>
    <row r="92" spans="2:15" ht="21" thickBot="1" x14ac:dyDescent="0.3">
      <c r="B92" s="16">
        <f t="shared" si="7"/>
        <v>83</v>
      </c>
      <c r="C92" s="111" t="s">
        <v>153</v>
      </c>
      <c r="D92" s="108" t="s">
        <v>154</v>
      </c>
      <c r="E92" s="599" t="str">
        <f t="shared" si="8"/>
        <v>ReidunSmaavik</v>
      </c>
      <c r="F92" s="192">
        <f>YEAR(I$5)-_xlfn.XLOOKUP(E92,Deltakerliste!E$5:E$98,Deltakerliste!I$5:I$98)</f>
        <v>71</v>
      </c>
      <c r="G92" s="192">
        <f>_xlfn.XLOOKUP(E92,Deltakerliste!E$5:E$98,Deltakerliste!H$5:H$98)</f>
        <v>4</v>
      </c>
      <c r="H92" s="592">
        <f>VLOOKUP(F92,Deltakerliste!P$6:T$84,G92,FALSE)</f>
        <v>1.9926000000000013</v>
      </c>
      <c r="I92" s="132"/>
      <c r="J92" s="18"/>
      <c r="K92" s="18"/>
      <c r="L92" s="600"/>
      <c r="M92" s="594"/>
      <c r="N92" s="724"/>
      <c r="O92" s="596"/>
    </row>
    <row r="93" spans="2:15" ht="21" thickBot="1" x14ac:dyDescent="0.3">
      <c r="B93" s="16">
        <f t="shared" si="7"/>
        <v>84</v>
      </c>
      <c r="C93" s="193" t="s">
        <v>155</v>
      </c>
      <c r="D93" s="108" t="s">
        <v>156</v>
      </c>
      <c r="E93" s="599" t="str">
        <f t="shared" si="8"/>
        <v>KjellrunSporild</v>
      </c>
      <c r="F93" s="192">
        <f>YEAR(I$5)-_xlfn.XLOOKUP(E93,Deltakerliste!E$5:E$98,Deltakerliste!I$5:I$98)</f>
        <v>71</v>
      </c>
      <c r="G93" s="192">
        <f>_xlfn.XLOOKUP(E93,Deltakerliste!E$5:E$98,Deltakerliste!H$5:H$98)</f>
        <v>4</v>
      </c>
      <c r="H93" s="592">
        <f>VLOOKUP(F93,Deltakerliste!P$6:T$84,G93,FALSE)</f>
        <v>1.9926000000000013</v>
      </c>
      <c r="I93" s="18"/>
      <c r="J93" s="132"/>
      <c r="K93" s="18"/>
      <c r="L93" s="600"/>
      <c r="M93" s="594"/>
      <c r="N93" s="724"/>
      <c r="O93" s="596"/>
    </row>
    <row r="94" spans="2:15" ht="21" thickBot="1" x14ac:dyDescent="0.3">
      <c r="B94" s="16">
        <f t="shared" si="7"/>
        <v>85</v>
      </c>
      <c r="C94" s="193" t="s">
        <v>232</v>
      </c>
      <c r="D94" s="133" t="s">
        <v>231</v>
      </c>
      <c r="E94" s="599" t="str">
        <f t="shared" si="8"/>
        <v>BeritSunnset</v>
      </c>
      <c r="F94" s="192">
        <f>YEAR(I$5)-_xlfn.XLOOKUP(E94,Deltakerliste!E$5:E$98,Deltakerliste!I$5:I$98)</f>
        <v>63</v>
      </c>
      <c r="G94" s="192">
        <f>_xlfn.XLOOKUP(E94,Deltakerliste!E$5:E$98,Deltakerliste!H$5:H$98)</f>
        <v>4</v>
      </c>
      <c r="H94" s="592">
        <f>VLOOKUP(F94,Deltakerliste!P$6:T$84,G94,FALSE)</f>
        <v>1.7126000000000006</v>
      </c>
      <c r="I94" s="18"/>
      <c r="J94" s="18"/>
      <c r="K94" s="18"/>
      <c r="L94" s="600"/>
      <c r="M94" s="594"/>
      <c r="N94" s="724"/>
      <c r="O94" s="596"/>
    </row>
    <row r="95" spans="2:15" ht="21" thickBot="1" x14ac:dyDescent="0.3">
      <c r="B95" s="16">
        <f t="shared" si="7"/>
        <v>86</v>
      </c>
      <c r="C95" s="193" t="s">
        <v>230</v>
      </c>
      <c r="D95" s="108" t="s">
        <v>231</v>
      </c>
      <c r="E95" s="599" t="str">
        <f t="shared" si="8"/>
        <v>TrineSunnset</v>
      </c>
      <c r="F95" s="192">
        <f>YEAR(I$5)-_xlfn.XLOOKUP(E95,Deltakerliste!E$5:E$98,Deltakerliste!I$5:I$98)</f>
        <v>63</v>
      </c>
      <c r="G95" s="192">
        <f>_xlfn.XLOOKUP(E95,Deltakerliste!E$5:E$98,Deltakerliste!H$5:H$98)</f>
        <v>4</v>
      </c>
      <c r="H95" s="592">
        <f>VLOOKUP(F95,Deltakerliste!P$6:T$84,G95,FALSE)</f>
        <v>1.7126000000000006</v>
      </c>
      <c r="I95" s="18"/>
      <c r="J95" s="18"/>
      <c r="K95" s="18"/>
      <c r="L95" s="600"/>
      <c r="M95" s="594"/>
      <c r="N95" s="724"/>
      <c r="O95" s="596"/>
    </row>
    <row r="96" spans="2:15" ht="21" thickBot="1" x14ac:dyDescent="0.3">
      <c r="B96" s="16">
        <f t="shared" si="7"/>
        <v>87</v>
      </c>
      <c r="C96" s="193" t="s">
        <v>161</v>
      </c>
      <c r="D96" s="108" t="s">
        <v>162</v>
      </c>
      <c r="E96" s="599" t="str">
        <f t="shared" si="8"/>
        <v>Nils OlavVennevik</v>
      </c>
      <c r="F96" s="192">
        <f>YEAR(I$5)-_xlfn.XLOOKUP(E96,Deltakerliste!E$5:E$98,Deltakerliste!I$5:I$98)</f>
        <v>78</v>
      </c>
      <c r="G96" s="192">
        <f>_xlfn.XLOOKUP(E96,Deltakerliste!E$5:E$98,Deltakerliste!H$5:H$98)</f>
        <v>2</v>
      </c>
      <c r="H96" s="592">
        <f>VLOOKUP(F96,Deltakerliste!P$6:T$84,G96,FALSE)</f>
        <v>1.7550000000000001</v>
      </c>
      <c r="I96" s="132"/>
      <c r="J96" s="18"/>
      <c r="K96" s="18"/>
      <c r="L96" s="600"/>
      <c r="M96" s="594"/>
      <c r="N96" s="724"/>
      <c r="O96" s="596"/>
    </row>
    <row r="97" spans="2:15" ht="21" thickBot="1" x14ac:dyDescent="0.3">
      <c r="B97" s="16">
        <f t="shared" si="7"/>
        <v>88</v>
      </c>
      <c r="C97" s="193" t="s">
        <v>163</v>
      </c>
      <c r="D97" s="108" t="s">
        <v>164</v>
      </c>
      <c r="E97" s="599" t="str">
        <f t="shared" si="8"/>
        <v>ArnulfVilmo</v>
      </c>
      <c r="F97" s="192">
        <f>YEAR(I$5)-_xlfn.XLOOKUP(E97,Deltakerliste!E$5:E$98,Deltakerliste!I$5:I$98)</f>
        <v>73</v>
      </c>
      <c r="G97" s="192">
        <f>_xlfn.XLOOKUP(E97,Deltakerliste!E$5:E$98,Deltakerliste!H$5:H$98)</f>
        <v>2</v>
      </c>
      <c r="H97" s="592">
        <f>VLOOKUP(F97,Deltakerliste!P$6:T$84,G97,FALSE)</f>
        <v>1.5329999999999999</v>
      </c>
      <c r="I97" s="132"/>
      <c r="J97" s="132"/>
      <c r="K97" s="18"/>
      <c r="L97" s="600"/>
      <c r="M97" s="594"/>
      <c r="N97" s="724"/>
      <c r="O97" s="596"/>
    </row>
    <row r="98" spans="2:15" ht="21" thickBot="1" x14ac:dyDescent="0.3">
      <c r="B98" s="16">
        <f t="shared" si="7"/>
        <v>89</v>
      </c>
      <c r="C98" s="193" t="s">
        <v>166</v>
      </c>
      <c r="D98" s="108" t="s">
        <v>167</v>
      </c>
      <c r="E98" s="599" t="str">
        <f t="shared" si="8"/>
        <v>GunnarØsterbø</v>
      </c>
      <c r="F98" s="192">
        <f>YEAR(I$5)-_xlfn.XLOOKUP(E98,Deltakerliste!E$5:E$98,Deltakerliste!I$5:I$98)</f>
        <v>87</v>
      </c>
      <c r="G98" s="192">
        <f>_xlfn.XLOOKUP(E98,Deltakerliste!E$5:E$98,Deltakerliste!H$5:H$98)</f>
        <v>2</v>
      </c>
      <c r="H98" s="592">
        <f>VLOOKUP(F98,Deltakerliste!P$6:T$84,G98,FALSE)</f>
        <v>2.3929999999999998</v>
      </c>
      <c r="I98" s="18"/>
      <c r="J98" s="132"/>
      <c r="K98" s="18"/>
      <c r="L98" s="725"/>
      <c r="M98" s="717"/>
      <c r="N98" s="726"/>
      <c r="O98" s="719"/>
    </row>
    <row r="100" spans="2:15" ht="17" thickBot="1" x14ac:dyDescent="0.25"/>
    <row r="101" spans="2:15" ht="21" thickTop="1" thickBot="1" x14ac:dyDescent="0.3">
      <c r="D101" s="646" t="s">
        <v>288</v>
      </c>
      <c r="E101" s="647"/>
      <c r="F101" s="666"/>
      <c r="G101" s="666"/>
      <c r="H101" s="666"/>
      <c r="I101" s="648" t="s">
        <v>195</v>
      </c>
      <c r="J101" s="648" t="s">
        <v>196</v>
      </c>
      <c r="K101" s="649" t="s">
        <v>197</v>
      </c>
    </row>
    <row r="102" spans="2:15" ht="20" x14ac:dyDescent="0.25">
      <c r="D102" s="634" t="s">
        <v>172</v>
      </c>
      <c r="E102" s="320"/>
      <c r="F102" s="208"/>
      <c r="G102" s="208"/>
      <c r="H102" s="208"/>
      <c r="I102" s="635">
        <f>COUNT(I10:I99)+COUNTIF(I10:I99,"Brutt")+COUNTIF(I10:I99,"Disk")+COUNTIF(I10:I99,"(*)")</f>
        <v>18</v>
      </c>
      <c r="J102" s="635">
        <f>COUNT(J10:J99)+COUNTIF(J10:J99,"Brutt")+COUNTIF(J10:J99,"Disk")+COUNTIF(J10:J99,"(*)")</f>
        <v>22</v>
      </c>
      <c r="K102" s="636">
        <f>I102+J102</f>
        <v>40</v>
      </c>
    </row>
    <row r="103" spans="2:15" ht="19" x14ac:dyDescent="0.25">
      <c r="D103" s="637" t="s">
        <v>174</v>
      </c>
      <c r="E103" s="320"/>
      <c r="F103" s="208"/>
      <c r="G103" s="208"/>
      <c r="H103" s="208"/>
      <c r="I103" s="635">
        <f>COUNT(I10:I99)</f>
        <v>16</v>
      </c>
      <c r="J103" s="635">
        <f>COUNT(J10:J99)</f>
        <v>22</v>
      </c>
      <c r="K103" s="636">
        <f t="shared" ref="K103" si="9">I103+J103</f>
        <v>38</v>
      </c>
    </row>
    <row r="104" spans="2:15" ht="19" x14ac:dyDescent="0.25">
      <c r="D104" s="637" t="s">
        <v>173</v>
      </c>
      <c r="E104" s="320"/>
      <c r="F104" s="208"/>
      <c r="G104" s="208"/>
      <c r="H104" s="208"/>
      <c r="I104" s="208"/>
      <c r="J104" s="208"/>
      <c r="K104" s="636">
        <f>K102+COUNTIF(L10:L99,"Arr")+COUNTIF(L10:L99,"Løype")</f>
        <v>41</v>
      </c>
    </row>
    <row r="105" spans="2:15" ht="19" x14ac:dyDescent="0.25">
      <c r="D105" s="637" t="s">
        <v>341</v>
      </c>
      <c r="E105" s="320"/>
      <c r="F105" s="208"/>
      <c r="G105" s="208"/>
      <c r="H105" s="208"/>
      <c r="I105" s="208"/>
      <c r="J105" s="208"/>
      <c r="K105" s="638">
        <f>IF(SUM(L10:L99)=0," ",AVERAGEIF(M10:M99,"&gt;0",F10:F99))</f>
        <v>75.146341463414629</v>
      </c>
    </row>
    <row r="106" spans="2:15" ht="19" x14ac:dyDescent="0.25">
      <c r="D106" s="637" t="s">
        <v>296</v>
      </c>
      <c r="E106" s="320"/>
      <c r="F106" s="208"/>
      <c r="G106" s="208"/>
      <c r="H106" s="208"/>
      <c r="I106" s="208"/>
      <c r="J106" s="208"/>
      <c r="K106" s="638">
        <f>AVERAGE(I8:J8)</f>
        <v>2.25</v>
      </c>
    </row>
    <row r="107" spans="2:15" ht="19" x14ac:dyDescent="0.25">
      <c r="D107" s="637" t="s">
        <v>176</v>
      </c>
      <c r="E107" s="320"/>
      <c r="F107" s="208"/>
      <c r="G107" s="208"/>
      <c r="H107" s="208"/>
      <c r="I107" s="112">
        <f>I8*I103</f>
        <v>28.8</v>
      </c>
      <c r="J107" s="112">
        <f>J8*J103</f>
        <v>59.400000000000006</v>
      </c>
      <c r="K107" s="638">
        <f>I107+J107</f>
        <v>88.2</v>
      </c>
    </row>
    <row r="108" spans="2:15" ht="19" x14ac:dyDescent="0.25">
      <c r="D108" s="639" t="s">
        <v>286</v>
      </c>
      <c r="E108" s="320"/>
      <c r="F108" s="208"/>
      <c r="G108" s="208"/>
      <c r="H108" s="208"/>
      <c r="I108" s="103">
        <f>IF(SUM(I10:I99)=0," ",AVERAGE(I10:I99))</f>
        <v>2.7062355324074076E-2</v>
      </c>
      <c r="J108" s="103">
        <f>IF(SUM(J10:J99)=0," ",AVERAGE(J10:J99))</f>
        <v>2.6632470538720542E-2</v>
      </c>
      <c r="K108" s="640">
        <f>IF(SUM(I10:J99)=0," ",AVERAGE(I10:J99))</f>
        <v>2.68134746588694E-2</v>
      </c>
    </row>
    <row r="109" spans="2:15" ht="20" thickBot="1" x14ac:dyDescent="0.3">
      <c r="D109" s="641" t="s">
        <v>287</v>
      </c>
      <c r="E109" s="642"/>
      <c r="F109" s="644"/>
      <c r="G109" s="644"/>
      <c r="H109" s="644"/>
      <c r="I109" s="643"/>
      <c r="J109" s="644"/>
      <c r="K109" s="645">
        <f>MIN(L10:L99)</f>
        <v>6.8544238683127569E-3</v>
      </c>
    </row>
    <row r="110" spans="2:15" ht="17" thickTop="1" x14ac:dyDescent="0.2"/>
  </sheetData>
  <autoFilter ref="C9:O98" xr:uid="{56EFBFB4-7EA8-7846-942B-D43221E58840}">
    <sortState xmlns:xlrd2="http://schemas.microsoft.com/office/spreadsheetml/2017/richdata2" ref="C10:O98">
      <sortCondition ref="N9:N98"/>
    </sortState>
  </autoFilter>
  <mergeCells count="3">
    <mergeCell ref="W7:X7"/>
    <mergeCell ref="S8:U8"/>
    <mergeCell ref="W8:X8"/>
  </mergeCells>
  <pageMargins left="0.7" right="0.7" top="0.75" bottom="0.75" header="0.3" footer="0.3"/>
  <pageSetup paperSize="9" orientation="portrait" horizontalDpi="0" verticalDpi="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91099-805E-D448-936C-D57ACAE07F43}">
  <dimension ref="B1:AC110"/>
  <sheetViews>
    <sheetView topLeftCell="A58" workbookViewId="0">
      <selection activeCell="C74" sqref="C74"/>
    </sheetView>
  </sheetViews>
  <sheetFormatPr baseColWidth="10" defaultColWidth="10.83203125" defaultRowHeight="16" x14ac:dyDescent="0.2"/>
  <cols>
    <col min="3" max="3" width="14.5" customWidth="1"/>
    <col min="4" max="4" width="20.1640625" customWidth="1"/>
    <col min="5" max="5" width="20.1640625" hidden="1" customWidth="1"/>
    <col min="6" max="6" width="14.5" style="15" customWidth="1"/>
    <col min="7" max="7" width="14.5" style="15" hidden="1" customWidth="1"/>
    <col min="8" max="8" width="14" style="15" customWidth="1"/>
    <col min="9" max="10" width="19.1640625" style="15" customWidth="1"/>
    <col min="11" max="11" width="17.6640625" style="15" customWidth="1"/>
    <col min="12" max="12" width="10.83203125" style="15"/>
    <col min="14" max="14" width="10.83203125" style="15"/>
    <col min="18" max="18" width="12.5" customWidth="1"/>
    <col min="19" max="19" width="13.5" customWidth="1"/>
    <col min="22" max="22" width="1.83203125" customWidth="1"/>
    <col min="23" max="23" width="15.83203125" customWidth="1"/>
    <col min="24" max="24" width="11" customWidth="1"/>
  </cols>
  <sheetData>
    <row r="1" spans="2:29" ht="8" customHeight="1" x14ac:dyDescent="0.2"/>
    <row r="2" spans="2:29" ht="8" customHeight="1" x14ac:dyDescent="0.2"/>
    <row r="5" spans="2:29" ht="26" x14ac:dyDescent="0.3">
      <c r="B5" s="21" t="s">
        <v>410</v>
      </c>
      <c r="C5" s="245" t="s">
        <v>117</v>
      </c>
      <c r="F5" s="667"/>
      <c r="G5" s="667"/>
      <c r="H5" s="671" t="s">
        <v>189</v>
      </c>
      <c r="I5" s="670">
        <f>'Løp 27'!I5+7</f>
        <v>46126</v>
      </c>
    </row>
    <row r="6" spans="2:29" ht="17" thickBot="1" x14ac:dyDescent="0.25">
      <c r="B6" s="15"/>
    </row>
    <row r="7" spans="2:29" ht="59" customHeight="1" thickBot="1" x14ac:dyDescent="0.35">
      <c r="B7" s="12" t="s">
        <v>194</v>
      </c>
      <c r="C7" s="662" t="s">
        <v>57</v>
      </c>
      <c r="D7" s="391" t="s">
        <v>58</v>
      </c>
      <c r="E7" s="663"/>
      <c r="F7" s="663" t="s">
        <v>234</v>
      </c>
      <c r="G7" s="391" t="s">
        <v>280</v>
      </c>
      <c r="H7" s="391" t="s">
        <v>235</v>
      </c>
      <c r="I7" s="391" t="s">
        <v>302</v>
      </c>
      <c r="J7" s="391" t="s">
        <v>303</v>
      </c>
      <c r="K7" s="391" t="s">
        <v>192</v>
      </c>
      <c r="L7" s="194" t="s">
        <v>209</v>
      </c>
      <c r="M7" s="392" t="s">
        <v>55</v>
      </c>
      <c r="N7" s="393" t="s">
        <v>242</v>
      </c>
      <c r="O7" s="393" t="s">
        <v>240</v>
      </c>
      <c r="Q7" s="319"/>
      <c r="R7" s="319"/>
      <c r="S7" s="755" t="str">
        <f>B5</f>
        <v>Løp 28</v>
      </c>
      <c r="T7" s="754" t="str">
        <f>C5</f>
        <v>Lauglo</v>
      </c>
      <c r="U7" s="730"/>
      <c r="V7" s="730"/>
      <c r="W7" s="941"/>
      <c r="X7" s="941"/>
    </row>
    <row r="8" spans="2:29" ht="23" customHeight="1" thickTop="1" thickBot="1" x14ac:dyDescent="0.35">
      <c r="B8" s="22"/>
      <c r="C8" s="394"/>
      <c r="D8" s="395"/>
      <c r="E8" s="597"/>
      <c r="F8" s="668"/>
      <c r="G8" s="668"/>
      <c r="H8" s="664"/>
      <c r="I8" s="789">
        <v>2</v>
      </c>
      <c r="J8" s="789">
        <v>2.2999999999999998</v>
      </c>
      <c r="K8" s="391"/>
      <c r="N8" s="720"/>
      <c r="O8" s="390"/>
      <c r="S8" s="942" t="s">
        <v>312</v>
      </c>
      <c r="T8" s="943"/>
      <c r="U8" s="944"/>
      <c r="V8" s="779"/>
      <c r="W8" s="945" t="s">
        <v>313</v>
      </c>
      <c r="X8" s="940"/>
      <c r="AB8" s="836" t="s">
        <v>361</v>
      </c>
      <c r="AC8" s="827"/>
    </row>
    <row r="9" spans="2:29" ht="21" thickBot="1" x14ac:dyDescent="0.3">
      <c r="B9" s="22"/>
      <c r="C9" s="109"/>
      <c r="D9" s="105"/>
      <c r="E9" s="598"/>
      <c r="F9" s="669"/>
      <c r="G9" s="669"/>
      <c r="H9" s="665"/>
      <c r="I9" s="12"/>
      <c r="J9" s="12"/>
      <c r="K9" s="12"/>
      <c r="N9" s="722"/>
      <c r="O9" s="200"/>
      <c r="Q9" s="110"/>
      <c r="S9" s="731"/>
      <c r="T9" s="727" t="s">
        <v>311</v>
      </c>
      <c r="U9" s="750" t="s">
        <v>55</v>
      </c>
      <c r="V9" s="780"/>
      <c r="W9" s="774"/>
      <c r="X9" s="732" t="s">
        <v>55</v>
      </c>
      <c r="AB9" s="834" t="s">
        <v>234</v>
      </c>
      <c r="AC9" s="835" t="s">
        <v>362</v>
      </c>
    </row>
    <row r="10" spans="2:29" ht="21" thickBot="1" x14ac:dyDescent="0.3">
      <c r="B10" s="16">
        <v>1</v>
      </c>
      <c r="C10" s="106" t="s">
        <v>116</v>
      </c>
      <c r="D10" s="107" t="s">
        <v>353</v>
      </c>
      <c r="E10" s="599" t="str">
        <f t="shared" ref="E10:E41" si="0">_xlfn.CONCAT(C10:D10)</f>
        <v>AndersGjermo</v>
      </c>
      <c r="F10" s="192">
        <f>YEAR(I$5)-_xlfn.XLOOKUP(E10,Deltakerliste!E$5:E$98,Deltakerliste!I$5:I$98)</f>
        <v>68</v>
      </c>
      <c r="G10" s="192">
        <f>_xlfn.XLOOKUP(E10,Deltakerliste!E$5:E$98,Deltakerliste!H$5:H$98)</f>
        <v>2</v>
      </c>
      <c r="H10" s="592">
        <f>VLOOKUP(F10,Deltakerliste!P$6:T$84,G10,FALSE)</f>
        <v>1.3729999999999998</v>
      </c>
      <c r="I10" s="132"/>
      <c r="J10" s="132">
        <v>1.5266203703703704E-2</v>
      </c>
      <c r="K10" s="18"/>
      <c r="L10" s="600">
        <f t="shared" ref="L10:L41" si="1">IF(OR(I10="Arr",J10="Arr",K10="Arr"),"Arr",IF(OR(I10="Brutt",J10="Brutt",K10="Brutt"),"Brutt",IF(OR(I10="Disk",J10="Disk",K10="Disk"),"Disk",IF(OR(I10="Løype",J10="Løype",K10="Løype"),"Løype",IF(I10&gt;0,I10/I$8,J10/J$8)))))</f>
        <v>6.637479871175524E-3</v>
      </c>
      <c r="M10" s="594">
        <f>IF(L10="Løype",Poengsammendrag!$F$2,IF(L10="Arr",Poengsammendrag!$F$3,IF(L10="Brutt",50,IF(L10="Disk",50,ROUND(MAXA(100*(MIN(L$10:L$97)/L10),50),0)))))</f>
        <v>100</v>
      </c>
      <c r="N10" s="724">
        <f t="shared" ref="N10:N41" si="2">IF(L10="Arr","Arr",IF(L10="Brutt","Brutt",IF(L10="Disk","Disk",IF(L10="Løype","Løype",L10/H10))))</f>
        <v>4.8342897823565366E-3</v>
      </c>
      <c r="O10" s="596">
        <f>IF(N10="Løype",Poengsammendrag!$F$2,IF(N10="Arr",Poengsammendrag!$F$3,IF(N10="Brutt",50,IF(N10="Disk",50,ROUND(MAXA(100*(MIN(N$10:N$97)/N10),50),0)))))</f>
        <v>91</v>
      </c>
      <c r="Q10" s="672"/>
      <c r="R10" s="672"/>
      <c r="S10" s="802" t="s">
        <v>116</v>
      </c>
      <c r="T10" s="734">
        <v>6.637479871175524E-3</v>
      </c>
      <c r="U10" s="751">
        <v>100</v>
      </c>
      <c r="V10" s="781"/>
      <c r="W10" s="775" t="s">
        <v>166</v>
      </c>
      <c r="X10" s="739">
        <v>100</v>
      </c>
      <c r="AB10" s="832">
        <v>55</v>
      </c>
      <c r="AC10" s="833">
        <f t="shared" ref="AC10:AC50" si="3">COUNTIFS(F$10:F$99,AB10,M$10:M$99,"&gt;0")</f>
        <v>0</v>
      </c>
    </row>
    <row r="11" spans="2:29" ht="21" customHeight="1" thickBot="1" x14ac:dyDescent="0.3">
      <c r="B11" s="16">
        <f t="shared" ref="B11:B75" si="4">B10+1</f>
        <v>2</v>
      </c>
      <c r="C11" s="106" t="s">
        <v>265</v>
      </c>
      <c r="D11" s="107" t="s">
        <v>266</v>
      </c>
      <c r="E11" s="599" t="str">
        <f t="shared" si="0"/>
        <v>ØysteinWiggen</v>
      </c>
      <c r="F11" s="192">
        <f>YEAR(I$5)-_xlfn.XLOOKUP(E11,Deltakerliste!E$5:E$98,Deltakerliste!I$5:I$98)</f>
        <v>60</v>
      </c>
      <c r="G11" s="192">
        <f>_xlfn.XLOOKUP(E11,Deltakerliste!E$5:E$98,Deltakerliste!H$5:H$98)</f>
        <v>2</v>
      </c>
      <c r="H11" s="592">
        <f>VLOOKUP(F11,Deltakerliste!P$6:T$84,G11,FALSE)</f>
        <v>1.2000000000000002</v>
      </c>
      <c r="I11" s="134"/>
      <c r="J11" s="132">
        <v>1.7615740740740741E-2</v>
      </c>
      <c r="K11" s="18"/>
      <c r="L11" s="600">
        <f t="shared" si="1"/>
        <v>7.65901771336554E-3</v>
      </c>
      <c r="M11" s="594">
        <f>IF(L11="Løype",Poengsammendrag!$F$2,IF(L11="Arr",Poengsammendrag!$F$3,IF(L11="Brutt",50,IF(L11="Disk",50,ROUND(MAXA(100*(MIN(L$10:L$97)/L11),50),0)))))</f>
        <v>87</v>
      </c>
      <c r="N11" s="724">
        <f t="shared" si="2"/>
        <v>6.3825147611379493E-3</v>
      </c>
      <c r="O11" s="596">
        <f>IF(N11="Løype",Poengsammendrag!$F$2,IF(N11="Arr",Poengsammendrag!$F$3,IF(N11="Brutt",50,IF(N11="Disk",50,ROUND(MAXA(100*(MIN(N$10:N$97)/N11),50),0)))))</f>
        <v>69</v>
      </c>
      <c r="Q11" s="672"/>
      <c r="R11" s="672"/>
      <c r="S11" s="803" t="s">
        <v>368</v>
      </c>
      <c r="T11" s="736">
        <v>7.65901771336554E-3</v>
      </c>
      <c r="U11" s="752">
        <v>87</v>
      </c>
      <c r="V11" s="781"/>
      <c r="W11" s="776" t="s">
        <v>112</v>
      </c>
      <c r="X11" s="740">
        <v>97</v>
      </c>
      <c r="AB11" s="828">
        <f>AB10+1</f>
        <v>56</v>
      </c>
      <c r="AC11" s="829">
        <f t="shared" si="3"/>
        <v>0</v>
      </c>
    </row>
    <row r="12" spans="2:29" ht="21" customHeight="1" thickBot="1" x14ac:dyDescent="0.3">
      <c r="B12" s="16">
        <f t="shared" si="4"/>
        <v>3</v>
      </c>
      <c r="C12" s="106" t="s">
        <v>120</v>
      </c>
      <c r="D12" s="107" t="s">
        <v>121</v>
      </c>
      <c r="E12" s="599" t="str">
        <f t="shared" si="0"/>
        <v>KlausLivik</v>
      </c>
      <c r="F12" s="192">
        <f>YEAR(I$5)-_xlfn.XLOOKUP(E12,Deltakerliste!E$5:E$98,Deltakerliste!I$5:I$98)</f>
        <v>72</v>
      </c>
      <c r="G12" s="192">
        <f>_xlfn.XLOOKUP(E12,Deltakerliste!E$5:E$98,Deltakerliste!H$5:H$98)</f>
        <v>2</v>
      </c>
      <c r="H12" s="592">
        <f>VLOOKUP(F12,Deltakerliste!P$6:T$84,G12,FALSE)</f>
        <v>1.4969999999999999</v>
      </c>
      <c r="I12" s="13"/>
      <c r="J12" s="13">
        <v>2.0219907407407409E-2</v>
      </c>
      <c r="K12" s="17"/>
      <c r="L12" s="600">
        <f t="shared" si="1"/>
        <v>8.7912640901771349E-3</v>
      </c>
      <c r="M12" s="594">
        <f>IF(L12="Løype",Poengsammendrag!$F$2,IF(L12="Arr",Poengsammendrag!$F$3,IF(L12="Brutt",50,IF(L12="Disk",50,ROUND(MAXA(100*(MIN(L$10:L$97)/L12),50),0)))))</f>
        <v>76</v>
      </c>
      <c r="N12" s="724">
        <f t="shared" si="2"/>
        <v>5.8725879025899371E-3</v>
      </c>
      <c r="O12" s="596">
        <f>IF(N12="Løype",Poengsammendrag!$F$2,IF(N12="Arr",Poengsammendrag!$F$3,IF(N12="Brutt",50,IF(N12="Disk",50,ROUND(MAXA(100*(MIN(N$10:N$97)/N12),50),0)))))</f>
        <v>75</v>
      </c>
      <c r="Q12" s="672"/>
      <c r="R12" s="672"/>
      <c r="S12" s="803" t="s">
        <v>120</v>
      </c>
      <c r="T12" s="736">
        <v>8.7912640901771349E-3</v>
      </c>
      <c r="U12" s="752">
        <v>76</v>
      </c>
      <c r="V12" s="781"/>
      <c r="W12" s="776" t="s">
        <v>354</v>
      </c>
      <c r="X12" s="740">
        <v>91</v>
      </c>
      <c r="AB12" s="828">
        <f t="shared" ref="AB12:AB50" si="5">AB11+1</f>
        <v>57</v>
      </c>
      <c r="AC12" s="829">
        <f t="shared" si="3"/>
        <v>0</v>
      </c>
    </row>
    <row r="13" spans="2:29" ht="21" customHeight="1" thickBot="1" x14ac:dyDescent="0.3">
      <c r="B13" s="16">
        <f t="shared" si="4"/>
        <v>4</v>
      </c>
      <c r="C13" s="106" t="s">
        <v>118</v>
      </c>
      <c r="D13" s="107" t="s">
        <v>119</v>
      </c>
      <c r="E13" s="599" t="str">
        <f t="shared" si="0"/>
        <v>KnutLillealtern</v>
      </c>
      <c r="F13" s="192">
        <f>YEAR(I$5)-_xlfn.XLOOKUP(E13,Deltakerliste!E$5:E$98,Deltakerliste!I$5:I$98)</f>
        <v>77</v>
      </c>
      <c r="G13" s="192">
        <f>_xlfn.XLOOKUP(E13,Deltakerliste!E$5:E$98,Deltakerliste!H$5:H$98)</f>
        <v>2</v>
      </c>
      <c r="H13" s="592">
        <f>VLOOKUP(F13,Deltakerliste!P$6:T$84,G13,FALSE)</f>
        <v>1.7050000000000001</v>
      </c>
      <c r="I13" s="13"/>
      <c r="J13" s="13">
        <v>2.0636574074074075E-2</v>
      </c>
      <c r="K13" s="17"/>
      <c r="L13" s="600">
        <f t="shared" si="1"/>
        <v>8.9724235104669901E-3</v>
      </c>
      <c r="M13" s="594">
        <f>IF(L13="Løype",Poengsammendrag!$F$2,IF(L13="Arr",Poengsammendrag!$F$3,IF(L13="Brutt",50,IF(L13="Disk",50,ROUND(MAXA(100*(MIN(L$10:L$97)/L13),50),0)))))</f>
        <v>74</v>
      </c>
      <c r="N13" s="724">
        <f t="shared" si="2"/>
        <v>5.2624184812123109E-3</v>
      </c>
      <c r="O13" s="596">
        <f>IF(N13="Løype",Poengsammendrag!$F$2,IF(N13="Arr",Poengsammendrag!$F$3,IF(N13="Brutt",50,IF(N13="Disk",50,ROUND(MAXA(100*(MIN(N$10:N$97)/N13),50),0)))))</f>
        <v>84</v>
      </c>
      <c r="Q13" s="672"/>
      <c r="R13" s="672"/>
      <c r="S13" s="803" t="s">
        <v>118</v>
      </c>
      <c r="T13" s="736">
        <v>8.9724235104669901E-3</v>
      </c>
      <c r="U13" s="752">
        <v>74</v>
      </c>
      <c r="V13" s="781"/>
      <c r="W13" s="776" t="s">
        <v>138</v>
      </c>
      <c r="X13" s="740">
        <v>91</v>
      </c>
      <c r="AB13" s="828">
        <f t="shared" si="5"/>
        <v>58</v>
      </c>
      <c r="AC13" s="829">
        <f t="shared" si="3"/>
        <v>0</v>
      </c>
    </row>
    <row r="14" spans="2:29" ht="21" customHeight="1" thickBot="1" x14ac:dyDescent="0.3">
      <c r="B14" s="16">
        <f t="shared" si="4"/>
        <v>5</v>
      </c>
      <c r="C14" s="106" t="s">
        <v>134</v>
      </c>
      <c r="D14" s="107" t="s">
        <v>135</v>
      </c>
      <c r="E14" s="599" t="str">
        <f t="shared" si="0"/>
        <v>IngeNørstebø</v>
      </c>
      <c r="F14" s="192">
        <f>YEAR(I$5)-_xlfn.XLOOKUP(E14,Deltakerliste!E$5:E$98,Deltakerliste!I$5:I$98)</f>
        <v>70</v>
      </c>
      <c r="G14" s="192">
        <f>_xlfn.XLOOKUP(E14,Deltakerliste!E$5:E$98,Deltakerliste!H$5:H$98)</f>
        <v>2</v>
      </c>
      <c r="H14" s="592">
        <f>VLOOKUP(F14,Deltakerliste!P$6:T$84,G14,FALSE)</f>
        <v>1.4249999999999998</v>
      </c>
      <c r="I14" s="13"/>
      <c r="J14" s="13">
        <v>2.1296296296296296E-2</v>
      </c>
      <c r="K14" s="13"/>
      <c r="L14" s="600">
        <f t="shared" si="1"/>
        <v>9.2592592592592605E-3</v>
      </c>
      <c r="M14" s="594">
        <f>IF(L14="Løype",Poengsammendrag!$F$2,IF(L14="Arr",Poengsammendrag!$F$3,IF(L14="Brutt",50,IF(L14="Disk",50,ROUND(MAXA(100*(MIN(L$10:L$97)/L14),50),0)))))</f>
        <v>72</v>
      </c>
      <c r="N14" s="724">
        <f t="shared" si="2"/>
        <v>6.4977257959714114E-3</v>
      </c>
      <c r="O14" s="596">
        <f>IF(N14="Løype",Poengsammendrag!$F$2,IF(N14="Arr",Poengsammendrag!$F$3,IF(N14="Brutt",50,IF(N14="Disk",50,ROUND(MAXA(100*(MIN(N$10:N$97)/N14),50),0)))))</f>
        <v>68</v>
      </c>
      <c r="Q14" s="672"/>
      <c r="R14" s="672"/>
      <c r="S14" s="803" t="s">
        <v>134</v>
      </c>
      <c r="T14" s="736">
        <v>9.2592592592592605E-3</v>
      </c>
      <c r="U14" s="752">
        <v>72</v>
      </c>
      <c r="V14" s="781"/>
      <c r="W14" s="776" t="s">
        <v>118</v>
      </c>
      <c r="X14" s="740">
        <v>84</v>
      </c>
      <c r="AB14" s="828">
        <f t="shared" si="5"/>
        <v>59</v>
      </c>
      <c r="AC14" s="829">
        <f t="shared" si="3"/>
        <v>0</v>
      </c>
    </row>
    <row r="15" spans="2:29" ht="21" customHeight="1" thickBot="1" x14ac:dyDescent="0.3">
      <c r="B15" s="16">
        <f t="shared" si="4"/>
        <v>6</v>
      </c>
      <c r="C15" s="106" t="s">
        <v>63</v>
      </c>
      <c r="D15" s="107" t="s">
        <v>98</v>
      </c>
      <c r="E15" s="599" t="str">
        <f t="shared" si="0"/>
        <v>ToreHeggem</v>
      </c>
      <c r="F15" s="192">
        <f>YEAR(I$5)-_xlfn.XLOOKUP(E15,Deltakerliste!E$5:E$98,Deltakerliste!I$5:I$98)</f>
        <v>73</v>
      </c>
      <c r="G15" s="192">
        <f>_xlfn.XLOOKUP(E15,Deltakerliste!E$5:E$98,Deltakerliste!H$5:H$98)</f>
        <v>2</v>
      </c>
      <c r="H15" s="592">
        <f>VLOOKUP(F15,Deltakerliste!P$6:T$84,G15,FALSE)</f>
        <v>1.5329999999999999</v>
      </c>
      <c r="I15" s="86"/>
      <c r="J15" s="86">
        <v>2.1747685185185186E-2</v>
      </c>
      <c r="K15" s="13"/>
      <c r="L15" s="600">
        <f t="shared" si="1"/>
        <v>9.4555152979066033E-3</v>
      </c>
      <c r="M15" s="594">
        <f>IF(L15="Løype",Poengsammendrag!$F$2,IF(L15="Arr",Poengsammendrag!$F$3,IF(L15="Brutt",50,IF(L15="Disk",50,ROUND(MAXA(100*(MIN(L$10:L$97)/L15),50),0)))))</f>
        <v>70</v>
      </c>
      <c r="N15" s="724">
        <f t="shared" si="2"/>
        <v>6.1679812771732578E-3</v>
      </c>
      <c r="O15" s="596">
        <f>IF(N15="Løype",Poengsammendrag!$F$2,IF(N15="Arr",Poengsammendrag!$F$3,IF(N15="Brutt",50,IF(N15="Disk",50,ROUND(MAXA(100*(MIN(N$10:N$97)/N15),50),0)))))</f>
        <v>71</v>
      </c>
      <c r="Q15" s="672"/>
      <c r="R15" s="672"/>
      <c r="S15" s="803" t="s">
        <v>340</v>
      </c>
      <c r="T15" s="736">
        <v>9.4555152979066033E-3</v>
      </c>
      <c r="U15" s="752">
        <v>70</v>
      </c>
      <c r="V15" s="781"/>
      <c r="W15" s="776" t="s">
        <v>96</v>
      </c>
      <c r="X15" s="740">
        <v>79</v>
      </c>
      <c r="AB15" s="828">
        <f t="shared" si="5"/>
        <v>60</v>
      </c>
      <c r="AC15" s="829">
        <f t="shared" si="3"/>
        <v>1</v>
      </c>
    </row>
    <row r="16" spans="2:29" ht="21" customHeight="1" thickBot="1" x14ac:dyDescent="0.3">
      <c r="B16" s="16">
        <f t="shared" si="4"/>
        <v>7</v>
      </c>
      <c r="C16" s="106" t="s">
        <v>126</v>
      </c>
      <c r="D16" s="107" t="s">
        <v>127</v>
      </c>
      <c r="E16" s="599" t="str">
        <f t="shared" si="0"/>
        <v>ArneMikkelsen</v>
      </c>
      <c r="F16" s="192">
        <f>YEAR(I$5)-_xlfn.XLOOKUP(E16,Deltakerliste!E$5:E$98,Deltakerliste!I$5:I$98)</f>
        <v>73</v>
      </c>
      <c r="G16" s="192">
        <f>_xlfn.XLOOKUP(E16,Deltakerliste!E$5:E$98,Deltakerliste!H$5:H$98)</f>
        <v>2</v>
      </c>
      <c r="H16" s="592">
        <f>VLOOKUP(F16,Deltakerliste!P$6:T$84,G16,FALSE)</f>
        <v>1.5329999999999999</v>
      </c>
      <c r="I16" s="13"/>
      <c r="J16" s="13">
        <v>2.2685185185185187E-2</v>
      </c>
      <c r="K16" s="13"/>
      <c r="L16" s="600">
        <f t="shared" si="1"/>
        <v>9.8631239935587783E-3</v>
      </c>
      <c r="M16" s="594">
        <f>IF(L16="Løype",Poengsammendrag!$F$2,IF(L16="Arr",Poengsammendrag!$F$3,IF(L16="Brutt",50,IF(L16="Disk",50,ROUND(MAXA(100*(MIN(L$10:L$97)/L16),50),0)))))</f>
        <v>67</v>
      </c>
      <c r="N16" s="724">
        <f t="shared" si="2"/>
        <v>6.4338708372855703E-3</v>
      </c>
      <c r="O16" s="596">
        <f>IF(N16="Løype",Poengsammendrag!$F$2,IF(N16="Arr",Poengsammendrag!$F$3,IF(N16="Brutt",50,IF(N16="Disk",50,ROUND(MAXA(100*(MIN(N$10:N$97)/N16),50),0)))))</f>
        <v>69</v>
      </c>
      <c r="Q16" s="672"/>
      <c r="R16" s="672"/>
      <c r="S16" s="803" t="s">
        <v>386</v>
      </c>
      <c r="T16" s="736">
        <v>9.8631239935587783E-3</v>
      </c>
      <c r="U16" s="752">
        <v>67</v>
      </c>
      <c r="V16" s="781"/>
      <c r="W16" s="776" t="s">
        <v>88</v>
      </c>
      <c r="X16" s="740">
        <v>76</v>
      </c>
      <c r="AB16" s="828">
        <f t="shared" si="5"/>
        <v>61</v>
      </c>
      <c r="AC16" s="829">
        <f t="shared" si="3"/>
        <v>1</v>
      </c>
    </row>
    <row r="17" spans="2:29" ht="21" customHeight="1" thickBot="1" x14ac:dyDescent="0.3">
      <c r="B17" s="16">
        <f t="shared" si="4"/>
        <v>8</v>
      </c>
      <c r="C17" s="106" t="s">
        <v>168</v>
      </c>
      <c r="D17" s="107" t="s">
        <v>169</v>
      </c>
      <c r="E17" s="599" t="str">
        <f t="shared" si="0"/>
        <v>SteinØvstedal</v>
      </c>
      <c r="F17" s="192">
        <f>YEAR(I$5)-_xlfn.XLOOKUP(E17,Deltakerliste!E$5:E$98,Deltakerliste!I$5:I$98)</f>
        <v>75</v>
      </c>
      <c r="G17" s="192">
        <f>_xlfn.XLOOKUP(E17,Deltakerliste!E$5:E$98,Deltakerliste!H$5:H$98)</f>
        <v>2</v>
      </c>
      <c r="H17" s="592">
        <f>VLOOKUP(F17,Deltakerliste!P$6:T$84,G17,FALSE)</f>
        <v>1.605</v>
      </c>
      <c r="I17" s="132"/>
      <c r="J17" s="132">
        <v>2.2708333333333334E-2</v>
      </c>
      <c r="K17" s="18"/>
      <c r="L17" s="600">
        <f t="shared" si="1"/>
        <v>9.8731884057971023E-3</v>
      </c>
      <c r="M17" s="594">
        <f>IF(L17="Løype",Poengsammendrag!$F$2,IF(L17="Arr",Poengsammendrag!$F$3,IF(L17="Brutt",50,IF(L17="Disk",50,ROUND(MAXA(100*(MIN(L$10:L$97)/L17),50),0)))))</f>
        <v>67</v>
      </c>
      <c r="N17" s="724">
        <f t="shared" si="2"/>
        <v>6.1515192559483504E-3</v>
      </c>
      <c r="O17" s="596">
        <f>IF(N17="Løype",Poengsammendrag!$F$2,IF(N17="Arr",Poengsammendrag!$F$3,IF(N17="Brutt",50,IF(N17="Disk",50,ROUND(MAXA(100*(MIN(N$10:N$97)/N17),50),0)))))</f>
        <v>72</v>
      </c>
      <c r="Q17" s="672"/>
      <c r="R17" s="672"/>
      <c r="S17" s="803" t="s">
        <v>168</v>
      </c>
      <c r="T17" s="736">
        <v>9.8731884057971023E-3</v>
      </c>
      <c r="U17" s="752">
        <v>67</v>
      </c>
      <c r="V17" s="781"/>
      <c r="W17" s="776" t="s">
        <v>120</v>
      </c>
      <c r="X17" s="740">
        <v>75</v>
      </c>
      <c r="AB17" s="828">
        <f t="shared" si="5"/>
        <v>62</v>
      </c>
      <c r="AC17" s="829">
        <f t="shared" si="3"/>
        <v>1</v>
      </c>
    </row>
    <row r="18" spans="2:29" ht="21" customHeight="1" thickBot="1" x14ac:dyDescent="0.3">
      <c r="B18" s="16">
        <f t="shared" si="4"/>
        <v>9</v>
      </c>
      <c r="C18" s="106" t="s">
        <v>163</v>
      </c>
      <c r="D18" s="107" t="s">
        <v>164</v>
      </c>
      <c r="E18" s="599" t="str">
        <f t="shared" si="0"/>
        <v>ArnulfVilmo</v>
      </c>
      <c r="F18" s="192">
        <f>YEAR(I$5)-_xlfn.XLOOKUP(E18,Deltakerliste!E$5:E$98,Deltakerliste!I$5:I$98)</f>
        <v>73</v>
      </c>
      <c r="G18" s="192">
        <f>_xlfn.XLOOKUP(E18,Deltakerliste!E$5:E$98,Deltakerliste!H$5:H$98)</f>
        <v>2</v>
      </c>
      <c r="H18" s="592">
        <f>VLOOKUP(F18,Deltakerliste!P$6:T$84,G18,FALSE)</f>
        <v>1.5329999999999999</v>
      </c>
      <c r="I18" s="132"/>
      <c r="J18" s="132">
        <v>2.3055555555555555E-2</v>
      </c>
      <c r="K18" s="18"/>
      <c r="L18" s="600">
        <f t="shared" si="1"/>
        <v>1.002415458937198E-2</v>
      </c>
      <c r="M18" s="594">
        <f>IF(L18="Løype",Poengsammendrag!$F$2,IF(L18="Arr",Poengsammendrag!$F$3,IF(L18="Brutt",50,IF(L18="Disk",50,ROUND(MAXA(100*(MIN(L$10:L$97)/L18),50),0)))))</f>
        <v>66</v>
      </c>
      <c r="N18" s="724">
        <f t="shared" si="2"/>
        <v>6.5389136264657408E-3</v>
      </c>
      <c r="O18" s="596">
        <f>IF(N18="Løype",Poengsammendrag!$F$2,IF(N18="Arr",Poengsammendrag!$F$3,IF(N18="Brutt",50,IF(N18="Disk",50,ROUND(MAXA(100*(MIN(N$10:N$97)/N18),50),0)))))</f>
        <v>67</v>
      </c>
      <c r="Q18" s="672"/>
      <c r="R18" s="672"/>
      <c r="S18" s="803" t="s">
        <v>163</v>
      </c>
      <c r="T18" s="736">
        <v>1.002415458937198E-2</v>
      </c>
      <c r="U18" s="752">
        <v>66</v>
      </c>
      <c r="V18" s="781"/>
      <c r="W18" s="776" t="s">
        <v>114</v>
      </c>
      <c r="X18" s="740">
        <v>74</v>
      </c>
      <c r="AB18" s="828">
        <f t="shared" si="5"/>
        <v>63</v>
      </c>
      <c r="AC18" s="829">
        <f t="shared" si="3"/>
        <v>0</v>
      </c>
    </row>
    <row r="19" spans="2:29" ht="21" thickBot="1" x14ac:dyDescent="0.3">
      <c r="B19" s="16">
        <f t="shared" si="4"/>
        <v>10</v>
      </c>
      <c r="C19" s="106" t="s">
        <v>222</v>
      </c>
      <c r="D19" s="107" t="s">
        <v>221</v>
      </c>
      <c r="E19" s="599" t="str">
        <f t="shared" si="0"/>
        <v>Kjell Maroni</v>
      </c>
      <c r="F19" s="192">
        <f>YEAR(I$5)-_xlfn.XLOOKUP(E19,Deltakerliste!E$5:E$98,Deltakerliste!I$5:I$98)</f>
        <v>70</v>
      </c>
      <c r="G19" s="192">
        <f>_xlfn.XLOOKUP(E19,Deltakerliste!E$5:E$98,Deltakerliste!H$5:H$98)</f>
        <v>2</v>
      </c>
      <c r="H19" s="592">
        <f>VLOOKUP(F19,Deltakerliste!P$6:T$84,G19,FALSE)</f>
        <v>1.4249999999999998</v>
      </c>
      <c r="I19" s="13"/>
      <c r="J19" s="13">
        <v>2.3101851851851853E-2</v>
      </c>
      <c r="K19" s="13"/>
      <c r="L19" s="600">
        <f t="shared" si="1"/>
        <v>1.0044283413848632E-2</v>
      </c>
      <c r="M19" s="594">
        <f>IF(L19="Løype",Poengsammendrag!$F$2,IF(L19="Arr",Poengsammendrag!$F$3,IF(L19="Brutt",50,IF(L19="Disk",50,ROUND(MAXA(100*(MIN(L$10:L$97)/L19),50),0)))))</f>
        <v>66</v>
      </c>
      <c r="N19" s="724">
        <f t="shared" si="2"/>
        <v>7.0486199395429E-3</v>
      </c>
      <c r="O19" s="596">
        <f>IF(N19="Løype",Poengsammendrag!$F$2,IF(N19="Arr",Poengsammendrag!$F$3,IF(N19="Brutt",50,IF(N19="Disk",50,ROUND(MAXA(100*(MIN(N$10:N$97)/N19),50),0)))))</f>
        <v>63</v>
      </c>
      <c r="Q19" s="672"/>
      <c r="R19" s="672"/>
      <c r="S19" s="803" t="s">
        <v>222</v>
      </c>
      <c r="T19" s="736">
        <v>1.0044283413848632E-2</v>
      </c>
      <c r="U19" s="752">
        <v>66</v>
      </c>
      <c r="V19" s="781"/>
      <c r="W19" s="776" t="s">
        <v>338</v>
      </c>
      <c r="X19" s="740">
        <v>74</v>
      </c>
      <c r="AB19" s="828">
        <f t="shared" si="5"/>
        <v>64</v>
      </c>
      <c r="AC19" s="829">
        <f t="shared" si="3"/>
        <v>0</v>
      </c>
    </row>
    <row r="20" spans="2:29" ht="21" thickBot="1" x14ac:dyDescent="0.3">
      <c r="B20" s="16">
        <f t="shared" si="4"/>
        <v>11</v>
      </c>
      <c r="C20" s="106" t="s">
        <v>138</v>
      </c>
      <c r="D20" s="107" t="s">
        <v>137</v>
      </c>
      <c r="E20" s="599" t="str">
        <f t="shared" si="0"/>
        <v>GunnhildOftedal</v>
      </c>
      <c r="F20" s="192">
        <f>YEAR(I$5)-_xlfn.XLOOKUP(E20,Deltakerliste!E$5:E$98,Deltakerliste!I$5:I$98)</f>
        <v>73</v>
      </c>
      <c r="G20" s="192">
        <f>_xlfn.XLOOKUP(E20,Deltakerliste!E$5:E$98,Deltakerliste!H$5:H$98)</f>
        <v>4</v>
      </c>
      <c r="H20" s="592">
        <f>VLOOKUP(F20,Deltakerliste!P$6:T$84,G20,FALSE)</f>
        <v>2.0798000000000014</v>
      </c>
      <c r="I20" s="13"/>
      <c r="J20" s="13">
        <v>2.3136574074074073E-2</v>
      </c>
      <c r="K20" s="13"/>
      <c r="L20" s="600">
        <f t="shared" si="1"/>
        <v>1.0059380032206119E-2</v>
      </c>
      <c r="M20" s="594">
        <f>IF(L20="Løype",Poengsammendrag!$F$2,IF(L20="Arr",Poengsammendrag!$F$3,IF(L20="Brutt",50,IF(L20="Disk",50,ROUND(MAXA(100*(MIN(L$10:L$97)/L20),50),0)))))</f>
        <v>66</v>
      </c>
      <c r="N20" s="724">
        <f t="shared" si="2"/>
        <v>4.8367054679325479E-3</v>
      </c>
      <c r="O20" s="596">
        <f>IF(N20="Løype",Poengsammendrag!$F$2,IF(N20="Arr",Poengsammendrag!$F$3,IF(N20="Brutt",50,IF(N20="Disk",50,ROUND(MAXA(100*(MIN(N$10:N$97)/N20),50),0)))))</f>
        <v>91</v>
      </c>
      <c r="Q20" s="672"/>
      <c r="R20" s="672"/>
      <c r="S20" s="803" t="s">
        <v>138</v>
      </c>
      <c r="T20" s="736">
        <v>1.0059380032206119E-2</v>
      </c>
      <c r="U20" s="752">
        <v>66</v>
      </c>
      <c r="V20" s="781"/>
      <c r="W20" s="776" t="s">
        <v>357</v>
      </c>
      <c r="X20" s="740">
        <v>73</v>
      </c>
      <c r="AB20" s="828">
        <f t="shared" si="5"/>
        <v>65</v>
      </c>
      <c r="AC20" s="829">
        <f t="shared" si="3"/>
        <v>0</v>
      </c>
    </row>
    <row r="21" spans="2:29" ht="21" customHeight="1" thickBot="1" x14ac:dyDescent="0.3">
      <c r="B21" s="16">
        <f t="shared" si="4"/>
        <v>12</v>
      </c>
      <c r="C21" s="106" t="s">
        <v>101</v>
      </c>
      <c r="D21" s="107" t="s">
        <v>102</v>
      </c>
      <c r="E21" s="599" t="str">
        <f t="shared" si="0"/>
        <v>EvenHofstad</v>
      </c>
      <c r="F21" s="192">
        <f>YEAR(I$5)-_xlfn.XLOOKUP(E21,Deltakerliste!E$5:E$98,Deltakerliste!I$5:I$98)</f>
        <v>72</v>
      </c>
      <c r="G21" s="192">
        <f>_xlfn.XLOOKUP(E21,Deltakerliste!E$5:E$98,Deltakerliste!H$5:H$98)</f>
        <v>2</v>
      </c>
      <c r="H21" s="592">
        <f>VLOOKUP(F21,Deltakerliste!P$6:T$84,G21,FALSE)</f>
        <v>1.4969999999999999</v>
      </c>
      <c r="I21" s="86"/>
      <c r="J21" s="86">
        <v>2.3136574074074073E-2</v>
      </c>
      <c r="K21" s="13"/>
      <c r="L21" s="600">
        <f t="shared" si="1"/>
        <v>1.0059380032206119E-2</v>
      </c>
      <c r="M21" s="594">
        <f>IF(L21="Løype",Poengsammendrag!$F$2,IF(L21="Arr",Poengsammendrag!$F$3,IF(L21="Brutt",50,IF(L21="Disk",50,ROUND(MAXA(100*(MIN(L$10:L$97)/L21),50),0)))))</f>
        <v>66</v>
      </c>
      <c r="N21" s="724">
        <f t="shared" si="2"/>
        <v>6.7196927402846498E-3</v>
      </c>
      <c r="O21" s="596">
        <f>IF(N21="Løype",Poengsammendrag!$F$2,IF(N21="Arr",Poengsammendrag!$F$3,IF(N21="Brutt",50,IF(N21="Disk",50,ROUND(MAXA(100*(MIN(N$10:N$97)/N21),50),0)))))</f>
        <v>66</v>
      </c>
      <c r="Q21" s="672"/>
      <c r="R21" s="672"/>
      <c r="S21" s="803" t="s">
        <v>101</v>
      </c>
      <c r="T21" s="736">
        <v>1.0059380032206119E-2</v>
      </c>
      <c r="U21" s="752">
        <v>66</v>
      </c>
      <c r="V21" s="781"/>
      <c r="W21" s="776" t="s">
        <v>168</v>
      </c>
      <c r="X21" s="740">
        <v>72</v>
      </c>
      <c r="AB21" s="828">
        <f t="shared" si="5"/>
        <v>66</v>
      </c>
      <c r="AC21" s="829">
        <f t="shared" si="3"/>
        <v>0</v>
      </c>
    </row>
    <row r="22" spans="2:29" ht="21" customHeight="1" thickBot="1" x14ac:dyDescent="0.3">
      <c r="B22" s="16">
        <f t="shared" si="4"/>
        <v>13</v>
      </c>
      <c r="C22" s="106" t="s">
        <v>307</v>
      </c>
      <c r="D22" s="107" t="s">
        <v>308</v>
      </c>
      <c r="E22" s="599" t="str">
        <f t="shared" si="0"/>
        <v>RolfWærnes</v>
      </c>
      <c r="F22" s="192">
        <f>YEAR(I$5)-_xlfn.XLOOKUP(E22,Deltakerliste!E$5:E$98,Deltakerliste!I$5:I$98)</f>
        <v>75</v>
      </c>
      <c r="G22" s="192">
        <f>_xlfn.XLOOKUP(E22,Deltakerliste!E$5:E$98,Deltakerliste!H$5:H$98)</f>
        <v>2</v>
      </c>
      <c r="H22" s="592">
        <f>VLOOKUP(F22,Deltakerliste!P$6:T$84,G22,FALSE)</f>
        <v>1.605</v>
      </c>
      <c r="I22" s="18"/>
      <c r="J22" s="132">
        <v>2.3321759259259261E-2</v>
      </c>
      <c r="K22" s="18"/>
      <c r="L22" s="600">
        <f t="shared" si="1"/>
        <v>1.0139895330112723E-2</v>
      </c>
      <c r="M22" s="594">
        <f>IF(L22="Løype",Poengsammendrag!$F$2,IF(L22="Arr",Poengsammendrag!$F$3,IF(L22="Brutt",50,IF(L22="Disk",50,ROUND(MAXA(100*(MIN(L$10:L$97)/L22),50),0)))))</f>
        <v>65</v>
      </c>
      <c r="N22" s="724">
        <f t="shared" si="2"/>
        <v>6.3176917944627563E-3</v>
      </c>
      <c r="O22" s="596">
        <f>IF(N22="Løype",Poengsammendrag!$F$2,IF(N22="Arr",Poengsammendrag!$F$3,IF(N22="Brutt",50,IF(N22="Disk",50,ROUND(MAXA(100*(MIN(N$10:N$97)/N22),50),0)))))</f>
        <v>70</v>
      </c>
      <c r="Q22" s="672"/>
      <c r="R22" s="672"/>
      <c r="S22" s="803" t="s">
        <v>307</v>
      </c>
      <c r="T22" s="736">
        <v>1.0139895330112723E-2</v>
      </c>
      <c r="U22" s="752">
        <v>65</v>
      </c>
      <c r="V22" s="781"/>
      <c r="W22" s="776" t="s">
        <v>340</v>
      </c>
      <c r="X22" s="740">
        <v>71</v>
      </c>
      <c r="AB22" s="828">
        <f t="shared" si="5"/>
        <v>67</v>
      </c>
      <c r="AC22" s="829">
        <f t="shared" si="3"/>
        <v>1</v>
      </c>
    </row>
    <row r="23" spans="2:29" ht="21" customHeight="1" thickBot="1" x14ac:dyDescent="0.3">
      <c r="B23" s="16">
        <f t="shared" si="4"/>
        <v>14</v>
      </c>
      <c r="C23" s="106" t="s">
        <v>63</v>
      </c>
      <c r="D23" s="107" t="s">
        <v>336</v>
      </c>
      <c r="E23" s="599" t="str">
        <f t="shared" si="0"/>
        <v>ToreFornes</v>
      </c>
      <c r="F23" s="192">
        <f>YEAR(I$5)-_xlfn.XLOOKUP(E23,Deltakerliste!E$5:E$98,Deltakerliste!I$5:I$98)</f>
        <v>67</v>
      </c>
      <c r="G23" s="192">
        <f>_xlfn.XLOOKUP(E23,Deltakerliste!E$5:E$98,Deltakerliste!H$5:H$98)</f>
        <v>2</v>
      </c>
      <c r="H23" s="592">
        <f>VLOOKUP(F23,Deltakerliste!P$6:T$84,G23,FALSE)</f>
        <v>1.3469999999999998</v>
      </c>
      <c r="I23" s="86"/>
      <c r="J23" s="86">
        <v>2.3854166666666666E-2</v>
      </c>
      <c r="K23" s="13"/>
      <c r="L23" s="600">
        <f t="shared" si="1"/>
        <v>1.0371376811594203E-2</v>
      </c>
      <c r="M23" s="594">
        <f>IF(L23="Løype",Poengsammendrag!$F$2,IF(L23="Arr",Poengsammendrag!$F$3,IF(L23="Brutt",50,IF(L23="Disk",50,ROUND(MAXA(100*(MIN(L$10:L$97)/L23),50),0)))))</f>
        <v>64</v>
      </c>
      <c r="N23" s="724">
        <f t="shared" si="2"/>
        <v>7.6996115898991871E-3</v>
      </c>
      <c r="O23" s="596">
        <f>IF(N23="Løype",Poengsammendrag!$F$2,IF(N23="Arr",Poengsammendrag!$F$3,IF(N23="Brutt",50,IF(N23="Disk",50,ROUND(MAXA(100*(MIN(N$10:N$97)/N23),50),0)))))</f>
        <v>57</v>
      </c>
      <c r="Q23" s="672"/>
      <c r="R23" s="672"/>
      <c r="S23" s="803" t="s">
        <v>346</v>
      </c>
      <c r="T23" s="736">
        <v>1.0371376811594203E-2</v>
      </c>
      <c r="U23" s="752">
        <v>64</v>
      </c>
      <c r="V23" s="781"/>
      <c r="W23" s="776" t="s">
        <v>315</v>
      </c>
      <c r="X23" s="740">
        <v>71</v>
      </c>
      <c r="AB23" s="828">
        <f t="shared" si="5"/>
        <v>68</v>
      </c>
      <c r="AC23" s="829">
        <f t="shared" si="3"/>
        <v>1</v>
      </c>
    </row>
    <row r="24" spans="2:29" ht="21" thickBot="1" x14ac:dyDescent="0.3">
      <c r="B24" s="16">
        <f t="shared" si="4"/>
        <v>15</v>
      </c>
      <c r="C24" s="106" t="s">
        <v>88</v>
      </c>
      <c r="D24" s="107" t="s">
        <v>89</v>
      </c>
      <c r="E24" s="599" t="str">
        <f t="shared" si="0"/>
        <v>EdgarFuruholt</v>
      </c>
      <c r="F24" s="192">
        <f>YEAR(I$5)-_xlfn.XLOOKUP(E24,Deltakerliste!E$5:E$98,Deltakerliste!I$5:I$98)</f>
        <v>79</v>
      </c>
      <c r="G24" s="192">
        <f>_xlfn.XLOOKUP(E24,Deltakerliste!E$5:E$98,Deltakerliste!H$5:H$98)</f>
        <v>2</v>
      </c>
      <c r="H24" s="592">
        <f>VLOOKUP(F24,Deltakerliste!P$6:T$84,G24,FALSE)</f>
        <v>1.8050000000000002</v>
      </c>
      <c r="I24" s="132"/>
      <c r="J24" s="132">
        <v>2.3993055555555556E-2</v>
      </c>
      <c r="K24" s="18"/>
      <c r="L24" s="600">
        <f t="shared" si="1"/>
        <v>1.0431763285024155E-2</v>
      </c>
      <c r="M24" s="594">
        <f>IF(L24="Løype",Poengsammendrag!$F$2,IF(L24="Arr",Poengsammendrag!$F$3,IF(L24="Brutt",50,IF(L24="Disk",50,ROUND(MAXA(100*(MIN(L$10:L$97)/L24),50),0)))))</f>
        <v>64</v>
      </c>
      <c r="N24" s="724">
        <f t="shared" si="2"/>
        <v>5.7793702410106123E-3</v>
      </c>
      <c r="O24" s="596">
        <f>IF(N24="Løype",Poengsammendrag!$F$2,IF(N24="Arr",Poengsammendrag!$F$3,IF(N24="Brutt",50,IF(N24="Disk",50,ROUND(MAXA(100*(MIN(N$10:N$97)/N24),50),0)))))</f>
        <v>76</v>
      </c>
      <c r="Q24" s="672"/>
      <c r="R24" s="672"/>
      <c r="S24" s="803" t="s">
        <v>88</v>
      </c>
      <c r="T24" s="736">
        <v>1.0431763285024155E-2</v>
      </c>
      <c r="U24" s="752">
        <v>64</v>
      </c>
      <c r="V24" s="781"/>
      <c r="W24" s="776" t="s">
        <v>307</v>
      </c>
      <c r="X24" s="740">
        <v>70</v>
      </c>
      <c r="AB24" s="828">
        <f t="shared" si="5"/>
        <v>69</v>
      </c>
      <c r="AC24" s="829">
        <f t="shared" si="3"/>
        <v>0</v>
      </c>
    </row>
    <row r="25" spans="2:29" ht="21" thickBot="1" x14ac:dyDescent="0.3">
      <c r="B25" s="16">
        <f t="shared" si="4"/>
        <v>16</v>
      </c>
      <c r="C25" s="106" t="s">
        <v>166</v>
      </c>
      <c r="D25" s="107" t="s">
        <v>167</v>
      </c>
      <c r="E25" s="599" t="str">
        <f t="shared" si="0"/>
        <v>GunnarØsterbø</v>
      </c>
      <c r="F25" s="192">
        <f>YEAR(I$5)-_xlfn.XLOOKUP(E25,Deltakerliste!E$5:E$98,Deltakerliste!I$5:I$98)</f>
        <v>87</v>
      </c>
      <c r="G25" s="192">
        <f>_xlfn.XLOOKUP(E25,Deltakerliste!E$5:E$98,Deltakerliste!H$5:H$98)</f>
        <v>2</v>
      </c>
      <c r="H25" s="592">
        <f>VLOOKUP(F25,Deltakerliste!P$6:T$84,G25,FALSE)</f>
        <v>2.3929999999999998</v>
      </c>
      <c r="I25" s="18"/>
      <c r="J25" s="132">
        <v>2.4259259259259258E-2</v>
      </c>
      <c r="K25" s="18"/>
      <c r="L25" s="600">
        <f t="shared" si="1"/>
        <v>1.0547504025764896E-2</v>
      </c>
      <c r="M25" s="594">
        <f>IF(L25="Løype",Poengsammendrag!$F$2,IF(L25="Arr",Poengsammendrag!$F$3,IF(L25="Brutt",50,IF(L25="Disk",50,ROUND(MAXA(100*(MIN(L$10:L$97)/L25),50),0)))))</f>
        <v>63</v>
      </c>
      <c r="N25" s="724">
        <f t="shared" si="2"/>
        <v>4.4076489869473035E-3</v>
      </c>
      <c r="O25" s="596">
        <f>IF(N25="Løype",Poengsammendrag!$F$2,IF(N25="Arr",Poengsammendrag!$F$3,IF(N25="Brutt",50,IF(N25="Disk",50,ROUND(MAXA(100*(MIN(N$10:N$97)/N25),50),0)))))</f>
        <v>100</v>
      </c>
      <c r="Q25" s="672"/>
      <c r="R25" s="672"/>
      <c r="S25" s="803" t="s">
        <v>166</v>
      </c>
      <c r="T25" s="736">
        <v>1.0547504025764896E-2</v>
      </c>
      <c r="U25" s="752">
        <v>63</v>
      </c>
      <c r="V25" s="781"/>
      <c r="W25" s="776" t="s">
        <v>356</v>
      </c>
      <c r="X25" s="740">
        <v>70</v>
      </c>
      <c r="AB25" s="828">
        <f t="shared" si="5"/>
        <v>70</v>
      </c>
      <c r="AC25" s="829">
        <f t="shared" si="3"/>
        <v>2</v>
      </c>
    </row>
    <row r="26" spans="2:29" ht="21" customHeight="1" thickBot="1" x14ac:dyDescent="0.3">
      <c r="B26" s="16">
        <f t="shared" si="4"/>
        <v>17</v>
      </c>
      <c r="C26" s="106" t="s">
        <v>72</v>
      </c>
      <c r="D26" s="107" t="s">
        <v>73</v>
      </c>
      <c r="E26" s="599" t="str">
        <f t="shared" si="0"/>
        <v>KåreEggereide</v>
      </c>
      <c r="F26" s="192">
        <f>YEAR(I$5)-_xlfn.XLOOKUP(E26,Deltakerliste!E$5:E$98,Deltakerliste!I$5:I$98)</f>
        <v>75</v>
      </c>
      <c r="G26" s="192">
        <f>_xlfn.XLOOKUP(E26,Deltakerliste!E$5:E$98,Deltakerliste!H$5:H$98)</f>
        <v>2</v>
      </c>
      <c r="H26" s="592">
        <f>VLOOKUP(F26,Deltakerliste!P$6:T$84,G26,FALSE)</f>
        <v>1.605</v>
      </c>
      <c r="I26" s="86"/>
      <c r="J26" s="13">
        <v>2.4305555555555556E-2</v>
      </c>
      <c r="K26" s="13"/>
      <c r="L26" s="600">
        <f t="shared" si="1"/>
        <v>1.0567632850241548E-2</v>
      </c>
      <c r="M26" s="594">
        <f>IF(L26="Løype",Poengsammendrag!$F$2,IF(L26="Arr",Poengsammendrag!$F$3,IF(L26="Brutt",50,IF(L26="Disk",50,ROUND(MAXA(100*(MIN(L$10:L$97)/L26),50),0)))))</f>
        <v>63</v>
      </c>
      <c r="N26" s="724">
        <f t="shared" si="2"/>
        <v>6.5841949222688774E-3</v>
      </c>
      <c r="O26" s="596">
        <f>IF(N26="Løype",Poengsammendrag!$F$2,IF(N26="Arr",Poengsammendrag!$F$3,IF(N26="Brutt",50,IF(N26="Disk",50,ROUND(MAXA(100*(MIN(N$10:N$97)/N26),50),0)))))</f>
        <v>67</v>
      </c>
      <c r="Q26" s="672"/>
      <c r="R26" s="672"/>
      <c r="S26" s="803" t="s">
        <v>350</v>
      </c>
      <c r="T26" s="736">
        <v>1.0567632850241548E-2</v>
      </c>
      <c r="U26" s="752">
        <v>63</v>
      </c>
      <c r="V26" s="781"/>
      <c r="W26" s="776" t="s">
        <v>94</v>
      </c>
      <c r="X26" s="740">
        <v>69</v>
      </c>
      <c r="AB26" s="828">
        <f t="shared" si="5"/>
        <v>71</v>
      </c>
      <c r="AC26" s="829">
        <f t="shared" si="3"/>
        <v>2</v>
      </c>
    </row>
    <row r="27" spans="2:29" ht="21" thickBot="1" x14ac:dyDescent="0.3">
      <c r="B27" s="16">
        <f t="shared" si="4"/>
        <v>18</v>
      </c>
      <c r="C27" s="106" t="s">
        <v>216</v>
      </c>
      <c r="D27" s="107" t="s">
        <v>77</v>
      </c>
      <c r="E27" s="599" t="str">
        <f t="shared" si="0"/>
        <v>Åse RitaEllingsen</v>
      </c>
      <c r="F27" s="192">
        <f>YEAR(I$5)-_xlfn.XLOOKUP(E27,Deltakerliste!E$5:E$98,Deltakerliste!I$5:I$98)</f>
        <v>62</v>
      </c>
      <c r="G27" s="192">
        <f>_xlfn.XLOOKUP(E27,Deltakerliste!E$5:E$98,Deltakerliste!H$5:H$98)</f>
        <v>4</v>
      </c>
      <c r="H27" s="592">
        <f>VLOOKUP(F27,Deltakerliste!P$6:T$84,G27,FALSE)</f>
        <v>1.6834000000000005</v>
      </c>
      <c r="I27" s="86">
        <v>2.1527777777777778E-2</v>
      </c>
      <c r="J27" s="14"/>
      <c r="K27" s="13"/>
      <c r="L27" s="600">
        <f t="shared" si="1"/>
        <v>1.0763888888888889E-2</v>
      </c>
      <c r="M27" s="594">
        <f>IF(L27="Løype",Poengsammendrag!$F$2,IF(L27="Arr",Poengsammendrag!$F$3,IF(L27="Brutt",50,IF(L27="Disk",50,ROUND(MAXA(100*(MIN(L$10:L$97)/L27),50),0)))))</f>
        <v>62</v>
      </c>
      <c r="N27" s="724">
        <f t="shared" si="2"/>
        <v>6.3941362058268303E-3</v>
      </c>
      <c r="O27" s="596">
        <f>IF(N27="Løype",Poengsammendrag!$F$2,IF(N27="Arr",Poengsammendrag!$F$3,IF(N27="Brutt",50,IF(N27="Disk",50,ROUND(MAXA(100*(MIN(N$10:N$97)/N27),50),0)))))</f>
        <v>69</v>
      </c>
      <c r="Q27" s="672"/>
      <c r="R27" s="672"/>
      <c r="S27" s="803" t="s">
        <v>216</v>
      </c>
      <c r="T27" s="736">
        <v>1.0763888888888889E-2</v>
      </c>
      <c r="U27" s="752">
        <v>62</v>
      </c>
      <c r="V27" s="781"/>
      <c r="W27" s="776" t="s">
        <v>368</v>
      </c>
      <c r="X27" s="740">
        <v>69</v>
      </c>
      <c r="AB27" s="828">
        <f t="shared" si="5"/>
        <v>72</v>
      </c>
      <c r="AC27" s="829">
        <f t="shared" si="3"/>
        <v>2</v>
      </c>
    </row>
    <row r="28" spans="2:29" ht="21" customHeight="1" thickBot="1" x14ac:dyDescent="0.3">
      <c r="B28" s="16">
        <f t="shared" si="4"/>
        <v>19</v>
      </c>
      <c r="C28" s="106" t="s">
        <v>90</v>
      </c>
      <c r="D28" s="107" t="s">
        <v>91</v>
      </c>
      <c r="E28" s="599" t="str">
        <f t="shared" si="0"/>
        <v>TorGjermstad</v>
      </c>
      <c r="F28" s="192">
        <f>YEAR(I$5)-_xlfn.XLOOKUP(E28,Deltakerliste!E$5:E$98,Deltakerliste!I$5:I$98)</f>
        <v>76</v>
      </c>
      <c r="G28" s="192">
        <f>_xlfn.XLOOKUP(E28,Deltakerliste!E$5:E$98,Deltakerliste!H$5:H$98)</f>
        <v>2</v>
      </c>
      <c r="H28" s="592">
        <f>VLOOKUP(F28,Deltakerliste!P$6:T$84,G28,FALSE)</f>
        <v>1.655</v>
      </c>
      <c r="I28" s="86">
        <v>2.2025462962962962E-2</v>
      </c>
      <c r="J28" s="86"/>
      <c r="K28" s="13"/>
      <c r="L28" s="600">
        <f t="shared" si="1"/>
        <v>1.1012731481481481E-2</v>
      </c>
      <c r="M28" s="594">
        <f>IF(L28="Løype",Poengsammendrag!$F$2,IF(L28="Arr",Poengsammendrag!$F$3,IF(L28="Brutt",50,IF(L28="Disk",50,ROUND(MAXA(100*(MIN(L$10:L$97)/L28),50),0)))))</f>
        <v>60</v>
      </c>
      <c r="N28" s="724">
        <f t="shared" si="2"/>
        <v>6.6542184178135831E-3</v>
      </c>
      <c r="O28" s="596">
        <f>IF(N28="Løype",Poengsammendrag!$F$2,IF(N28="Arr",Poengsammendrag!$F$3,IF(N28="Brutt",50,IF(N28="Disk",50,ROUND(MAXA(100*(MIN(N$10:N$97)/N28),50),0)))))</f>
        <v>66</v>
      </c>
      <c r="Q28" s="672"/>
      <c r="R28" s="672"/>
      <c r="S28" s="803" t="s">
        <v>90</v>
      </c>
      <c r="T28" s="736">
        <v>1.1012731481481481E-2</v>
      </c>
      <c r="U28" s="752">
        <v>60</v>
      </c>
      <c r="V28" s="781"/>
      <c r="W28" s="776" t="s">
        <v>216</v>
      </c>
      <c r="X28" s="740">
        <v>69</v>
      </c>
      <c r="AB28" s="828">
        <f t="shared" si="5"/>
        <v>73</v>
      </c>
      <c r="AC28" s="829">
        <f t="shared" si="3"/>
        <v>4</v>
      </c>
    </row>
    <row r="29" spans="2:29" ht="21" thickBot="1" x14ac:dyDescent="0.3">
      <c r="B29" s="16">
        <f t="shared" si="4"/>
        <v>20</v>
      </c>
      <c r="C29" s="106" t="s">
        <v>126</v>
      </c>
      <c r="D29" s="107" t="s">
        <v>383</v>
      </c>
      <c r="E29" s="599" t="str">
        <f t="shared" si="0"/>
        <v>ArneHelland</v>
      </c>
      <c r="F29" s="192">
        <f>YEAR(I$5)-_xlfn.XLOOKUP(E29,Deltakerliste!E$5:E$98,Deltakerliste!I$5:I$98)</f>
        <v>61</v>
      </c>
      <c r="G29" s="192">
        <f>_xlfn.XLOOKUP(E29,Deltakerliste!E$5:E$98,Deltakerliste!H$5:H$98)</f>
        <v>2</v>
      </c>
      <c r="H29" s="592">
        <f>VLOOKUP(F29,Deltakerliste!P$6:T$84,G29,FALSE)</f>
        <v>1.2190000000000001</v>
      </c>
      <c r="I29" s="86"/>
      <c r="J29" s="86">
        <v>2.5451388888888888E-2</v>
      </c>
      <c r="K29" s="17"/>
      <c r="L29" s="600">
        <f t="shared" si="1"/>
        <v>1.1065821256038649E-2</v>
      </c>
      <c r="M29" s="594">
        <f>IF(L29="Løype",Poengsammendrag!$F$2,IF(L29="Arr",Poengsammendrag!$F$3,IF(L29="Brutt",50,IF(L29="Disk",50,ROUND(MAXA(100*(MIN(L$10:L$97)/L29),50),0)))))</f>
        <v>60</v>
      </c>
      <c r="N29" s="724">
        <f t="shared" si="2"/>
        <v>9.0777861001137394E-3</v>
      </c>
      <c r="O29" s="596">
        <f>IF(N29="Løype",Poengsammendrag!$F$2,IF(N29="Arr",Poengsammendrag!$F$3,IF(N29="Brutt",50,IF(N29="Disk",50,ROUND(MAXA(100*(MIN(N$10:N$97)/N29),50),0)))))</f>
        <v>50</v>
      </c>
      <c r="Q29" s="672"/>
      <c r="R29" s="672"/>
      <c r="S29" s="803" t="s">
        <v>419</v>
      </c>
      <c r="T29" s="736">
        <v>1.1065821256038649E-2</v>
      </c>
      <c r="U29" s="752">
        <v>60</v>
      </c>
      <c r="V29" s="781"/>
      <c r="W29" s="776" t="s">
        <v>386</v>
      </c>
      <c r="X29" s="740">
        <v>69</v>
      </c>
      <c r="AB29" s="828">
        <f t="shared" si="5"/>
        <v>74</v>
      </c>
      <c r="AC29" s="829">
        <f t="shared" si="3"/>
        <v>3</v>
      </c>
    </row>
    <row r="30" spans="2:29" ht="21" thickBot="1" x14ac:dyDescent="0.3">
      <c r="B30" s="16">
        <f t="shared" si="4"/>
        <v>21</v>
      </c>
      <c r="C30" s="106" t="s">
        <v>68</v>
      </c>
      <c r="D30" s="107" t="s">
        <v>69</v>
      </c>
      <c r="E30" s="599" t="str">
        <f t="shared" si="0"/>
        <v>JanBøhle</v>
      </c>
      <c r="F30" s="192">
        <f>YEAR(I$5)-_xlfn.XLOOKUP(E30,Deltakerliste!E$5:E$98,Deltakerliste!I$5:I$98)</f>
        <v>74</v>
      </c>
      <c r="G30" s="192">
        <f>_xlfn.XLOOKUP(E30,Deltakerliste!E$5:E$98,Deltakerliste!H$5:H$98)</f>
        <v>2</v>
      </c>
      <c r="H30" s="592">
        <f>VLOOKUP(F30,Deltakerliste!P$6:T$84,G30,FALSE)</f>
        <v>1.569</v>
      </c>
      <c r="I30" s="86"/>
      <c r="J30" s="86">
        <v>2.5636574074074076E-2</v>
      </c>
      <c r="K30" s="13"/>
      <c r="L30" s="600">
        <f t="shared" si="1"/>
        <v>1.1146336553945251E-2</v>
      </c>
      <c r="M30" s="594">
        <f>IF(L30="Løype",Poengsammendrag!$F$2,IF(L30="Arr",Poengsammendrag!$F$3,IF(L30="Brutt",50,IF(L30="Disk",50,ROUND(MAXA(100*(MIN(L$10:L$97)/L30),50),0)))))</f>
        <v>60</v>
      </c>
      <c r="N30" s="724">
        <f t="shared" si="2"/>
        <v>7.1041023288369986E-3</v>
      </c>
      <c r="O30" s="596">
        <f>IF(N30="Løype",Poengsammendrag!$F$2,IF(N30="Arr",Poengsammendrag!$F$3,IF(N30="Brutt",50,IF(N30="Disk",50,ROUND(MAXA(100*(MIN(N$10:N$97)/N30),50),0)))))</f>
        <v>62</v>
      </c>
      <c r="Q30" s="672"/>
      <c r="R30" s="672"/>
      <c r="S30" s="803" t="s">
        <v>68</v>
      </c>
      <c r="T30" s="736">
        <v>1.1146336553945251E-2</v>
      </c>
      <c r="U30" s="752">
        <v>60</v>
      </c>
      <c r="V30" s="781"/>
      <c r="W30" s="776" t="s">
        <v>134</v>
      </c>
      <c r="X30" s="740">
        <v>68</v>
      </c>
      <c r="AB30" s="828">
        <f t="shared" si="5"/>
        <v>75</v>
      </c>
      <c r="AC30" s="829">
        <f t="shared" si="3"/>
        <v>5</v>
      </c>
    </row>
    <row r="31" spans="2:29" ht="21" customHeight="1" thickBot="1" x14ac:dyDescent="0.3">
      <c r="B31" s="16">
        <f t="shared" si="4"/>
        <v>22</v>
      </c>
      <c r="C31" s="106" t="s">
        <v>94</v>
      </c>
      <c r="D31" s="107" t="s">
        <v>95</v>
      </c>
      <c r="E31" s="599" t="str">
        <f t="shared" si="0"/>
        <v>TerjeHanssen</v>
      </c>
      <c r="F31" s="192">
        <f>YEAR(I$5)-_xlfn.XLOOKUP(E31,Deltakerliste!E$5:E$98,Deltakerliste!I$5:I$98)</f>
        <v>78</v>
      </c>
      <c r="G31" s="192">
        <f>_xlfn.XLOOKUP(E31,Deltakerliste!E$5:E$98,Deltakerliste!H$5:H$98)</f>
        <v>2</v>
      </c>
      <c r="H31" s="592">
        <f>VLOOKUP(F31,Deltakerliste!P$6:T$84,G31,FALSE)</f>
        <v>1.7550000000000001</v>
      </c>
      <c r="I31" s="86">
        <v>2.2372685185185186E-2</v>
      </c>
      <c r="J31" s="86"/>
      <c r="K31" s="17"/>
      <c r="L31" s="600">
        <f t="shared" si="1"/>
        <v>1.1186342592592593E-2</v>
      </c>
      <c r="M31" s="594">
        <f>IF(L31="Løype",Poengsammendrag!$F$2,IF(L31="Arr",Poengsammendrag!$F$3,IF(L31="Brutt",50,IF(L31="Disk",50,ROUND(MAXA(100*(MIN(L$10:L$97)/L31),50),0)))))</f>
        <v>59</v>
      </c>
      <c r="N31" s="724">
        <f t="shared" si="2"/>
        <v>6.3739843832436426E-3</v>
      </c>
      <c r="O31" s="596">
        <f>IF(N31="Løype",Poengsammendrag!$F$2,IF(N31="Arr",Poengsammendrag!$F$3,IF(N31="Brutt",50,IF(N31="Disk",50,ROUND(MAXA(100*(MIN(N$10:N$97)/N31),50),0)))))</f>
        <v>69</v>
      </c>
      <c r="Q31" s="672"/>
      <c r="R31" s="672"/>
      <c r="S31" s="803" t="s">
        <v>94</v>
      </c>
      <c r="T31" s="736">
        <v>1.1186342592592593E-2</v>
      </c>
      <c r="U31" s="752">
        <v>59</v>
      </c>
      <c r="V31" s="781"/>
      <c r="W31" s="776" t="s">
        <v>122</v>
      </c>
      <c r="X31" s="740">
        <v>67</v>
      </c>
      <c r="AB31" s="828">
        <f t="shared" si="5"/>
        <v>76</v>
      </c>
      <c r="AC31" s="829">
        <f t="shared" si="3"/>
        <v>1</v>
      </c>
    </row>
    <row r="32" spans="2:29" ht="21" customHeight="1" thickBot="1" x14ac:dyDescent="0.3">
      <c r="B32" s="16">
        <f t="shared" si="4"/>
        <v>23</v>
      </c>
      <c r="C32" s="106" t="s">
        <v>142</v>
      </c>
      <c r="D32" s="107" t="s">
        <v>143</v>
      </c>
      <c r="E32" s="599" t="str">
        <f t="shared" si="0"/>
        <v>EgilRepvik</v>
      </c>
      <c r="F32" s="192">
        <f>YEAR(I$5)-_xlfn.XLOOKUP(E32,Deltakerliste!E$5:E$98,Deltakerliste!I$5:I$98)</f>
        <v>80</v>
      </c>
      <c r="G32" s="192">
        <f>_xlfn.XLOOKUP(E32,Deltakerliste!E$5:E$98,Deltakerliste!H$5:H$98)</f>
        <v>2</v>
      </c>
      <c r="H32" s="592">
        <f>VLOOKUP(F32,Deltakerliste!P$6:T$84,G32,FALSE)</f>
        <v>1.8550000000000002</v>
      </c>
      <c r="I32" s="132">
        <v>2.3506944444444445E-2</v>
      </c>
      <c r="J32" s="18"/>
      <c r="K32" s="18"/>
      <c r="L32" s="600">
        <f t="shared" si="1"/>
        <v>1.1753472222222222E-2</v>
      </c>
      <c r="M32" s="594">
        <f>IF(L32="Løype",Poengsammendrag!$F$2,IF(L32="Arr",Poengsammendrag!$F$3,IF(L32="Brutt",50,IF(L32="Disk",50,ROUND(MAXA(100*(MIN(L$10:L$97)/L32),50),0)))))</f>
        <v>56</v>
      </c>
      <c r="N32" s="724">
        <f t="shared" si="2"/>
        <v>6.3361036238394723E-3</v>
      </c>
      <c r="O32" s="596">
        <f>IF(N32="Løype",Poengsammendrag!$F$2,IF(N32="Arr",Poengsammendrag!$F$3,IF(N32="Brutt",50,IF(N32="Disk",50,ROUND(MAXA(100*(MIN(N$10:N$97)/N32),50),0)))))</f>
        <v>70</v>
      </c>
      <c r="S32" s="803" t="s">
        <v>356</v>
      </c>
      <c r="T32" s="736">
        <v>1.1753472222222222E-2</v>
      </c>
      <c r="U32" s="752">
        <v>56</v>
      </c>
      <c r="V32" s="781"/>
      <c r="W32" s="776" t="s">
        <v>163</v>
      </c>
      <c r="X32" s="740">
        <v>67</v>
      </c>
      <c r="AB32" s="828">
        <f t="shared" si="5"/>
        <v>77</v>
      </c>
      <c r="AC32" s="829">
        <f t="shared" si="3"/>
        <v>2</v>
      </c>
    </row>
    <row r="33" spans="2:29" ht="21" customHeight="1" thickBot="1" x14ac:dyDescent="0.3">
      <c r="B33" s="16">
        <f t="shared" si="4"/>
        <v>24</v>
      </c>
      <c r="C33" s="106" t="s">
        <v>114</v>
      </c>
      <c r="D33" s="107" t="s">
        <v>115</v>
      </c>
      <c r="E33" s="599" t="str">
        <f t="shared" si="0"/>
        <v>MagnusLandstad</v>
      </c>
      <c r="F33" s="192">
        <f>YEAR(I$5)-_xlfn.XLOOKUP(E33,Deltakerliste!E$5:E$98,Deltakerliste!I$5:I$98)</f>
        <v>83</v>
      </c>
      <c r="G33" s="192">
        <f>_xlfn.XLOOKUP(E33,Deltakerliste!E$5:E$98,Deltakerliste!H$5:H$98)</f>
        <v>2</v>
      </c>
      <c r="H33" s="592">
        <f>VLOOKUP(F33,Deltakerliste!P$6:T$84,G33,FALSE)</f>
        <v>2.077</v>
      </c>
      <c r="I33" s="86"/>
      <c r="J33" s="86">
        <v>2.8530092592592593E-2</v>
      </c>
      <c r="K33" s="13"/>
      <c r="L33" s="600">
        <f t="shared" si="1"/>
        <v>1.2404388083735911E-2</v>
      </c>
      <c r="M33" s="594">
        <f>IF(L33="Løype",Poengsammendrag!$F$2,IF(L33="Arr",Poengsammendrag!$F$3,IF(L33="Brutt",50,IF(L33="Disk",50,ROUND(MAXA(100*(MIN(L$10:L$97)/L33),50),0)))))</f>
        <v>54</v>
      </c>
      <c r="N33" s="724">
        <f t="shared" si="2"/>
        <v>5.9722619565411228E-3</v>
      </c>
      <c r="O33" s="596">
        <f>IF(N33="Løype",Poengsammendrag!$F$2,IF(N33="Arr",Poengsammendrag!$F$3,IF(N33="Brutt",50,IF(N33="Disk",50,ROUND(MAXA(100*(MIN(N$10:N$97)/N33),50),0)))))</f>
        <v>74</v>
      </c>
      <c r="S33" s="803" t="s">
        <v>114</v>
      </c>
      <c r="T33" s="736">
        <v>1.2404388083735911E-2</v>
      </c>
      <c r="U33" s="752">
        <v>54</v>
      </c>
      <c r="V33" s="781"/>
      <c r="W33" s="776" t="s">
        <v>350</v>
      </c>
      <c r="X33" s="740">
        <v>67</v>
      </c>
      <c r="AB33" s="828">
        <f t="shared" si="5"/>
        <v>78</v>
      </c>
      <c r="AC33" s="829">
        <f t="shared" si="3"/>
        <v>3</v>
      </c>
    </row>
    <row r="34" spans="2:29" ht="21" customHeight="1" thickBot="1" x14ac:dyDescent="0.3">
      <c r="B34" s="16">
        <f t="shared" si="4"/>
        <v>25</v>
      </c>
      <c r="C34" s="106" t="s">
        <v>80</v>
      </c>
      <c r="D34" s="107" t="s">
        <v>81</v>
      </c>
      <c r="E34" s="599" t="str">
        <f t="shared" si="0"/>
        <v>HalvorFlatberg</v>
      </c>
      <c r="F34" s="192">
        <f>YEAR(I$5)-_xlfn.XLOOKUP(E34,Deltakerliste!E$5:E$98,Deltakerliste!I$5:I$98)</f>
        <v>80</v>
      </c>
      <c r="G34" s="192">
        <f>_xlfn.XLOOKUP(E34,Deltakerliste!E$5:E$98,Deltakerliste!H$5:H$98)</f>
        <v>2</v>
      </c>
      <c r="H34" s="592">
        <f>VLOOKUP(F34,Deltakerliste!P$6:T$84,G34,FALSE)</f>
        <v>1.8550000000000002</v>
      </c>
      <c r="I34" s="86">
        <v>2.4930555555555556E-2</v>
      </c>
      <c r="J34" s="86"/>
      <c r="K34" s="13"/>
      <c r="L34" s="600">
        <f t="shared" si="1"/>
        <v>1.2465277777777778E-2</v>
      </c>
      <c r="M34" s="594">
        <f>IF(L34="Løype",Poengsammendrag!$F$2,IF(L34="Arr",Poengsammendrag!$F$3,IF(L34="Brutt",50,IF(L34="Disk",50,ROUND(MAXA(100*(MIN(L$10:L$97)/L34),50),0)))))</f>
        <v>53</v>
      </c>
      <c r="N34" s="724">
        <f t="shared" si="2"/>
        <v>6.7198262952979926E-3</v>
      </c>
      <c r="O34" s="596">
        <f>IF(N34="Løype",Poengsammendrag!$F$2,IF(N34="Arr",Poengsammendrag!$F$3,IF(N34="Brutt",50,IF(N34="Disk",50,ROUND(MAXA(100*(MIN(N$10:N$97)/N34),50),0)))))</f>
        <v>66</v>
      </c>
      <c r="S34" s="803" t="s">
        <v>80</v>
      </c>
      <c r="T34" s="736">
        <v>1.2465277777777778E-2</v>
      </c>
      <c r="U34" s="752">
        <v>53</v>
      </c>
      <c r="V34" s="781"/>
      <c r="W34" s="776" t="s">
        <v>124</v>
      </c>
      <c r="X34" s="740">
        <v>66</v>
      </c>
      <c r="AB34" s="828">
        <f t="shared" si="5"/>
        <v>79</v>
      </c>
      <c r="AC34" s="829">
        <f t="shared" si="3"/>
        <v>4</v>
      </c>
    </row>
    <row r="35" spans="2:29" ht="21" customHeight="1" thickBot="1" x14ac:dyDescent="0.3">
      <c r="B35" s="16">
        <f t="shared" si="4"/>
        <v>26</v>
      </c>
      <c r="C35" s="106" t="s">
        <v>112</v>
      </c>
      <c r="D35" s="107" t="s">
        <v>113</v>
      </c>
      <c r="E35" s="599" t="str">
        <f t="shared" si="0"/>
        <v>ToridKvaal</v>
      </c>
      <c r="F35" s="192">
        <f>YEAR(I$5)-_xlfn.XLOOKUP(E35,Deltakerliste!E$5:E$98,Deltakerliste!I$5:I$98)</f>
        <v>84</v>
      </c>
      <c r="G35" s="192">
        <f>_xlfn.XLOOKUP(E35,Deltakerliste!E$5:E$98,Deltakerliste!H$5:H$98)</f>
        <v>4</v>
      </c>
      <c r="H35" s="592">
        <f>VLOOKUP(F35,Deltakerliste!P$6:T$84,G35,FALSE)</f>
        <v>2.7814000000000005</v>
      </c>
      <c r="I35" s="86"/>
      <c r="J35" s="86">
        <v>2.8993055555555557E-2</v>
      </c>
      <c r="K35" s="13"/>
      <c r="L35" s="600">
        <f t="shared" si="1"/>
        <v>1.2605676328502418E-2</v>
      </c>
      <c r="M35" s="594">
        <f>IF(L35="Løype",Poengsammendrag!$F$2,IF(L35="Arr",Poengsammendrag!$F$3,IF(L35="Brutt",50,IF(L35="Disk",50,ROUND(MAXA(100*(MIN(L$10:L$97)/L35),50),0)))))</f>
        <v>53</v>
      </c>
      <c r="N35" s="724">
        <f t="shared" si="2"/>
        <v>4.5321335760776646E-3</v>
      </c>
      <c r="O35" s="596">
        <f>IF(N35="Løype",Poengsammendrag!$F$2,IF(N35="Arr",Poengsammendrag!$F$3,IF(N35="Brutt",50,IF(N35="Disk",50,ROUND(MAXA(100*(MIN(N$10:N$97)/N35),50),0)))))</f>
        <v>97</v>
      </c>
      <c r="S35" s="803" t="s">
        <v>112</v>
      </c>
      <c r="T35" s="736">
        <v>1.2605676328502418E-2</v>
      </c>
      <c r="U35" s="752">
        <v>53</v>
      </c>
      <c r="V35" s="781"/>
      <c r="W35" s="776" t="s">
        <v>90</v>
      </c>
      <c r="X35" s="740">
        <v>66</v>
      </c>
      <c r="AB35" s="828">
        <f t="shared" si="5"/>
        <v>80</v>
      </c>
      <c r="AC35" s="829">
        <f t="shared" si="3"/>
        <v>2</v>
      </c>
    </row>
    <row r="36" spans="2:29" ht="21" thickBot="1" x14ac:dyDescent="0.3">
      <c r="B36" s="16">
        <f t="shared" si="4"/>
        <v>27</v>
      </c>
      <c r="C36" s="106" t="s">
        <v>76</v>
      </c>
      <c r="D36" s="107" t="s">
        <v>77</v>
      </c>
      <c r="E36" s="599" t="str">
        <f t="shared" si="0"/>
        <v>ReinoldEllingsen</v>
      </c>
      <c r="F36" s="192">
        <f>YEAR(I$5)-_xlfn.XLOOKUP(E36,Deltakerliste!E$5:E$98,Deltakerliste!I$5:I$98)</f>
        <v>75</v>
      </c>
      <c r="G36" s="192">
        <f>_xlfn.XLOOKUP(E36,Deltakerliste!E$5:E$98,Deltakerliste!H$5:H$98)</f>
        <v>2</v>
      </c>
      <c r="H36" s="592">
        <f>VLOOKUP(F36,Deltakerliste!P$6:T$84,G36,FALSE)</f>
        <v>1.605</v>
      </c>
      <c r="I36" s="13">
        <v>2.5810185185185186E-2</v>
      </c>
      <c r="J36" s="13"/>
      <c r="K36" s="13"/>
      <c r="L36" s="600">
        <f t="shared" si="1"/>
        <v>1.2905092592592593E-2</v>
      </c>
      <c r="M36" s="594">
        <f>IF(L36="Løype",Poengsammendrag!$F$2,IF(L36="Arr",Poengsammendrag!$F$3,IF(L36="Brutt",50,IF(L36="Disk",50,ROUND(MAXA(100*(MIN(L$10:L$97)/L36),50),0)))))</f>
        <v>51</v>
      </c>
      <c r="N36" s="724">
        <f t="shared" si="2"/>
        <v>8.0405561324564442E-3</v>
      </c>
      <c r="O36" s="596">
        <f>IF(N36="Løype",Poengsammendrag!$F$2,IF(N36="Arr",Poengsammendrag!$F$3,IF(N36="Brutt",50,IF(N36="Disk",50,ROUND(MAXA(100*(MIN(N$10:N$97)/N36),50),0)))))</f>
        <v>55</v>
      </c>
      <c r="S36" s="803" t="s">
        <v>76</v>
      </c>
      <c r="T36" s="736">
        <v>1.2905092592592593E-2</v>
      </c>
      <c r="U36" s="752">
        <v>51</v>
      </c>
      <c r="V36" s="781"/>
      <c r="W36" s="776" t="s">
        <v>101</v>
      </c>
      <c r="X36" s="740">
        <v>66</v>
      </c>
      <c r="AB36" s="828">
        <f t="shared" si="5"/>
        <v>81</v>
      </c>
      <c r="AC36" s="829">
        <f t="shared" si="3"/>
        <v>3</v>
      </c>
    </row>
    <row r="37" spans="2:29" ht="21" customHeight="1" thickBot="1" x14ac:dyDescent="0.3">
      <c r="B37" s="16">
        <f t="shared" si="4"/>
        <v>28</v>
      </c>
      <c r="C37" s="106" t="s">
        <v>122</v>
      </c>
      <c r="D37" s="107" t="s">
        <v>123</v>
      </c>
      <c r="E37" s="599" t="str">
        <f t="shared" si="0"/>
        <v>MartinMelhuus</v>
      </c>
      <c r="F37" s="192">
        <f>YEAR(I$5)-_xlfn.XLOOKUP(E37,Deltakerliste!E$5:E$98,Deltakerliste!I$5:I$98)</f>
        <v>82</v>
      </c>
      <c r="G37" s="192">
        <f>_xlfn.XLOOKUP(E37,Deltakerliste!E$5:E$98,Deltakerliste!H$5:H$98)</f>
        <v>2</v>
      </c>
      <c r="H37" s="592">
        <f>VLOOKUP(F37,Deltakerliste!P$6:T$84,G37,FALSE)</f>
        <v>2.0030000000000001</v>
      </c>
      <c r="I37" s="13">
        <v>2.6192129629629631E-2</v>
      </c>
      <c r="J37" s="13"/>
      <c r="K37" s="13"/>
      <c r="L37" s="600">
        <f t="shared" si="1"/>
        <v>1.3096064814814816E-2</v>
      </c>
      <c r="M37" s="594">
        <f>IF(L37="Løype",Poengsammendrag!$F$2,IF(L37="Arr",Poengsammendrag!$F$3,IF(L37="Brutt",50,IF(L37="Disk",50,ROUND(MAXA(100*(MIN(L$10:L$97)/L37),50),0)))))</f>
        <v>51</v>
      </c>
      <c r="N37" s="724">
        <f t="shared" si="2"/>
        <v>6.5382250698027035E-3</v>
      </c>
      <c r="O37" s="596">
        <f>IF(N37="Løype",Poengsammendrag!$F$2,IF(N37="Arr",Poengsammendrag!$F$3,IF(N37="Brutt",50,IF(N37="Disk",50,ROUND(MAXA(100*(MIN(N$10:N$97)/N37),50),0)))))</f>
        <v>67</v>
      </c>
      <c r="S37" s="803" t="s">
        <v>122</v>
      </c>
      <c r="T37" s="736">
        <v>1.3096064814814816E-2</v>
      </c>
      <c r="U37" s="752">
        <v>51</v>
      </c>
      <c r="V37" s="781"/>
      <c r="W37" s="776" t="s">
        <v>80</v>
      </c>
      <c r="X37" s="740">
        <v>66</v>
      </c>
      <c r="AB37" s="828">
        <f t="shared" si="5"/>
        <v>82</v>
      </c>
      <c r="AC37" s="829">
        <f t="shared" si="3"/>
        <v>2</v>
      </c>
    </row>
    <row r="38" spans="2:29" ht="21" customHeight="1" thickBot="1" x14ac:dyDescent="0.3">
      <c r="B38" s="16">
        <f t="shared" si="4"/>
        <v>29</v>
      </c>
      <c r="C38" s="106" t="s">
        <v>124</v>
      </c>
      <c r="D38" s="107" t="s">
        <v>125</v>
      </c>
      <c r="E38" s="599" t="str">
        <f t="shared" si="0"/>
        <v>Heidi Midttun</v>
      </c>
      <c r="F38" s="192">
        <f>YEAR(I$5)-_xlfn.XLOOKUP(E38,Deltakerliste!E$5:E$98,Deltakerliste!I$5:I$98)</f>
        <v>71</v>
      </c>
      <c r="G38" s="192">
        <f>_xlfn.XLOOKUP(E38,Deltakerliste!E$5:E$98,Deltakerliste!H$5:H$98)</f>
        <v>4</v>
      </c>
      <c r="H38" s="592">
        <f>VLOOKUP(F38,Deltakerliste!P$6:T$84,G38,FALSE)</f>
        <v>1.9926000000000013</v>
      </c>
      <c r="I38" s="855"/>
      <c r="J38" s="13">
        <v>3.0439814814814815E-2</v>
      </c>
      <c r="K38" s="13"/>
      <c r="L38" s="600">
        <f t="shared" si="1"/>
        <v>1.3234702093397747E-2</v>
      </c>
      <c r="M38" s="594">
        <f>IF(L38="Løype",Poengsammendrag!$F$2,IF(L38="Arr",Poengsammendrag!$F$3,IF(L38="Brutt",50,IF(L38="Disk",50,ROUND(MAXA(100*(MIN(L$10:L$97)/L38),50),0)))))</f>
        <v>50</v>
      </c>
      <c r="N38" s="724">
        <f t="shared" si="2"/>
        <v>6.6419261735409709E-3</v>
      </c>
      <c r="O38" s="596">
        <f>IF(N38="Løype",Poengsammendrag!$F$2,IF(N38="Arr",Poengsammendrag!$F$3,IF(N38="Brutt",50,IF(N38="Disk",50,ROUND(MAXA(100*(MIN(N$10:N$97)/N38),50),0)))))</f>
        <v>66</v>
      </c>
      <c r="S38" s="803" t="s">
        <v>124</v>
      </c>
      <c r="T38" s="736">
        <v>1.3234702093397747E-2</v>
      </c>
      <c r="U38" s="752">
        <v>50</v>
      </c>
      <c r="V38" s="781"/>
      <c r="W38" s="776" t="s">
        <v>417</v>
      </c>
      <c r="X38" s="740">
        <v>65</v>
      </c>
      <c r="AB38" s="828">
        <f t="shared" si="5"/>
        <v>83</v>
      </c>
      <c r="AC38" s="829">
        <f t="shared" si="3"/>
        <v>1</v>
      </c>
    </row>
    <row r="39" spans="2:29" ht="21" customHeight="1" thickBot="1" x14ac:dyDescent="0.3">
      <c r="B39" s="16">
        <f t="shared" si="4"/>
        <v>30</v>
      </c>
      <c r="C39" s="106" t="s">
        <v>78</v>
      </c>
      <c r="D39" s="107" t="s">
        <v>79</v>
      </c>
      <c r="E39" s="599" t="str">
        <f t="shared" si="0"/>
        <v>LeifEngen</v>
      </c>
      <c r="F39" s="192">
        <f>YEAR(I$5)-_xlfn.XLOOKUP(E39,Deltakerliste!E$5:E$98,Deltakerliste!I$5:I$98)</f>
        <v>85</v>
      </c>
      <c r="G39" s="192">
        <f>_xlfn.XLOOKUP(E39,Deltakerliste!E$5:E$98,Deltakerliste!H$5:H$98)</f>
        <v>2</v>
      </c>
      <c r="H39" s="592">
        <f>VLOOKUP(F39,Deltakerliste!P$6:T$84,G39,FALSE)</f>
        <v>2.2249999999999996</v>
      </c>
      <c r="I39" s="86">
        <v>2.6655092592592591E-2</v>
      </c>
      <c r="J39" s="86"/>
      <c r="K39" s="13"/>
      <c r="L39" s="600">
        <f t="shared" si="1"/>
        <v>1.3327546296296296E-2</v>
      </c>
      <c r="M39" s="594">
        <f>IF(L39="Løype",Poengsammendrag!$F$2,IF(L39="Arr",Poengsammendrag!$F$3,IF(L39="Brutt",50,IF(L39="Disk",50,ROUND(MAXA(100*(MIN(L$10:L$97)/L39),50),0)))))</f>
        <v>50</v>
      </c>
      <c r="N39" s="724">
        <f t="shared" si="2"/>
        <v>5.9899084477736172E-3</v>
      </c>
      <c r="O39" s="596">
        <f>IF(N39="Løype",Poengsammendrag!$F$2,IF(N39="Arr",Poengsammendrag!$F$3,IF(N39="Brutt",50,IF(N39="Disk",50,ROUND(MAXA(100*(MIN(N$10:N$97)/N39),50),0)))))</f>
        <v>74</v>
      </c>
      <c r="S39" s="803" t="s">
        <v>338</v>
      </c>
      <c r="T39" s="736">
        <v>1.3327546296296296E-2</v>
      </c>
      <c r="U39" s="752">
        <v>50</v>
      </c>
      <c r="V39" s="781"/>
      <c r="W39" s="776" t="s">
        <v>222</v>
      </c>
      <c r="X39" s="740">
        <v>63</v>
      </c>
      <c r="AB39" s="828">
        <f t="shared" si="5"/>
        <v>84</v>
      </c>
      <c r="AC39" s="829">
        <f t="shared" si="3"/>
        <v>2</v>
      </c>
    </row>
    <row r="40" spans="2:29" ht="21" thickBot="1" x14ac:dyDescent="0.3">
      <c r="B40" s="16">
        <f t="shared" si="4"/>
        <v>31</v>
      </c>
      <c r="C40" s="106" t="s">
        <v>96</v>
      </c>
      <c r="D40" s="107" t="s">
        <v>97</v>
      </c>
      <c r="E40" s="599" t="str">
        <f t="shared" si="0"/>
        <v>StigHaugskott</v>
      </c>
      <c r="F40" s="192">
        <f>YEAR(I$5)-_xlfn.XLOOKUP(E40,Deltakerliste!E$5:E$98,Deltakerliste!I$5:I$98)</f>
        <v>87</v>
      </c>
      <c r="G40" s="192">
        <f>_xlfn.XLOOKUP(E40,Deltakerliste!E$5:E$98,Deltakerliste!H$5:H$98)</f>
        <v>2</v>
      </c>
      <c r="H40" s="592">
        <f>VLOOKUP(F40,Deltakerliste!P$6:T$84,G40,FALSE)</f>
        <v>2.3929999999999998</v>
      </c>
      <c r="I40" s="86">
        <v>2.675925925925926E-2</v>
      </c>
      <c r="J40" s="86"/>
      <c r="K40" s="86"/>
      <c r="L40" s="600">
        <f t="shared" si="1"/>
        <v>1.337962962962963E-2</v>
      </c>
      <c r="M40" s="594">
        <f>IF(L40="Løype",Poengsammendrag!$F$2,IF(L40="Arr",Poengsammendrag!$F$3,IF(L40="Brutt",50,IF(L40="Disk",50,ROUND(MAXA(100*(MIN(L$10:L$97)/L40),50),0)))))</f>
        <v>50</v>
      </c>
      <c r="N40" s="724">
        <f t="shared" si="2"/>
        <v>5.5911532092058633E-3</v>
      </c>
      <c r="O40" s="596">
        <f>IF(N40="Løype",Poengsammendrag!$F$2,IF(N40="Arr",Poengsammendrag!$F$3,IF(N40="Brutt",50,IF(N40="Disk",50,ROUND(MAXA(100*(MIN(N$10:N$97)/N40),50),0)))))</f>
        <v>79</v>
      </c>
      <c r="S40" s="803" t="s">
        <v>96</v>
      </c>
      <c r="T40" s="736">
        <v>1.337962962962963E-2</v>
      </c>
      <c r="U40" s="752">
        <v>50</v>
      </c>
      <c r="V40" s="781"/>
      <c r="W40" s="776" t="s">
        <v>68</v>
      </c>
      <c r="X40" s="740">
        <v>62</v>
      </c>
      <c r="AB40" s="828">
        <f t="shared" si="5"/>
        <v>85</v>
      </c>
      <c r="AC40" s="829">
        <f t="shared" si="3"/>
        <v>1</v>
      </c>
    </row>
    <row r="41" spans="2:29" ht="21" thickBot="1" x14ac:dyDescent="0.3">
      <c r="B41" s="16">
        <f t="shared" si="4"/>
        <v>32</v>
      </c>
      <c r="C41" s="106" t="s">
        <v>161</v>
      </c>
      <c r="D41" s="107" t="s">
        <v>162</v>
      </c>
      <c r="E41" s="599" t="str">
        <f t="shared" si="0"/>
        <v>Nils OlavVennevik</v>
      </c>
      <c r="F41" s="192">
        <f>YEAR(I$5)-_xlfn.XLOOKUP(E41,Deltakerliste!E$5:E$98,Deltakerliste!I$5:I$98)</f>
        <v>78</v>
      </c>
      <c r="G41" s="192">
        <f>_xlfn.XLOOKUP(E41,Deltakerliste!E$5:E$98,Deltakerliste!H$5:H$98)</f>
        <v>2</v>
      </c>
      <c r="H41" s="592">
        <f>VLOOKUP(F41,Deltakerliste!P$6:T$84,G41,FALSE)</f>
        <v>1.7550000000000001</v>
      </c>
      <c r="I41" s="132">
        <v>2.78125E-2</v>
      </c>
      <c r="J41" s="18"/>
      <c r="K41" s="18"/>
      <c r="L41" s="600">
        <f t="shared" si="1"/>
        <v>1.390625E-2</v>
      </c>
      <c r="M41" s="594">
        <f>IF(L41="Løype",Poengsammendrag!$F$2,IF(L41="Arr",Poengsammendrag!$F$3,IF(L41="Brutt",50,IF(L41="Disk",50,ROUND(MAXA(100*(MIN(L$10:L$97)/L41),50),0)))))</f>
        <v>50</v>
      </c>
      <c r="N41" s="724">
        <f t="shared" si="2"/>
        <v>7.9237891737891728E-3</v>
      </c>
      <c r="O41" s="596">
        <f>IF(N41="Løype",Poengsammendrag!$F$2,IF(N41="Arr",Poengsammendrag!$F$3,IF(N41="Brutt",50,IF(N41="Disk",50,ROUND(MAXA(100*(MIN(N$10:N$97)/N41),50),0)))))</f>
        <v>56</v>
      </c>
      <c r="S41" s="803" t="s">
        <v>161</v>
      </c>
      <c r="T41" s="736">
        <v>1.390625E-2</v>
      </c>
      <c r="U41" s="752">
        <v>50</v>
      </c>
      <c r="V41" s="781"/>
      <c r="W41" s="776" t="s">
        <v>358</v>
      </c>
      <c r="X41" s="740">
        <v>60</v>
      </c>
      <c r="AB41" s="828">
        <f t="shared" si="5"/>
        <v>86</v>
      </c>
      <c r="AC41" s="829">
        <f t="shared" si="3"/>
        <v>2</v>
      </c>
    </row>
    <row r="42" spans="2:29" ht="21" customHeight="1" thickBot="1" x14ac:dyDescent="0.3">
      <c r="B42" s="16">
        <f t="shared" si="4"/>
        <v>33</v>
      </c>
      <c r="C42" s="106" t="s">
        <v>159</v>
      </c>
      <c r="D42" s="107" t="s">
        <v>160</v>
      </c>
      <c r="E42" s="599" t="str">
        <f t="shared" ref="E42:E73" si="6">_xlfn.CONCAT(C42:D42)</f>
        <v>EigilSørli</v>
      </c>
      <c r="F42" s="192">
        <f>YEAR(I$5)-_xlfn.XLOOKUP(E42,Deltakerliste!E$5:E$98,Deltakerliste!I$5:I$98)</f>
        <v>86</v>
      </c>
      <c r="G42" s="192">
        <f>_xlfn.XLOOKUP(E42,Deltakerliste!E$5:E$98,Deltakerliste!H$5:H$98)</f>
        <v>2</v>
      </c>
      <c r="H42" s="592">
        <f>VLOOKUP(F42,Deltakerliste!P$6:T$84,G42,FALSE)</f>
        <v>2.3089999999999997</v>
      </c>
      <c r="I42" s="132">
        <v>2.7986111111111111E-2</v>
      </c>
      <c r="J42" s="18"/>
      <c r="K42" s="18"/>
      <c r="L42" s="600">
        <f t="shared" ref="L42:L58" si="7">IF(OR(I42="Arr",J42="Arr",K42="Arr"),"Arr",IF(OR(I42="Brutt",J42="Brutt",K42="Brutt"),"Brutt",IF(OR(I42="Disk",J42="Disk",K42="Disk"),"Disk",IF(OR(I42="Løype",J42="Løype",K42="Løype"),"Løype",IF(I42&gt;0,I42/I$8,J42/J$8)))))</f>
        <v>1.3993055555555555E-2</v>
      </c>
      <c r="M42" s="594">
        <f>IF(L42="Løype",Poengsammendrag!$F$2,IF(L42="Arr",Poengsammendrag!$F$3,IF(L42="Brutt",50,IF(L42="Disk",50,ROUND(MAXA(100*(MIN(L$10:L$97)/L42),50),0)))))</f>
        <v>50</v>
      </c>
      <c r="N42" s="724">
        <f t="shared" ref="N42:N58" si="8">IF(L42="Arr","Arr",IF(L42="Brutt","Brutt",IF(L42="Disk","Disk",IF(L42="Løype","Løype",L42/H42))))</f>
        <v>6.0602232808815749E-3</v>
      </c>
      <c r="O42" s="596">
        <f>IF(N42="Løype",Poengsammendrag!$F$2,IF(N42="Arr",Poengsammendrag!$F$3,IF(N42="Brutt",50,IF(N42="Disk",50,ROUND(MAXA(100*(MIN(N$10:N$97)/N42),50),0)))))</f>
        <v>73</v>
      </c>
      <c r="S42" s="803" t="s">
        <v>357</v>
      </c>
      <c r="T42" s="796">
        <v>1.3993055555555555E-2</v>
      </c>
      <c r="U42" s="765">
        <v>50</v>
      </c>
      <c r="V42" s="782"/>
      <c r="W42" s="777" t="s">
        <v>346</v>
      </c>
      <c r="X42" s="762">
        <v>57</v>
      </c>
      <c r="AB42" s="828">
        <f t="shared" si="5"/>
        <v>87</v>
      </c>
      <c r="AC42" s="829">
        <f t="shared" si="3"/>
        <v>3</v>
      </c>
    </row>
    <row r="43" spans="2:29" ht="21" thickBot="1" x14ac:dyDescent="0.3">
      <c r="B43" s="16">
        <f t="shared" si="4"/>
        <v>34</v>
      </c>
      <c r="C43" s="106" t="s">
        <v>248</v>
      </c>
      <c r="D43" s="107" t="s">
        <v>249</v>
      </c>
      <c r="E43" s="599" t="str">
        <f t="shared" si="6"/>
        <v>ErikLund</v>
      </c>
      <c r="F43" s="192">
        <f>YEAR(I$5)-_xlfn.XLOOKUP(E43,Deltakerliste!E$5:E$98,Deltakerliste!I$5:I$98)</f>
        <v>79</v>
      </c>
      <c r="G43" s="192">
        <f>_xlfn.XLOOKUP(E43,Deltakerliste!E$5:E$98,Deltakerliste!H$5:H$98)</f>
        <v>2</v>
      </c>
      <c r="H43" s="592">
        <f>VLOOKUP(F43,Deltakerliste!P$6:T$84,G43,FALSE)</f>
        <v>1.8050000000000002</v>
      </c>
      <c r="I43" s="13">
        <v>2.8148148148148148E-2</v>
      </c>
      <c r="J43" s="13"/>
      <c r="K43" s="17"/>
      <c r="L43" s="600">
        <f t="shared" si="7"/>
        <v>1.4074074074074074E-2</v>
      </c>
      <c r="M43" s="594">
        <f>IF(L43="Løype",Poengsammendrag!$F$2,IF(L43="Arr",Poengsammendrag!$F$3,IF(L43="Brutt",50,IF(L43="Disk",50,ROUND(MAXA(100*(MIN(L$10:L$97)/L43),50),0)))))</f>
        <v>50</v>
      </c>
      <c r="N43" s="724">
        <f t="shared" si="8"/>
        <v>7.7972709551656916E-3</v>
      </c>
      <c r="O43" s="596">
        <f>IF(N43="Løype",Poengsammendrag!$F$2,IF(N43="Arr",Poengsammendrag!$F$3,IF(N43="Brutt",50,IF(N43="Disk",50,ROUND(MAXA(100*(MIN(N$10:N$97)/N43),50),0)))))</f>
        <v>57</v>
      </c>
      <c r="S43" s="803" t="s">
        <v>248</v>
      </c>
      <c r="T43" s="797">
        <v>1.4074074074074074E-2</v>
      </c>
      <c r="U43" s="770">
        <v>50</v>
      </c>
      <c r="V43" s="778"/>
      <c r="W43" s="783" t="s">
        <v>248</v>
      </c>
      <c r="X43" s="740">
        <v>57</v>
      </c>
      <c r="AB43" s="828">
        <f t="shared" si="5"/>
        <v>88</v>
      </c>
      <c r="AC43" s="829">
        <f t="shared" si="3"/>
        <v>0</v>
      </c>
    </row>
    <row r="44" spans="2:29" ht="21" customHeight="1" thickBot="1" x14ac:dyDescent="0.3">
      <c r="B44" s="16">
        <f t="shared" si="4"/>
        <v>35</v>
      </c>
      <c r="C44" s="106" t="s">
        <v>64</v>
      </c>
      <c r="D44" s="107" t="s">
        <v>267</v>
      </c>
      <c r="E44" s="599" t="str">
        <f t="shared" si="6"/>
        <v>BjørnBrenne</v>
      </c>
      <c r="F44" s="192">
        <f>YEAR(I$5)-_xlfn.XLOOKUP(E44,Deltakerliste!E$5:E$98,Deltakerliste!I$5:I$98)</f>
        <v>81</v>
      </c>
      <c r="G44" s="192">
        <f>_xlfn.XLOOKUP(E44,Deltakerliste!E$5:E$98,Deltakerliste!H$5:H$98)</f>
        <v>2</v>
      </c>
      <c r="H44" s="592">
        <f>VLOOKUP(F44,Deltakerliste!P$6:T$84,G44,FALSE)</f>
        <v>1.9290000000000003</v>
      </c>
      <c r="I44" s="86">
        <v>2.8344907407407409E-2</v>
      </c>
      <c r="J44" s="86"/>
      <c r="K44" s="13"/>
      <c r="L44" s="600">
        <f t="shared" si="7"/>
        <v>1.4172453703703704E-2</v>
      </c>
      <c r="M44" s="594">
        <f>IF(L44="Løype",Poengsammendrag!$F$2,IF(L44="Arr",Poengsammendrag!$F$3,IF(L44="Brutt",50,IF(L44="Disk",50,ROUND(MAXA(100*(MIN(L$10:L$97)/L44),50),0)))))</f>
        <v>50</v>
      </c>
      <c r="N44" s="724">
        <f t="shared" si="8"/>
        <v>7.3470470211009341E-3</v>
      </c>
      <c r="O44" s="596">
        <f>IF(N44="Løype",Poengsammendrag!$F$2,IF(N44="Arr",Poengsammendrag!$F$3,IF(N44="Brutt",50,IF(N44="Disk",50,ROUND(MAXA(100*(MIN(N$10:N$97)/N44),50),0)))))</f>
        <v>60</v>
      </c>
      <c r="S44" s="803" t="s">
        <v>358</v>
      </c>
      <c r="T44" s="797">
        <v>1.4172453703703704E-2</v>
      </c>
      <c r="U44" s="770">
        <v>50</v>
      </c>
      <c r="V44" s="772"/>
      <c r="W44" s="783" t="s">
        <v>161</v>
      </c>
      <c r="X44" s="740">
        <v>56</v>
      </c>
      <c r="AB44" s="828">
        <f t="shared" si="5"/>
        <v>89</v>
      </c>
      <c r="AC44" s="829">
        <f t="shared" si="3"/>
        <v>0</v>
      </c>
    </row>
    <row r="45" spans="2:29" ht="21" thickBot="1" x14ac:dyDescent="0.3">
      <c r="B45" s="16">
        <f t="shared" si="4"/>
        <v>36</v>
      </c>
      <c r="C45" s="106" t="s">
        <v>66</v>
      </c>
      <c r="D45" s="107" t="s">
        <v>67</v>
      </c>
      <c r="E45" s="599" t="str">
        <f t="shared" si="6"/>
        <v>FrankBjarkø</v>
      </c>
      <c r="F45" s="192">
        <f>YEAR(I$5)-_xlfn.XLOOKUP(E45,Deltakerliste!E$5:E$98,Deltakerliste!I$5:I$98)</f>
        <v>74</v>
      </c>
      <c r="G45" s="192">
        <f>_xlfn.XLOOKUP(E45,Deltakerliste!E$5:E$98,Deltakerliste!H$5:H$98)</f>
        <v>2</v>
      </c>
      <c r="H45" s="592">
        <f>VLOOKUP(F45,Deltakerliste!P$6:T$84,G45,FALSE)</f>
        <v>1.569</v>
      </c>
      <c r="I45" s="13"/>
      <c r="J45" s="13">
        <v>3.2997685185185185E-2</v>
      </c>
      <c r="K45" s="13"/>
      <c r="L45" s="600">
        <f t="shared" si="7"/>
        <v>1.434681964573269E-2</v>
      </c>
      <c r="M45" s="594">
        <f>IF(L45="Løype",Poengsammendrag!$F$2,IF(L45="Arr",Poengsammendrag!$F$3,IF(L45="Brutt",50,IF(L45="Disk",50,ROUND(MAXA(100*(MIN(L$10:L$97)/L45),50),0)))))</f>
        <v>50</v>
      </c>
      <c r="N45" s="724">
        <f t="shared" si="8"/>
        <v>9.1439258417671705E-3</v>
      </c>
      <c r="O45" s="596">
        <f>IF(N45="Løype",Poengsammendrag!$F$2,IF(N45="Arr",Poengsammendrag!$F$3,IF(N45="Brutt",50,IF(N45="Disk",50,ROUND(MAXA(100*(MIN(N$10:N$97)/N45),50),0)))))</f>
        <v>50</v>
      </c>
      <c r="S45" s="803" t="s">
        <v>66</v>
      </c>
      <c r="T45" s="797">
        <v>1.434681964573269E-2</v>
      </c>
      <c r="U45" s="770">
        <v>50</v>
      </c>
      <c r="V45" s="772"/>
      <c r="W45" s="783" t="s">
        <v>76</v>
      </c>
      <c r="X45" s="740">
        <v>55</v>
      </c>
      <c r="AB45" s="828">
        <f t="shared" si="5"/>
        <v>90</v>
      </c>
      <c r="AC45" s="829">
        <f t="shared" si="3"/>
        <v>0</v>
      </c>
    </row>
    <row r="46" spans="2:29" ht="21" thickBot="1" x14ac:dyDescent="0.3">
      <c r="B46" s="16">
        <f t="shared" si="4"/>
        <v>37</v>
      </c>
      <c r="C46" s="106" t="s">
        <v>116</v>
      </c>
      <c r="D46" s="107" t="s">
        <v>165</v>
      </c>
      <c r="E46" s="599" t="str">
        <f t="shared" si="6"/>
        <v>AndersWaage</v>
      </c>
      <c r="F46" s="192">
        <f>YEAR(I$5)-_xlfn.XLOOKUP(E46,Deltakerliste!E$5:E$98,Deltakerliste!I$5:I$98)</f>
        <v>78</v>
      </c>
      <c r="G46" s="192">
        <f>_xlfn.XLOOKUP(E46,Deltakerliste!E$5:E$98,Deltakerliste!H$5:H$98)</f>
        <v>2</v>
      </c>
      <c r="H46" s="592">
        <f>VLOOKUP(F46,Deltakerliste!P$6:T$84,G46,FALSE)</f>
        <v>1.7550000000000001</v>
      </c>
      <c r="I46" s="18"/>
      <c r="J46" s="132">
        <v>3.3530092592592591E-2</v>
      </c>
      <c r="K46" s="18"/>
      <c r="L46" s="600">
        <f t="shared" si="7"/>
        <v>1.4578301127214172E-2</v>
      </c>
      <c r="M46" s="594">
        <f>IF(L46="Løype",Poengsammendrag!$F$2,IF(L46="Arr",Poengsammendrag!$F$3,IF(L46="Brutt",50,IF(L46="Disk",50,ROUND(MAXA(100*(MIN(L$10:L$97)/L46),50),0)))))</f>
        <v>50</v>
      </c>
      <c r="N46" s="724">
        <f t="shared" si="8"/>
        <v>8.3067242890109243E-3</v>
      </c>
      <c r="O46" s="596">
        <f>IF(N46="Løype",Poengsammendrag!$F$2,IF(N46="Arr",Poengsammendrag!$F$3,IF(N46="Brutt",50,IF(N46="Disk",50,ROUND(MAXA(100*(MIN(N$10:N$97)/N46),50),0)))))</f>
        <v>53</v>
      </c>
      <c r="S46" s="803" t="s">
        <v>314</v>
      </c>
      <c r="T46" s="797">
        <v>1.4578301127214172E-2</v>
      </c>
      <c r="U46" s="770">
        <v>50</v>
      </c>
      <c r="V46" s="772"/>
      <c r="W46" s="783" t="s">
        <v>411</v>
      </c>
      <c r="X46" s="740">
        <v>54</v>
      </c>
      <c r="AB46" s="828">
        <f t="shared" si="5"/>
        <v>91</v>
      </c>
      <c r="AC46" s="829">
        <f t="shared" si="3"/>
        <v>0</v>
      </c>
    </row>
    <row r="47" spans="2:29" ht="21" customHeight="1" thickBot="1" x14ac:dyDescent="0.3">
      <c r="B47" s="16">
        <f t="shared" si="4"/>
        <v>38</v>
      </c>
      <c r="C47" s="106" t="s">
        <v>116</v>
      </c>
      <c r="D47" s="107" t="s">
        <v>117</v>
      </c>
      <c r="E47" s="599" t="str">
        <f t="shared" si="6"/>
        <v>AndersLauglo</v>
      </c>
      <c r="F47" s="192">
        <f>YEAR(I$5)-_xlfn.XLOOKUP(E47,Deltakerliste!E$5:E$98,Deltakerliste!I$5:I$98)</f>
        <v>87</v>
      </c>
      <c r="G47" s="192">
        <f>_xlfn.XLOOKUP(E47,Deltakerliste!E$5:E$98,Deltakerliste!H$5:H$98)</f>
        <v>2</v>
      </c>
      <c r="H47" s="592">
        <f>VLOOKUP(F47,Deltakerliste!P$6:T$84,G47,FALSE)</f>
        <v>2.3929999999999998</v>
      </c>
      <c r="I47" s="13"/>
      <c r="J47" s="13">
        <v>3.4039351851851848E-2</v>
      </c>
      <c r="K47" s="86"/>
      <c r="L47" s="600">
        <f t="shared" si="7"/>
        <v>1.4799718196457326E-2</v>
      </c>
      <c r="M47" s="594">
        <f>IF(L47="Løype",Poengsammendrag!$F$2,IF(L47="Arr",Poengsammendrag!$F$3,IF(L47="Brutt",50,IF(L47="Disk",50,ROUND(MAXA(100*(MIN(L$10:L$97)/L47),50),0)))))</f>
        <v>50</v>
      </c>
      <c r="N47" s="724">
        <f t="shared" si="8"/>
        <v>6.1845876291087868E-3</v>
      </c>
      <c r="O47" s="596">
        <f>IF(N47="Løype",Poengsammendrag!$F$2,IF(N47="Arr",Poengsammendrag!$F$3,IF(N47="Brutt",50,IF(N47="Disk",50,ROUND(MAXA(100*(MIN(N$10:N$97)/N47),50),0)))))</f>
        <v>71</v>
      </c>
      <c r="S47" s="803" t="s">
        <v>315</v>
      </c>
      <c r="T47" s="797">
        <v>1.4799718196457326E-2</v>
      </c>
      <c r="U47" s="770">
        <v>50</v>
      </c>
      <c r="V47" s="772"/>
      <c r="W47" s="783" t="s">
        <v>314</v>
      </c>
      <c r="X47" s="740">
        <v>53</v>
      </c>
      <c r="AB47" s="828">
        <f t="shared" si="5"/>
        <v>92</v>
      </c>
      <c r="AC47" s="829">
        <f t="shared" si="3"/>
        <v>0</v>
      </c>
    </row>
    <row r="48" spans="2:29" ht="21" customHeight="1" thickBot="1" x14ac:dyDescent="0.3">
      <c r="B48" s="16">
        <f t="shared" si="4"/>
        <v>39</v>
      </c>
      <c r="C48" s="106" t="s">
        <v>130</v>
      </c>
      <c r="D48" s="107" t="s">
        <v>131</v>
      </c>
      <c r="E48" s="599" t="str">
        <f t="shared" si="6"/>
        <v>AtleMørk</v>
      </c>
      <c r="F48" s="192">
        <f>YEAR(I$5)-_xlfn.XLOOKUP(E48,Deltakerliste!E$5:E$98,Deltakerliste!I$5:I$98)</f>
        <v>77</v>
      </c>
      <c r="G48" s="192">
        <f>_xlfn.XLOOKUP(E48,Deltakerliste!E$5:E$98,Deltakerliste!H$5:H$98)</f>
        <v>2</v>
      </c>
      <c r="H48" s="592">
        <f>VLOOKUP(F48,Deltakerliste!P$6:T$84,G48,FALSE)</f>
        <v>1.7050000000000001</v>
      </c>
      <c r="I48" s="132">
        <v>3.0162037037037036E-2</v>
      </c>
      <c r="J48" s="103"/>
      <c r="K48" s="132"/>
      <c r="L48" s="600">
        <f t="shared" si="7"/>
        <v>1.5081018518518518E-2</v>
      </c>
      <c r="M48" s="594">
        <f>IF(L48="Løype",Poengsammendrag!$F$2,IF(L48="Arr",Poengsammendrag!$F$3,IF(L48="Brutt",50,IF(L48="Disk",50,ROUND(MAXA(100*(MIN(L$10:L$97)/L48),50),0)))))</f>
        <v>50</v>
      </c>
      <c r="N48" s="724">
        <f t="shared" si="8"/>
        <v>8.845172151623764E-3</v>
      </c>
      <c r="O48" s="596">
        <f>IF(N48="Løype",Poengsammendrag!$F$2,IF(N48="Arr",Poengsammendrag!$F$3,IF(N48="Brutt",50,IF(N48="Disk",50,ROUND(MAXA(100*(MIN(N$10:N$97)/N48),50),0)))))</f>
        <v>50</v>
      </c>
      <c r="S48" s="803" t="s">
        <v>130</v>
      </c>
      <c r="T48" s="797">
        <v>1.5081018518518518E-2</v>
      </c>
      <c r="U48" s="770">
        <v>50</v>
      </c>
      <c r="V48" s="772"/>
      <c r="W48" s="783" t="s">
        <v>153</v>
      </c>
      <c r="X48" s="740">
        <v>51</v>
      </c>
      <c r="AB48" s="828">
        <f t="shared" si="5"/>
        <v>93</v>
      </c>
      <c r="AC48" s="829">
        <f t="shared" si="3"/>
        <v>0</v>
      </c>
    </row>
    <row r="49" spans="2:29" ht="21" customHeight="1" thickBot="1" x14ac:dyDescent="0.3">
      <c r="B49" s="16">
        <f t="shared" si="4"/>
        <v>40</v>
      </c>
      <c r="C49" s="106" t="s">
        <v>417</v>
      </c>
      <c r="D49" s="107" t="s">
        <v>267</v>
      </c>
      <c r="E49" s="599" t="str">
        <f t="shared" si="6"/>
        <v>Anne LiseBrenne</v>
      </c>
      <c r="F49" s="192">
        <f>YEAR(I$5)-_xlfn.XLOOKUP(E49,Deltakerliste!E$5:E$98,Deltakerliste!I$5:I$98)</f>
        <v>79</v>
      </c>
      <c r="G49" s="192">
        <f>_xlfn.XLOOKUP(E49,Deltakerliste!E$5:E$98,Deltakerliste!H$5:H$98)</f>
        <v>4</v>
      </c>
      <c r="H49" s="592">
        <f>VLOOKUP(F49,Deltakerliste!P$6:T$84,G49,FALSE)</f>
        <v>2.3974000000000011</v>
      </c>
      <c r="I49" s="13">
        <v>3.2731481481481479E-2</v>
      </c>
      <c r="J49" s="13"/>
      <c r="K49" s="13"/>
      <c r="L49" s="600">
        <f t="shared" si="7"/>
        <v>1.636574074074074E-2</v>
      </c>
      <c r="M49" s="594">
        <f>IF(L49="Løype",Poengsammendrag!$F$2,IF(L49="Arr",Poengsammendrag!$F$3,IF(L49="Brutt",50,IF(L49="Disk",50,ROUND(MAXA(100*(MIN(L$10:L$97)/L49),50),0)))))</f>
        <v>50</v>
      </c>
      <c r="N49" s="724">
        <f t="shared" si="8"/>
        <v>6.8264539671063374E-3</v>
      </c>
      <c r="O49" s="596">
        <f>IF(N49="Løype",Poengsammendrag!$F$2,IF(N49="Arr",Poengsammendrag!$F$3,IF(N49="Brutt",50,IF(N49="Disk",50,ROUND(MAXA(100*(MIN(N$10:N$97)/N49),50),0)))))</f>
        <v>65</v>
      </c>
      <c r="S49" s="803" t="s">
        <v>417</v>
      </c>
      <c r="T49" s="796">
        <v>1.636574074074074E-2</v>
      </c>
      <c r="U49" s="793">
        <v>50</v>
      </c>
      <c r="V49" s="794"/>
      <c r="W49" s="795" t="s">
        <v>337</v>
      </c>
      <c r="X49" s="762">
        <v>50</v>
      </c>
      <c r="AB49" s="828">
        <f t="shared" si="5"/>
        <v>94</v>
      </c>
      <c r="AC49" s="829">
        <f t="shared" si="3"/>
        <v>0</v>
      </c>
    </row>
    <row r="50" spans="2:29" ht="21" thickBot="1" x14ac:dyDescent="0.3">
      <c r="B50" s="16">
        <f t="shared" si="4"/>
        <v>41</v>
      </c>
      <c r="C50" s="106" t="s">
        <v>153</v>
      </c>
      <c r="D50" s="107" t="s">
        <v>154</v>
      </c>
      <c r="E50" s="599" t="str">
        <f t="shared" si="6"/>
        <v>ReidunSmaavik</v>
      </c>
      <c r="F50" s="192">
        <f>YEAR(I$5)-_xlfn.XLOOKUP(E50,Deltakerliste!E$5:E$98,Deltakerliste!I$5:I$98)</f>
        <v>71</v>
      </c>
      <c r="G50" s="192">
        <f>_xlfn.XLOOKUP(E50,Deltakerliste!E$5:E$98,Deltakerliste!H$5:H$98)</f>
        <v>4</v>
      </c>
      <c r="H50" s="592">
        <f>VLOOKUP(F50,Deltakerliste!P$6:T$84,G50,FALSE)</f>
        <v>1.9926000000000013</v>
      </c>
      <c r="I50" s="132">
        <v>3.439814814814815E-2</v>
      </c>
      <c r="J50" s="18"/>
      <c r="K50" s="18"/>
      <c r="L50" s="600">
        <f t="shared" si="7"/>
        <v>1.7199074074074075E-2</v>
      </c>
      <c r="M50" s="594">
        <f>IF(L50="Løype",Poengsammendrag!$F$2,IF(L50="Arr",Poengsammendrag!$F$3,IF(L50="Brutt",50,IF(L50="Disk",50,ROUND(MAXA(100*(MIN(L$10:L$97)/L50),50),0)))))</f>
        <v>50</v>
      </c>
      <c r="N50" s="724">
        <f t="shared" si="8"/>
        <v>8.6314734889461325E-3</v>
      </c>
      <c r="O50" s="596">
        <f>IF(N50="Løype",Poengsammendrag!$F$2,IF(N50="Arr",Poengsammendrag!$F$3,IF(N50="Brutt",50,IF(N50="Disk",50,ROUND(MAXA(100*(MIN(N$10:N$97)/N50),50),0)))))</f>
        <v>51</v>
      </c>
      <c r="S50" s="803" t="s">
        <v>153</v>
      </c>
      <c r="T50" s="851">
        <v>1.7199074074074075E-2</v>
      </c>
      <c r="U50" s="770">
        <v>50</v>
      </c>
      <c r="V50" s="772"/>
      <c r="W50" s="783" t="s">
        <v>130</v>
      </c>
      <c r="X50" s="740">
        <v>50</v>
      </c>
      <c r="AB50" s="830">
        <f t="shared" si="5"/>
        <v>95</v>
      </c>
      <c r="AC50" s="831">
        <f t="shared" si="3"/>
        <v>0</v>
      </c>
    </row>
    <row r="51" spans="2:29" ht="21" customHeight="1" thickBot="1" x14ac:dyDescent="0.3">
      <c r="B51" s="16">
        <f t="shared" si="4"/>
        <v>42</v>
      </c>
      <c r="C51" s="106" t="s">
        <v>78</v>
      </c>
      <c r="D51" s="107" t="s">
        <v>146</v>
      </c>
      <c r="E51" s="599" t="str">
        <f t="shared" si="6"/>
        <v>LeifRøhjell</v>
      </c>
      <c r="F51" s="192">
        <f>YEAR(I$5)-_xlfn.XLOOKUP(E51,Deltakerliste!E$5:E$98,Deltakerliste!I$5:I$98)</f>
        <v>82</v>
      </c>
      <c r="G51" s="192">
        <f>_xlfn.XLOOKUP(E51,Deltakerliste!E$5:E$98,Deltakerliste!H$5:H$98)</f>
        <v>2</v>
      </c>
      <c r="H51" s="592">
        <f>VLOOKUP(F51,Deltakerliste!P$6:T$84,G51,FALSE)</f>
        <v>2.0030000000000001</v>
      </c>
      <c r="I51" s="132">
        <v>3.5196759259259261E-2</v>
      </c>
      <c r="J51" s="18"/>
      <c r="K51" s="18"/>
      <c r="L51" s="600">
        <f t="shared" si="7"/>
        <v>1.759837962962963E-2</v>
      </c>
      <c r="M51" s="594">
        <f>IF(L51="Løype",Poengsammendrag!$F$2,IF(L51="Arr",Poengsammendrag!$F$3,IF(L51="Brutt",50,IF(L51="Disk",50,ROUND(MAXA(100*(MIN(L$10:L$97)/L51),50),0)))))</f>
        <v>50</v>
      </c>
      <c r="N51" s="724">
        <f t="shared" si="8"/>
        <v>8.78601079861689E-3</v>
      </c>
      <c r="O51" s="596">
        <f>IF(N51="Løype",Poengsammendrag!$F$2,IF(N51="Arr",Poengsammendrag!$F$3,IF(N51="Brutt",50,IF(N51="Disk",50,ROUND(MAXA(100*(MIN(N$10:N$97)/N51),50),0)))))</f>
        <v>50</v>
      </c>
      <c r="S51" s="803" t="s">
        <v>337</v>
      </c>
      <c r="T51" s="797">
        <v>1.759837962962963E-2</v>
      </c>
      <c r="U51" s="770">
        <v>50</v>
      </c>
      <c r="V51" s="772"/>
      <c r="W51" s="783" t="s">
        <v>385</v>
      </c>
      <c r="X51" s="740">
        <v>50</v>
      </c>
    </row>
    <row r="52" spans="2:29" ht="21" thickBot="1" x14ac:dyDescent="0.3">
      <c r="B52" s="16">
        <f t="shared" si="4"/>
        <v>43</v>
      </c>
      <c r="C52" s="106" t="s">
        <v>63</v>
      </c>
      <c r="D52" s="107" t="s">
        <v>105</v>
      </c>
      <c r="E52" s="599" t="str">
        <f t="shared" si="6"/>
        <v>ToreKiste</v>
      </c>
      <c r="F52" s="192">
        <f>YEAR(I$5)-_xlfn.XLOOKUP(E52,Deltakerliste!E$5:E$98,Deltakerliste!I$5:I$98)</f>
        <v>81</v>
      </c>
      <c r="G52" s="192">
        <f>_xlfn.XLOOKUP(E52,Deltakerliste!E$5:E$98,Deltakerliste!H$5:H$98)</f>
        <v>2</v>
      </c>
      <c r="H52" s="592">
        <f>VLOOKUP(F52,Deltakerliste!P$6:T$84,G52,FALSE)</f>
        <v>1.9290000000000003</v>
      </c>
      <c r="I52" s="86">
        <v>3.7083333333333336E-2</v>
      </c>
      <c r="J52" s="86"/>
      <c r="K52" s="13"/>
      <c r="L52" s="600">
        <f t="shared" si="7"/>
        <v>1.8541666666666668E-2</v>
      </c>
      <c r="M52" s="594">
        <f>IF(L52="Løype",Poengsammendrag!$F$2,IF(L52="Arr",Poengsammendrag!$F$3,IF(L52="Brutt",50,IF(L52="Disk",50,ROUND(MAXA(100*(MIN(L$10:L$97)/L52),50),0)))))</f>
        <v>50</v>
      </c>
      <c r="N52" s="724">
        <f t="shared" si="8"/>
        <v>9.6120615171937096E-3</v>
      </c>
      <c r="O52" s="596">
        <f>IF(N52="Løype",Poengsammendrag!$F$2,IF(N52="Arr",Poengsammendrag!$F$3,IF(N52="Brutt",50,IF(N52="Disk",50,ROUND(MAXA(100*(MIN(N$10:N$97)/N52),50),0)))))</f>
        <v>50</v>
      </c>
      <c r="S52" s="803" t="s">
        <v>339</v>
      </c>
      <c r="T52" s="797">
        <v>1.8541666666666668E-2</v>
      </c>
      <c r="U52" s="770">
        <v>50</v>
      </c>
      <c r="V52" s="772"/>
      <c r="W52" s="783" t="s">
        <v>66</v>
      </c>
      <c r="X52" s="740">
        <v>50</v>
      </c>
      <c r="AC52" s="651">
        <f>SUM(AC10:AC50)</f>
        <v>49</v>
      </c>
    </row>
    <row r="53" spans="2:29" ht="21" thickBot="1" x14ac:dyDescent="0.3">
      <c r="B53" s="16">
        <f t="shared" si="4"/>
        <v>44</v>
      </c>
      <c r="C53" s="106" t="s">
        <v>411</v>
      </c>
      <c r="D53" s="107" t="s">
        <v>412</v>
      </c>
      <c r="E53" s="599" t="str">
        <f t="shared" si="6"/>
        <v>HenrySundsetvik</v>
      </c>
      <c r="F53" s="192">
        <f>YEAR(I$5)-_xlfn.XLOOKUP(E53,Deltakerliste!E$5:E$98,Deltakerliste!I$5:I$98)</f>
        <v>86</v>
      </c>
      <c r="G53" s="192">
        <f>_xlfn.XLOOKUP(E53,Deltakerliste!E$5:E$98,Deltakerliste!H$5:H$98)</f>
        <v>2</v>
      </c>
      <c r="H53" s="592">
        <f>VLOOKUP(F53,Deltakerliste!P$6:T$84,G53,FALSE)</f>
        <v>2.3089999999999997</v>
      </c>
      <c r="I53" s="132">
        <v>3.7557870370370373E-2</v>
      </c>
      <c r="J53" s="132"/>
      <c r="K53" s="18"/>
      <c r="L53" s="600">
        <f t="shared" si="7"/>
        <v>1.8778935185185187E-2</v>
      </c>
      <c r="M53" s="594">
        <f>IF(L53="Løype",Poengsammendrag!$F$2,IF(L53="Arr",Poengsammendrag!$F$3,IF(L53="Brutt",50,IF(L53="Disk",50,ROUND(MAXA(100*(MIN(L$10:L$97)/L53),50),0)))))</f>
        <v>50</v>
      </c>
      <c r="N53" s="724">
        <f t="shared" si="8"/>
        <v>8.1329299199589377E-3</v>
      </c>
      <c r="O53" s="596">
        <f>IF(N53="Løype",Poengsammendrag!$F$2,IF(N53="Arr",Poengsammendrag!$F$3,IF(N53="Brutt",50,IF(N53="Disk",50,ROUND(MAXA(100*(MIN(N$10:N$97)/N53),50),0)))))</f>
        <v>54</v>
      </c>
      <c r="S53" s="803" t="s">
        <v>411</v>
      </c>
      <c r="T53" s="797">
        <v>1.8778935185185187E-2</v>
      </c>
      <c r="U53" s="770">
        <v>50</v>
      </c>
      <c r="V53" s="772"/>
      <c r="W53" s="783" t="s">
        <v>339</v>
      </c>
      <c r="X53" s="740">
        <v>50</v>
      </c>
    </row>
    <row r="54" spans="2:29" ht="21" thickBot="1" x14ac:dyDescent="0.3">
      <c r="B54" s="16">
        <f t="shared" si="4"/>
        <v>45</v>
      </c>
      <c r="C54" s="106" t="s">
        <v>60</v>
      </c>
      <c r="D54" s="107" t="s">
        <v>372</v>
      </c>
      <c r="E54" s="599" t="str">
        <f t="shared" si="6"/>
        <v>JosteinGrepstad</v>
      </c>
      <c r="F54" s="192">
        <f>YEAR(I$5)-_xlfn.XLOOKUP(E54,Deltakerliste!E$5:E$98,Deltakerliste!I$5:I$98)</f>
        <v>75</v>
      </c>
      <c r="G54" s="192">
        <f>_xlfn.XLOOKUP(E54,Deltakerliste!E$5:E$98,Deltakerliste!H$5:H$98)</f>
        <v>2</v>
      </c>
      <c r="H54" s="592">
        <f>VLOOKUP(F54,Deltakerliste!P$6:T$84,G54,FALSE)</f>
        <v>1.605</v>
      </c>
      <c r="I54" s="14">
        <v>3.9178240740740743E-2</v>
      </c>
      <c r="J54" s="14"/>
      <c r="K54" s="18"/>
      <c r="L54" s="600">
        <f t="shared" si="7"/>
        <v>1.9589120370370371E-2</v>
      </c>
      <c r="M54" s="594">
        <f>IF(L54="Løype",Poengsammendrag!$F$2,IF(L54="Arr",Poengsammendrag!$F$3,IF(L54="Brutt",50,IF(L54="Disk",50,ROUND(MAXA(100*(MIN(L$10:L$97)/L54),50),0)))))</f>
        <v>50</v>
      </c>
      <c r="N54" s="724">
        <f t="shared" si="8"/>
        <v>1.2205059420791508E-2</v>
      </c>
      <c r="O54" s="596">
        <f>IF(N54="Løype",Poengsammendrag!$F$2,IF(N54="Arr",Poengsammendrag!$F$3,IF(N54="Brutt",50,IF(N54="Disk",50,ROUND(MAXA(100*(MIN(N$10:N$97)/N54),50),0)))))</f>
        <v>50</v>
      </c>
      <c r="S54" s="846" t="s">
        <v>60</v>
      </c>
      <c r="T54" s="909">
        <v>1.9589120370370371E-2</v>
      </c>
      <c r="U54" s="848">
        <v>50</v>
      </c>
      <c r="V54" s="778"/>
      <c r="W54" s="849" t="s">
        <v>108</v>
      </c>
      <c r="X54" s="850">
        <v>50</v>
      </c>
    </row>
    <row r="55" spans="2:29" ht="21" customHeight="1" thickBot="1" x14ac:dyDescent="0.3">
      <c r="B55" s="16">
        <f t="shared" si="4"/>
        <v>46</v>
      </c>
      <c r="C55" s="106" t="s">
        <v>108</v>
      </c>
      <c r="D55" s="107" t="s">
        <v>109</v>
      </c>
      <c r="E55" s="599" t="str">
        <f t="shared" si="6"/>
        <v>Finn FayeKnudsen</v>
      </c>
      <c r="F55" s="192">
        <f>YEAR(I$5)-_xlfn.XLOOKUP(E55,Deltakerliste!E$5:E$98,Deltakerliste!I$5:I$98)</f>
        <v>84</v>
      </c>
      <c r="G55" s="192">
        <f>_xlfn.XLOOKUP(E55,Deltakerliste!E$5:E$98,Deltakerliste!H$5:H$98)</f>
        <v>2</v>
      </c>
      <c r="H55" s="592">
        <f>VLOOKUP(F55,Deltakerliste!P$6:T$84,G55,FALSE)</f>
        <v>2.1509999999999998</v>
      </c>
      <c r="I55" s="86">
        <v>5.0949074074074077E-2</v>
      </c>
      <c r="J55" s="86"/>
      <c r="K55" s="13"/>
      <c r="L55" s="600">
        <f t="shared" si="7"/>
        <v>2.5474537037037039E-2</v>
      </c>
      <c r="M55" s="594">
        <f>IF(L55="Løype",Poengsammendrag!$F$2,IF(L55="Arr",Poengsammendrag!$F$3,IF(L55="Brutt",50,IF(L55="Disk",50,ROUND(MAXA(100*(MIN(L$10:L$97)/L55),50),0)))))</f>
        <v>50</v>
      </c>
      <c r="N55" s="724">
        <f t="shared" si="8"/>
        <v>1.1843113452829866E-2</v>
      </c>
      <c r="O55" s="596">
        <f>IF(N55="Løype",Poengsammendrag!$F$2,IF(N55="Arr",Poengsammendrag!$F$3,IF(N55="Brutt",50,IF(N55="Disk",50,ROUND(MAXA(100*(MIN(N$10:N$97)/N55),50),0)))))</f>
        <v>50</v>
      </c>
      <c r="S55" s="803" t="s">
        <v>108</v>
      </c>
      <c r="T55" s="797">
        <v>2.5474537037037039E-2</v>
      </c>
      <c r="U55" s="770">
        <v>50</v>
      </c>
      <c r="V55" s="772"/>
      <c r="W55" s="783" t="s">
        <v>60</v>
      </c>
      <c r="X55" s="740">
        <v>50</v>
      </c>
    </row>
    <row r="56" spans="2:29" ht="21" thickBot="1" x14ac:dyDescent="0.3">
      <c r="B56" s="16">
        <f t="shared" si="4"/>
        <v>47</v>
      </c>
      <c r="C56" s="106" t="s">
        <v>207</v>
      </c>
      <c r="D56" s="107" t="s">
        <v>89</v>
      </c>
      <c r="E56" s="599" t="str">
        <f t="shared" si="6"/>
        <v>AnneFuruholt</v>
      </c>
      <c r="F56" s="192">
        <f>YEAR(I$5)-_xlfn.XLOOKUP(E56,Deltakerliste!E$5:E$98,Deltakerliste!I$5:I$98)</f>
        <v>79</v>
      </c>
      <c r="G56" s="192">
        <f>_xlfn.XLOOKUP(E56,Deltakerliste!E$5:E$98,Deltakerliste!H$5:H$98)</f>
        <v>4</v>
      </c>
      <c r="H56" s="592">
        <f>VLOOKUP(F56,Deltakerliste!P$6:T$84,G56,FALSE)</f>
        <v>2.3974000000000011</v>
      </c>
      <c r="I56" s="13"/>
      <c r="J56" s="13" t="s">
        <v>7</v>
      </c>
      <c r="K56" s="13"/>
      <c r="L56" s="600" t="str">
        <f t="shared" si="7"/>
        <v>Arr</v>
      </c>
      <c r="M56" s="594">
        <f>IF(L56="Løype",Poengsammendrag!$F$2,IF(L56="Arr",Poengsammendrag!$F$3,IF(L56="Brutt",50,IF(L56="Disk",50,ROUND(MAXA(100*(MIN(L$10:L$97)/L56),50),0)))))</f>
        <v>94</v>
      </c>
      <c r="N56" s="724" t="str">
        <f t="shared" si="8"/>
        <v>Arr</v>
      </c>
      <c r="O56" s="596">
        <f>IF(N56="Løype",Poengsammendrag!$F$2,IF(N56="Arr",Poengsammendrag!$F$3,IF(N56="Brutt",50,IF(N56="Disk",50,ROUND(MAXA(100*(MIN(N$10:N$97)/N56),50),0)))))</f>
        <v>94</v>
      </c>
      <c r="S56" s="803" t="s">
        <v>207</v>
      </c>
      <c r="T56" s="798" t="s">
        <v>7</v>
      </c>
      <c r="U56" s="770">
        <v>94</v>
      </c>
      <c r="V56" s="772"/>
      <c r="W56" s="783" t="s">
        <v>207</v>
      </c>
      <c r="X56" s="740">
        <v>94</v>
      </c>
    </row>
    <row r="57" spans="2:29" ht="21" thickBot="1" x14ac:dyDescent="0.3">
      <c r="B57" s="16">
        <f t="shared" si="4"/>
        <v>48</v>
      </c>
      <c r="C57" s="106" t="s">
        <v>170</v>
      </c>
      <c r="D57" s="107" t="s">
        <v>171</v>
      </c>
      <c r="E57" s="599" t="str">
        <f t="shared" si="6"/>
        <v>ØisteinÅsmul</v>
      </c>
      <c r="F57" s="192">
        <f>YEAR(I$5)-_xlfn.XLOOKUP(E57,Deltakerliste!E$5:E$98,Deltakerliste!I$5:I$98)</f>
        <v>81</v>
      </c>
      <c r="G57" s="192">
        <f>_xlfn.XLOOKUP(E57,Deltakerliste!E$5:E$98,Deltakerliste!H$5:H$98)</f>
        <v>2</v>
      </c>
      <c r="H57" s="592">
        <f>VLOOKUP(F57,Deltakerliste!P$6:T$84,G57,FALSE)</f>
        <v>1.9290000000000003</v>
      </c>
      <c r="I57" s="132"/>
      <c r="J57" s="132" t="s">
        <v>7</v>
      </c>
      <c r="K57" s="18"/>
      <c r="L57" s="600" t="str">
        <f t="shared" si="7"/>
        <v>Arr</v>
      </c>
      <c r="M57" s="594">
        <f>IF(L57="Løype",Poengsammendrag!$F$2,IF(L57="Arr",Poengsammendrag!$F$3,IF(L57="Brutt",50,IF(L57="Disk",50,ROUND(MAXA(100*(MIN(L$10:L$97)/L57),50),0)))))</f>
        <v>94</v>
      </c>
      <c r="N57" s="724" t="str">
        <f t="shared" si="8"/>
        <v>Arr</v>
      </c>
      <c r="O57" s="596">
        <f>IF(N57="Løype",Poengsammendrag!$F$2,IF(N57="Arr",Poengsammendrag!$F$3,IF(N57="Brutt",50,IF(N57="Disk",50,ROUND(MAXA(100*(MIN(N$10:N$97)/N57),50),0)))))</f>
        <v>94</v>
      </c>
      <c r="S57" s="803" t="s">
        <v>347</v>
      </c>
      <c r="T57" s="798" t="s">
        <v>7</v>
      </c>
      <c r="U57" s="770">
        <v>94</v>
      </c>
      <c r="V57" s="772"/>
      <c r="W57" s="783" t="s">
        <v>347</v>
      </c>
      <c r="X57" s="740">
        <v>94</v>
      </c>
    </row>
    <row r="58" spans="2:29" ht="20" customHeight="1" thickBot="1" x14ac:dyDescent="0.3">
      <c r="B58" s="16">
        <f t="shared" si="4"/>
        <v>49</v>
      </c>
      <c r="C58" s="106" t="s">
        <v>136</v>
      </c>
      <c r="D58" s="107" t="s">
        <v>137</v>
      </c>
      <c r="E58" s="599" t="str">
        <f t="shared" si="6"/>
        <v>HaraldOftedal</v>
      </c>
      <c r="F58" s="192">
        <f>YEAR(I$5)-_xlfn.XLOOKUP(E58,Deltakerliste!E$5:E$98,Deltakerliste!I$5:I$98)</f>
        <v>74</v>
      </c>
      <c r="G58" s="192">
        <f>_xlfn.XLOOKUP(E58,Deltakerliste!E$5:E$98,Deltakerliste!H$5:H$98)</f>
        <v>2</v>
      </c>
      <c r="H58" s="592">
        <f>VLOOKUP(F58,Deltakerliste!P$6:T$84,G58,FALSE)</f>
        <v>1.569</v>
      </c>
      <c r="I58" s="132"/>
      <c r="J58" s="132" t="s">
        <v>62</v>
      </c>
      <c r="K58" s="134"/>
      <c r="L58" s="600" t="str">
        <f t="shared" si="7"/>
        <v>Løype</v>
      </c>
      <c r="M58" s="594">
        <f>IF(L58="Løype",Poengsammendrag!$F$2,IF(L58="Arr",Poengsammendrag!$F$3,IF(L58="Brutt",50,IF(L58="Disk",50,ROUND(MAXA(100*(MIN(L$10:L$97)/L58),50),0)))))</f>
        <v>100</v>
      </c>
      <c r="N58" s="724" t="str">
        <f t="shared" si="8"/>
        <v>Løype</v>
      </c>
      <c r="O58" s="596">
        <f>IF(N58="Løype",Poengsammendrag!$F$2,IF(N58="Arr",Poengsammendrag!$F$3,IF(N58="Brutt",50,IF(N58="Disk",50,ROUND(MAXA(100*(MIN(N$10:N$97)/N58),50),0)))))</f>
        <v>100</v>
      </c>
      <c r="S58" s="804" t="s">
        <v>136</v>
      </c>
      <c r="T58" s="801" t="s">
        <v>62</v>
      </c>
      <c r="U58" s="771">
        <v>100</v>
      </c>
      <c r="V58" s="773"/>
      <c r="W58" s="784" t="s">
        <v>136</v>
      </c>
      <c r="X58" s="741">
        <v>100</v>
      </c>
    </row>
    <row r="59" spans="2:29" ht="21" thickBot="1" x14ac:dyDescent="0.3">
      <c r="B59" s="16">
        <f t="shared" si="4"/>
        <v>50</v>
      </c>
      <c r="C59" s="106" t="s">
        <v>60</v>
      </c>
      <c r="D59" s="107" t="s">
        <v>61</v>
      </c>
      <c r="E59" s="599" t="str">
        <f t="shared" si="6"/>
        <v>JosteinAlvestad</v>
      </c>
      <c r="F59" s="192">
        <f>YEAR(I$5)-_xlfn.XLOOKUP(E59,Deltakerliste!E$5:E$98,Deltakerliste!I$5:I$98)</f>
        <v>71</v>
      </c>
      <c r="G59" s="192">
        <f>_xlfn.XLOOKUP(E59,Deltakerliste!E$5:E$98,Deltakerliste!H$5:H$98)</f>
        <v>2</v>
      </c>
      <c r="H59" s="592">
        <f>VLOOKUP(F59,Deltakerliste!P$6:T$84,G59,FALSE)</f>
        <v>1.4609999999999999</v>
      </c>
      <c r="I59" s="13"/>
      <c r="J59" s="13"/>
      <c r="K59" s="17"/>
      <c r="L59" s="600"/>
      <c r="M59" s="594"/>
      <c r="N59" s="724"/>
      <c r="O59" s="596"/>
    </row>
    <row r="60" spans="2:29" ht="21" customHeight="1" thickBot="1" x14ac:dyDescent="0.3">
      <c r="B60" s="16">
        <f t="shared" si="4"/>
        <v>51</v>
      </c>
      <c r="C60" s="106" t="s">
        <v>414</v>
      </c>
      <c r="D60" s="107" t="s">
        <v>415</v>
      </c>
      <c r="E60" s="599" t="str">
        <f t="shared" si="6"/>
        <v>HåkonArnesen</v>
      </c>
      <c r="F60" s="192">
        <f>YEAR(I$5)-_xlfn.XLOOKUP(E60,Deltakerliste!E$5:E$98,Deltakerliste!I$5:I$98)</f>
        <v>64</v>
      </c>
      <c r="G60" s="192">
        <f>_xlfn.XLOOKUP(E60,Deltakerliste!E$5:E$98,Deltakerliste!H$5:H$98)</f>
        <v>2</v>
      </c>
      <c r="H60" s="592">
        <f>VLOOKUP(F60,Deltakerliste!P$6:T$84,G60,FALSE)</f>
        <v>1.2759999999999998</v>
      </c>
      <c r="I60" s="13"/>
      <c r="J60" s="13"/>
      <c r="K60" s="17"/>
      <c r="L60" s="600"/>
      <c r="M60" s="594"/>
      <c r="N60" s="724"/>
      <c r="O60" s="596"/>
    </row>
    <row r="61" spans="2:29" ht="21" customHeight="1" thickBot="1" x14ac:dyDescent="0.3">
      <c r="B61" s="16">
        <f t="shared" si="4"/>
        <v>52</v>
      </c>
      <c r="C61" s="106" t="s">
        <v>64</v>
      </c>
      <c r="D61" s="107" t="s">
        <v>65</v>
      </c>
      <c r="E61" s="599" t="str">
        <f t="shared" si="6"/>
        <v>BjørnBerger</v>
      </c>
      <c r="F61" s="192">
        <f>YEAR(I$5)-_xlfn.XLOOKUP(E61,Deltakerliste!E$5:E$98,Deltakerliste!I$5:I$98)</f>
        <v>75</v>
      </c>
      <c r="G61" s="192">
        <f>_xlfn.XLOOKUP(E61,Deltakerliste!E$5:E$98,Deltakerliste!H$5:H$98)</f>
        <v>2</v>
      </c>
      <c r="H61" s="592">
        <f>VLOOKUP(F61,Deltakerliste!P$6:T$84,G61,FALSE)</f>
        <v>1.605</v>
      </c>
      <c r="I61" s="13"/>
      <c r="J61" s="13"/>
      <c r="K61" s="19"/>
      <c r="L61" s="600"/>
      <c r="M61" s="594"/>
      <c r="N61" s="724"/>
      <c r="O61" s="596"/>
    </row>
    <row r="62" spans="2:29" ht="21" customHeight="1" thickBot="1" x14ac:dyDescent="0.3">
      <c r="B62" s="16">
        <f t="shared" si="4"/>
        <v>53</v>
      </c>
      <c r="C62" s="106" t="s">
        <v>364</v>
      </c>
      <c r="D62" s="107" t="s">
        <v>365</v>
      </c>
      <c r="E62" s="599" t="str">
        <f t="shared" si="6"/>
        <v>GerdBjørset</v>
      </c>
      <c r="F62" s="192">
        <f>YEAR(I$5)-_xlfn.XLOOKUP(E62,Deltakerliste!E$5:E$98,Deltakerliste!I$5:I$98)</f>
        <v>72</v>
      </c>
      <c r="G62" s="192">
        <f>_xlfn.XLOOKUP(E62,Deltakerliste!E$5:E$98,Deltakerliste!H$5:H$98)</f>
        <v>4</v>
      </c>
      <c r="H62" s="592">
        <f>VLOOKUP(F62,Deltakerliste!P$6:T$84,G62,FALSE)</f>
        <v>2.0362000000000013</v>
      </c>
      <c r="I62" s="13"/>
      <c r="J62" s="13"/>
      <c r="K62" s="13"/>
      <c r="L62" s="600"/>
      <c r="M62" s="594"/>
      <c r="N62" s="724"/>
      <c r="O62" s="596"/>
    </row>
    <row r="63" spans="2:29" ht="21" thickBot="1" x14ac:dyDescent="0.3">
      <c r="B63" s="16">
        <f t="shared" si="4"/>
        <v>54</v>
      </c>
      <c r="C63" s="106" t="s">
        <v>342</v>
      </c>
      <c r="D63" s="107" t="s">
        <v>388</v>
      </c>
      <c r="E63" s="599" t="str">
        <f t="shared" si="6"/>
        <v>ArildClausen</v>
      </c>
      <c r="F63" s="192">
        <f>YEAR(I$5)-_xlfn.XLOOKUP(E63,Deltakerliste!E$5:E$98,Deltakerliste!I$5:I$98)</f>
        <v>58</v>
      </c>
      <c r="G63" s="192">
        <f>_xlfn.XLOOKUP(E63,Deltakerliste!E$5:E$98,Deltakerliste!H$5:H$98)</f>
        <v>2</v>
      </c>
      <c r="H63" s="592">
        <f>VLOOKUP(F63,Deltakerliste!P$6:T$84,G63,FALSE)</f>
        <v>1.1720000000000002</v>
      </c>
      <c r="I63" s="86"/>
      <c r="J63" s="86"/>
      <c r="K63" s="13"/>
      <c r="L63" s="600"/>
      <c r="M63" s="594"/>
      <c r="N63" s="724"/>
      <c r="O63" s="596"/>
    </row>
    <row r="64" spans="2:29" ht="21" thickBot="1" x14ac:dyDescent="0.3">
      <c r="B64" s="16">
        <f t="shared" si="4"/>
        <v>55</v>
      </c>
      <c r="C64" s="106" t="s">
        <v>70</v>
      </c>
      <c r="D64" s="107" t="s">
        <v>71</v>
      </c>
      <c r="E64" s="599" t="str">
        <f t="shared" si="6"/>
        <v>TrondDamås</v>
      </c>
      <c r="F64" s="192">
        <f>YEAR(I$5)-_xlfn.XLOOKUP(E64,Deltakerliste!E$5:E$98,Deltakerliste!I$5:I$98)</f>
        <v>76</v>
      </c>
      <c r="G64" s="192">
        <f>_xlfn.XLOOKUP(E64,Deltakerliste!E$5:E$98,Deltakerliste!H$5:H$98)</f>
        <v>2</v>
      </c>
      <c r="H64" s="592">
        <f>VLOOKUP(F64,Deltakerliste!P$6:T$84,G64,FALSE)</f>
        <v>1.655</v>
      </c>
      <c r="I64" s="13"/>
      <c r="J64" s="13"/>
      <c r="K64" s="13"/>
      <c r="L64" s="600"/>
      <c r="M64" s="594"/>
      <c r="N64" s="724"/>
      <c r="O64" s="596"/>
    </row>
    <row r="65" spans="2:17" ht="21" thickBot="1" x14ac:dyDescent="0.3">
      <c r="B65" s="16">
        <f t="shared" si="4"/>
        <v>56</v>
      </c>
      <c r="C65" s="106" t="s">
        <v>74</v>
      </c>
      <c r="D65" s="107" t="s">
        <v>75</v>
      </c>
      <c r="E65" s="599" t="str">
        <f t="shared" si="6"/>
        <v>StinaElfving</v>
      </c>
      <c r="F65" s="192">
        <f>YEAR(I$5)-_xlfn.XLOOKUP(E65,Deltakerliste!E$5:E$98,Deltakerliste!I$5:I$98)</f>
        <v>76</v>
      </c>
      <c r="G65" s="192">
        <f>_xlfn.XLOOKUP(E65,Deltakerliste!E$5:E$98,Deltakerliste!H$5:H$98)</f>
        <v>4</v>
      </c>
      <c r="H65" s="592">
        <f>VLOOKUP(F65,Deltakerliste!P$6:T$84,G65,FALSE)</f>
        <v>2.2246000000000015</v>
      </c>
      <c r="I65" s="13"/>
      <c r="J65" s="13"/>
      <c r="K65" s="17"/>
      <c r="L65" s="600"/>
      <c r="M65" s="594"/>
      <c r="N65" s="724"/>
      <c r="O65" s="596"/>
    </row>
    <row r="66" spans="2:17" ht="21" thickBot="1" x14ac:dyDescent="0.3">
      <c r="B66" s="16">
        <f t="shared" si="4"/>
        <v>57</v>
      </c>
      <c r="C66" s="106" t="s">
        <v>271</v>
      </c>
      <c r="D66" s="107" t="s">
        <v>272</v>
      </c>
      <c r="E66" s="599" t="str">
        <f t="shared" si="6"/>
        <v>Arne KjellFoldvik</v>
      </c>
      <c r="F66" s="192">
        <f>YEAR(I$5)-_xlfn.XLOOKUP(E66,Deltakerliste!E$5:E$98,Deltakerliste!I$5:I$98)</f>
        <v>92</v>
      </c>
      <c r="G66" s="192">
        <f>_xlfn.XLOOKUP(E66,Deltakerliste!E$5:E$98,Deltakerliste!H$5:H$98)</f>
        <v>2</v>
      </c>
      <c r="H66" s="592">
        <f>VLOOKUP(F66,Deltakerliste!P$6:T$84,G66,FALSE)</f>
        <v>2.8130000000000002</v>
      </c>
      <c r="I66" s="14"/>
      <c r="J66" s="14"/>
      <c r="K66" s="13"/>
      <c r="L66" s="600"/>
      <c r="M66" s="594"/>
      <c r="N66" s="724"/>
      <c r="O66" s="596"/>
    </row>
    <row r="67" spans="2:17" ht="21" thickBot="1" x14ac:dyDescent="0.3">
      <c r="B67" s="16">
        <f t="shared" si="4"/>
        <v>58</v>
      </c>
      <c r="C67" s="106" t="s">
        <v>82</v>
      </c>
      <c r="D67" s="107" t="s">
        <v>83</v>
      </c>
      <c r="E67" s="599" t="str">
        <f t="shared" si="6"/>
        <v>RoarForbord</v>
      </c>
      <c r="F67" s="192">
        <f>YEAR(I$5)-_xlfn.XLOOKUP(E67,Deltakerliste!E$5:E$98,Deltakerliste!I$5:I$98)</f>
        <v>83</v>
      </c>
      <c r="G67" s="192">
        <f>_xlfn.XLOOKUP(E67,Deltakerliste!E$5:E$98,Deltakerliste!H$5:H$98)</f>
        <v>2</v>
      </c>
      <c r="H67" s="592">
        <f>VLOOKUP(F67,Deltakerliste!P$6:T$84,G67,FALSE)</f>
        <v>2.077</v>
      </c>
      <c r="I67" s="86"/>
      <c r="J67" s="86"/>
      <c r="K67" s="13"/>
      <c r="L67" s="600"/>
      <c r="M67" s="594"/>
      <c r="N67" s="724"/>
      <c r="O67" s="596"/>
    </row>
    <row r="68" spans="2:17" ht="21" thickBot="1" x14ac:dyDescent="0.3">
      <c r="B68" s="16">
        <f t="shared" si="4"/>
        <v>59</v>
      </c>
      <c r="C68" s="106" t="s">
        <v>377</v>
      </c>
      <c r="D68" s="107" t="s">
        <v>83</v>
      </c>
      <c r="E68" s="599" t="str">
        <f t="shared" si="6"/>
        <v>HildeForbord</v>
      </c>
      <c r="F68" s="192">
        <f>YEAR(I$5)-_xlfn.XLOOKUP(E68,Deltakerliste!E$5:E$98,Deltakerliste!I$5:I$98)</f>
        <v>60</v>
      </c>
      <c r="G68" s="192">
        <f>_xlfn.XLOOKUP(E68,Deltakerliste!E$5:E$98,Deltakerliste!H$5:H$98)</f>
        <v>4</v>
      </c>
      <c r="H68" s="592">
        <f>VLOOKUP(F68,Deltakerliste!P$6:T$84,G68,FALSE)</f>
        <v>1.6250000000000002</v>
      </c>
      <c r="I68" s="14"/>
      <c r="J68" s="14"/>
      <c r="K68" s="13"/>
      <c r="L68" s="600"/>
      <c r="M68" s="594"/>
      <c r="N68" s="724"/>
      <c r="O68" s="596"/>
    </row>
    <row r="69" spans="2:17" ht="21" thickBot="1" x14ac:dyDescent="0.3">
      <c r="B69" s="16">
        <f t="shared" si="4"/>
        <v>60</v>
      </c>
      <c r="C69" s="106" t="s">
        <v>84</v>
      </c>
      <c r="D69" s="107" t="s">
        <v>85</v>
      </c>
      <c r="E69" s="599" t="str">
        <f t="shared" si="6"/>
        <v>PaulForseth</v>
      </c>
      <c r="F69" s="192">
        <f>YEAR(I$5)-_xlfn.XLOOKUP(E69,Deltakerliste!E$5:E$98,Deltakerliste!I$5:I$98)</f>
        <v>94</v>
      </c>
      <c r="G69" s="192">
        <f>_xlfn.XLOOKUP(E69,Deltakerliste!E$5:E$98,Deltakerliste!H$5:H$98)</f>
        <v>2</v>
      </c>
      <c r="H69" s="592">
        <f>VLOOKUP(F69,Deltakerliste!P$6:T$84,G69,FALSE)</f>
        <v>2.9810000000000003</v>
      </c>
      <c r="I69" s="86"/>
      <c r="J69" s="86"/>
      <c r="K69" s="17"/>
      <c r="L69" s="600"/>
      <c r="M69" s="594"/>
      <c r="N69" s="724"/>
      <c r="O69" s="596"/>
    </row>
    <row r="70" spans="2:17" ht="21" thickBot="1" x14ac:dyDescent="0.3">
      <c r="B70" s="16">
        <f t="shared" si="4"/>
        <v>61</v>
      </c>
      <c r="C70" s="106" t="s">
        <v>86</v>
      </c>
      <c r="D70" s="107" t="s">
        <v>87</v>
      </c>
      <c r="E70" s="599" t="str">
        <f t="shared" si="6"/>
        <v>KristianFougner</v>
      </c>
      <c r="F70" s="192">
        <f>YEAR(I$5)-_xlfn.XLOOKUP(E70,Deltakerliste!E$5:E$98,Deltakerliste!I$5:I$98)</f>
        <v>76</v>
      </c>
      <c r="G70" s="192">
        <f>_xlfn.XLOOKUP(E70,Deltakerliste!E$5:E$98,Deltakerliste!H$5:H$98)</f>
        <v>2</v>
      </c>
      <c r="H70" s="592">
        <f>VLOOKUP(F70,Deltakerliste!P$6:T$84,G70,FALSE)</f>
        <v>1.655</v>
      </c>
      <c r="I70" s="86"/>
      <c r="J70" s="86"/>
      <c r="K70" s="13"/>
      <c r="L70" s="600"/>
      <c r="M70" s="594"/>
      <c r="N70" s="724"/>
      <c r="O70" s="596"/>
    </row>
    <row r="71" spans="2:17" ht="21" thickBot="1" x14ac:dyDescent="0.3">
      <c r="B71" s="16">
        <f t="shared" si="4"/>
        <v>62</v>
      </c>
      <c r="C71" s="106" t="s">
        <v>92</v>
      </c>
      <c r="D71" s="107" t="s">
        <v>93</v>
      </c>
      <c r="E71" s="599" t="str">
        <f t="shared" si="6"/>
        <v>Jens ØysteinGjersvold</v>
      </c>
      <c r="F71" s="192">
        <f>YEAR(I$5)-_xlfn.XLOOKUP(E71,Deltakerliste!E$5:E$98,Deltakerliste!I$5:I$98)</f>
        <v>74</v>
      </c>
      <c r="G71" s="192">
        <f>_xlfn.XLOOKUP(E71,Deltakerliste!E$5:E$98,Deltakerliste!H$5:H$98)</f>
        <v>2</v>
      </c>
      <c r="H71" s="592">
        <f>VLOOKUP(F71,Deltakerliste!P$6:T$84,G71,FALSE)</f>
        <v>1.569</v>
      </c>
      <c r="I71" s="14"/>
      <c r="J71" s="14"/>
      <c r="K71" s="18"/>
      <c r="L71" s="600"/>
      <c r="M71" s="594"/>
      <c r="N71" s="724"/>
      <c r="O71" s="596"/>
    </row>
    <row r="72" spans="2:17" ht="21" thickBot="1" x14ac:dyDescent="0.3">
      <c r="B72" s="16">
        <f t="shared" si="4"/>
        <v>63</v>
      </c>
      <c r="C72" s="106" t="s">
        <v>64</v>
      </c>
      <c r="D72" s="107" t="s">
        <v>366</v>
      </c>
      <c r="E72" s="599" t="str">
        <f t="shared" si="6"/>
        <v>BjørnHafskjold</v>
      </c>
      <c r="F72" s="192">
        <f>YEAR(I$5)-_xlfn.XLOOKUP(E72,Deltakerliste!E$5:E$98,Deltakerliste!I$5:I$98)</f>
        <v>79</v>
      </c>
      <c r="G72" s="192">
        <f>_xlfn.XLOOKUP(E72,Deltakerliste!E$5:E$98,Deltakerliste!H$5:H$98)</f>
        <v>2</v>
      </c>
      <c r="H72" s="592">
        <f>VLOOKUP(F72,Deltakerliste!P$6:T$84,G72,FALSE)</f>
        <v>1.8050000000000002</v>
      </c>
      <c r="I72" s="14"/>
      <c r="J72" s="14"/>
      <c r="K72" s="18"/>
      <c r="L72" s="600"/>
      <c r="M72" s="594"/>
      <c r="N72" s="724"/>
      <c r="O72" s="596"/>
    </row>
    <row r="73" spans="2:17" ht="21" thickBot="1" x14ac:dyDescent="0.3">
      <c r="B73" s="16">
        <f t="shared" si="4"/>
        <v>64</v>
      </c>
      <c r="C73" s="106" t="s">
        <v>342</v>
      </c>
      <c r="D73" s="107" t="s">
        <v>343</v>
      </c>
      <c r="E73" s="599" t="str">
        <f t="shared" si="6"/>
        <v>ArildHeggeset</v>
      </c>
      <c r="F73" s="192">
        <f>YEAR(I$5)-_xlfn.XLOOKUP(E73,Deltakerliste!E$5:E$98,Deltakerliste!I$5:I$98)</f>
        <v>59</v>
      </c>
      <c r="G73" s="192">
        <f>_xlfn.XLOOKUP(E73,Deltakerliste!E$5:E$98,Deltakerliste!H$5:H$98)</f>
        <v>2</v>
      </c>
      <c r="H73" s="592">
        <f>VLOOKUP(F73,Deltakerliste!P$6:T$84,G73,FALSE)</f>
        <v>1.1860000000000002</v>
      </c>
      <c r="I73" s="86"/>
      <c r="J73" s="86"/>
      <c r="K73" s="13"/>
      <c r="L73" s="600"/>
      <c r="M73" s="594"/>
      <c r="N73" s="724"/>
      <c r="O73" s="596"/>
    </row>
    <row r="74" spans="2:17" ht="21" thickBot="1" x14ac:dyDescent="0.3">
      <c r="B74" s="16">
        <f t="shared" si="4"/>
        <v>65</v>
      </c>
      <c r="C74" s="106" t="s">
        <v>309</v>
      </c>
      <c r="D74" s="107" t="s">
        <v>310</v>
      </c>
      <c r="E74" s="599" t="str">
        <f t="shared" ref="E74:E99" si="9">_xlfn.CONCAT(C74:D74)</f>
        <v>VigdisHeimly</v>
      </c>
      <c r="F74" s="192">
        <f>YEAR(I$5)-_xlfn.XLOOKUP(E74,Deltakerliste!E$5:E$98,Deltakerliste!I$5:I$98)</f>
        <v>67</v>
      </c>
      <c r="G74" s="192">
        <f>_xlfn.XLOOKUP(E74,Deltakerliste!E$5:E$98,Deltakerliste!H$5:H$98)</f>
        <v>4</v>
      </c>
      <c r="H74" s="592">
        <f>VLOOKUP(F74,Deltakerliste!P$6:T$84,G74,FALSE)</f>
        <v>1.8422000000000009</v>
      </c>
      <c r="I74" s="86"/>
      <c r="J74" s="86"/>
      <c r="K74" s="17"/>
      <c r="L74" s="600"/>
      <c r="M74" s="594"/>
      <c r="N74" s="724"/>
      <c r="O74" s="596"/>
    </row>
    <row r="75" spans="2:17" ht="21" thickBot="1" x14ac:dyDescent="0.3">
      <c r="B75" s="16">
        <f t="shared" si="4"/>
        <v>66</v>
      </c>
      <c r="C75" s="106" t="s">
        <v>118</v>
      </c>
      <c r="D75" s="107" t="s">
        <v>383</v>
      </c>
      <c r="E75" s="599" t="str">
        <f t="shared" si="9"/>
        <v>KnutHelland</v>
      </c>
      <c r="F75" s="192">
        <f>YEAR(I$5)-_xlfn.XLOOKUP(E75,Deltakerliste!E$5:E$98,Deltakerliste!I$5:I$98)</f>
        <v>64</v>
      </c>
      <c r="G75" s="192">
        <f>_xlfn.XLOOKUP(E75,Deltakerliste!E$5:E$98,Deltakerliste!H$5:H$98)</f>
        <v>2</v>
      </c>
      <c r="H75" s="592">
        <f>VLOOKUP(F75,Deltakerliste!P$6:T$84,G75,FALSE)</f>
        <v>1.2759999999999998</v>
      </c>
      <c r="I75" s="86"/>
      <c r="J75" s="86"/>
      <c r="K75" s="17"/>
      <c r="L75" s="600"/>
      <c r="M75" s="594"/>
      <c r="N75" s="724"/>
      <c r="O75" s="596"/>
      <c r="Q75" s="112"/>
    </row>
    <row r="76" spans="2:17" ht="21" thickBot="1" x14ac:dyDescent="0.3">
      <c r="B76" s="16">
        <f t="shared" ref="B76:B99" si="10">B75+1</f>
        <v>67</v>
      </c>
      <c r="C76" s="106" t="s">
        <v>99</v>
      </c>
      <c r="D76" s="107" t="s">
        <v>100</v>
      </c>
      <c r="E76" s="599" t="str">
        <f t="shared" si="9"/>
        <v>RobertHirsch</v>
      </c>
      <c r="F76" s="192">
        <f>YEAR(I$5)-_xlfn.XLOOKUP(E76,Deltakerliste!E$5:E$98,Deltakerliste!I$5:I$98)</f>
        <v>69</v>
      </c>
      <c r="G76" s="192">
        <f>_xlfn.XLOOKUP(E76,Deltakerliste!E$5:E$98,Deltakerliste!H$5:H$98)</f>
        <v>2</v>
      </c>
      <c r="H76" s="592">
        <f>VLOOKUP(F76,Deltakerliste!P$6:T$84,G76,FALSE)</f>
        <v>1.3989999999999998</v>
      </c>
      <c r="I76" s="86"/>
      <c r="J76" s="86"/>
      <c r="K76" s="13"/>
      <c r="L76" s="600"/>
      <c r="M76" s="594"/>
      <c r="N76" s="724"/>
      <c r="O76" s="596"/>
    </row>
    <row r="77" spans="2:17" ht="21" thickBot="1" x14ac:dyDescent="0.3">
      <c r="B77" s="16">
        <f t="shared" si="10"/>
        <v>68</v>
      </c>
      <c r="C77" s="106" t="s">
        <v>263</v>
      </c>
      <c r="D77" s="107" t="s">
        <v>264</v>
      </c>
      <c r="E77" s="599" t="str">
        <f t="shared" si="9"/>
        <v>RuneHolt</v>
      </c>
      <c r="F77" s="192">
        <f>YEAR(I$5)-_xlfn.XLOOKUP(E77,Deltakerliste!E$5:E$98,Deltakerliste!I$5:I$98)</f>
        <v>73</v>
      </c>
      <c r="G77" s="192">
        <f>_xlfn.XLOOKUP(E77,Deltakerliste!E$5:E$98,Deltakerliste!H$5:H$98)</f>
        <v>2</v>
      </c>
      <c r="H77" s="592">
        <f>VLOOKUP(F77,Deltakerliste!P$6:T$84,G77,FALSE)</f>
        <v>1.5329999999999999</v>
      </c>
      <c r="I77" s="86"/>
      <c r="J77" s="134"/>
      <c r="K77" s="17"/>
      <c r="L77" s="600"/>
      <c r="M77" s="594"/>
      <c r="N77" s="724"/>
      <c r="O77" s="596"/>
    </row>
    <row r="78" spans="2:17" ht="21" thickBot="1" x14ac:dyDescent="0.3">
      <c r="B78" s="16">
        <f t="shared" si="10"/>
        <v>69</v>
      </c>
      <c r="C78" s="106" t="s">
        <v>103</v>
      </c>
      <c r="D78" s="107" t="s">
        <v>104</v>
      </c>
      <c r="E78" s="599" t="str">
        <f t="shared" si="9"/>
        <v>SveinHove</v>
      </c>
      <c r="F78" s="192">
        <f>YEAR(I$5)-_xlfn.XLOOKUP(E78,Deltakerliste!E$5:E$98,Deltakerliste!I$5:I$98)</f>
        <v>79</v>
      </c>
      <c r="G78" s="192">
        <f>_xlfn.XLOOKUP(E78,Deltakerliste!E$5:E$98,Deltakerliste!H$5:H$98)</f>
        <v>2</v>
      </c>
      <c r="H78" s="592">
        <f>VLOOKUP(F78,Deltakerliste!P$6:T$84,G78,FALSE)</f>
        <v>1.8050000000000002</v>
      </c>
      <c r="I78" s="86"/>
      <c r="J78" s="86"/>
      <c r="K78" s="17"/>
      <c r="L78" s="600"/>
      <c r="M78" s="594"/>
      <c r="N78" s="724"/>
      <c r="O78" s="596"/>
    </row>
    <row r="79" spans="2:17" ht="21" thickBot="1" x14ac:dyDescent="0.3">
      <c r="B79" s="16">
        <f t="shared" si="10"/>
        <v>70</v>
      </c>
      <c r="C79" s="106" t="s">
        <v>269</v>
      </c>
      <c r="D79" s="107" t="s">
        <v>270</v>
      </c>
      <c r="E79" s="599" t="str">
        <f t="shared" si="9"/>
        <v>Per OlavJohansen</v>
      </c>
      <c r="F79" s="192">
        <f>YEAR(I$5)-_xlfn.XLOOKUP(E79,Deltakerliste!E$5:E$98,Deltakerliste!I$5:I$98)</f>
        <v>68</v>
      </c>
      <c r="G79" s="192">
        <f>_xlfn.XLOOKUP(E79,Deltakerliste!E$5:E$98,Deltakerliste!H$5:H$98)</f>
        <v>2</v>
      </c>
      <c r="H79" s="592">
        <f>VLOOKUP(F79,Deltakerliste!P$6:T$84,G79,FALSE)</f>
        <v>1.3729999999999998</v>
      </c>
      <c r="I79" s="132"/>
      <c r="J79" s="132"/>
      <c r="K79" s="134"/>
      <c r="L79" s="600"/>
      <c r="M79" s="594"/>
      <c r="N79" s="724"/>
      <c r="O79" s="596"/>
    </row>
    <row r="80" spans="2:17" ht="21" thickBot="1" x14ac:dyDescent="0.3">
      <c r="B80" s="16">
        <f t="shared" si="10"/>
        <v>71</v>
      </c>
      <c r="C80" s="106" t="s">
        <v>106</v>
      </c>
      <c r="D80" s="107" t="s">
        <v>107</v>
      </c>
      <c r="E80" s="599" t="str">
        <f t="shared" si="9"/>
        <v>Jon ArneKlemetsaune</v>
      </c>
      <c r="F80" s="192">
        <f>YEAR(I$5)-_xlfn.XLOOKUP(E80,Deltakerliste!E$5:E$98,Deltakerliste!I$5:I$98)</f>
        <v>77</v>
      </c>
      <c r="G80" s="192">
        <f>_xlfn.XLOOKUP(E80,Deltakerliste!E$5:E$98,Deltakerliste!H$5:H$98)</f>
        <v>2</v>
      </c>
      <c r="H80" s="592">
        <f>VLOOKUP(F80,Deltakerliste!P$6:T$84,G80,FALSE)</f>
        <v>1.7050000000000001</v>
      </c>
      <c r="I80" s="86"/>
      <c r="J80" s="86"/>
      <c r="K80" s="17"/>
      <c r="L80" s="600"/>
      <c r="M80" s="594"/>
      <c r="N80" s="724"/>
      <c r="O80" s="596"/>
    </row>
    <row r="81" spans="2:15" ht="21" thickBot="1" x14ac:dyDescent="0.3">
      <c r="B81" s="16">
        <f t="shared" si="10"/>
        <v>72</v>
      </c>
      <c r="C81" s="106" t="s">
        <v>110</v>
      </c>
      <c r="D81" s="107" t="s">
        <v>111</v>
      </c>
      <c r="E81" s="599" t="str">
        <f t="shared" si="9"/>
        <v>Jan ErikKofoed</v>
      </c>
      <c r="F81" s="192">
        <f>YEAR(I$5)-_xlfn.XLOOKUP(E81,Deltakerliste!E$5:E$98,Deltakerliste!I$5:I$98)</f>
        <v>72</v>
      </c>
      <c r="G81" s="192">
        <f>_xlfn.XLOOKUP(E81,Deltakerliste!E$5:E$98,Deltakerliste!H$5:H$98)</f>
        <v>2</v>
      </c>
      <c r="H81" s="592">
        <f>VLOOKUP(F81,Deltakerliste!P$6:T$84,G81,FALSE)</f>
        <v>1.4969999999999999</v>
      </c>
      <c r="I81" s="86"/>
      <c r="J81" s="86"/>
      <c r="K81" s="13"/>
      <c r="L81" s="600"/>
      <c r="M81" s="594"/>
      <c r="N81" s="724"/>
      <c r="O81" s="596"/>
    </row>
    <row r="82" spans="2:15" ht="21" thickBot="1" x14ac:dyDescent="0.3">
      <c r="B82" s="16">
        <f t="shared" si="10"/>
        <v>73</v>
      </c>
      <c r="C82" s="106" t="s">
        <v>251</v>
      </c>
      <c r="D82" s="107" t="s">
        <v>252</v>
      </c>
      <c r="E82" s="599" t="str">
        <f t="shared" si="9"/>
        <v>OttarKristiansen</v>
      </c>
      <c r="F82" s="192">
        <f>YEAR(I$5)-_xlfn.XLOOKUP(E82,Deltakerliste!E$5:E$98,Deltakerliste!I$5:I$98)</f>
        <v>77</v>
      </c>
      <c r="G82" s="192">
        <f>_xlfn.XLOOKUP(E82,Deltakerliste!E$5:E$98,Deltakerliste!H$5:H$98)</f>
        <v>2</v>
      </c>
      <c r="H82" s="592">
        <f>VLOOKUP(F82,Deltakerliste!P$6:T$84,G82,FALSE)</f>
        <v>1.7050000000000001</v>
      </c>
      <c r="I82" s="86"/>
      <c r="J82" s="86"/>
      <c r="K82" s="17"/>
      <c r="L82" s="600"/>
      <c r="M82" s="594"/>
      <c r="N82" s="724"/>
      <c r="O82" s="596"/>
    </row>
    <row r="83" spans="2:15" ht="21" thickBot="1" x14ac:dyDescent="0.3">
      <c r="B83" s="16">
        <f t="shared" si="10"/>
        <v>74</v>
      </c>
      <c r="C83" s="106" t="s">
        <v>299</v>
      </c>
      <c r="D83" s="107" t="s">
        <v>300</v>
      </c>
      <c r="E83" s="599" t="str">
        <f t="shared" si="9"/>
        <v>OlavKvittem</v>
      </c>
      <c r="F83" s="192">
        <f>YEAR(I$5)-_xlfn.XLOOKUP(E83,Deltakerliste!E$5:E$98,Deltakerliste!I$5:I$98)</f>
        <v>71</v>
      </c>
      <c r="G83" s="192">
        <f>_xlfn.XLOOKUP(E83,Deltakerliste!E$5:E$98,Deltakerliste!H$5:H$98)</f>
        <v>2</v>
      </c>
      <c r="H83" s="592">
        <f>VLOOKUP(F83,Deltakerliste!P$6:T$84,G83,FALSE)</f>
        <v>1.4609999999999999</v>
      </c>
      <c r="I83" s="86"/>
      <c r="J83" s="86"/>
      <c r="K83" s="13"/>
      <c r="L83" s="600"/>
      <c r="M83" s="594"/>
      <c r="N83" s="724"/>
      <c r="O83" s="596"/>
    </row>
    <row r="84" spans="2:15" ht="21" thickBot="1" x14ac:dyDescent="0.3">
      <c r="B84" s="16">
        <f t="shared" si="10"/>
        <v>75</v>
      </c>
      <c r="C84" s="106" t="s">
        <v>254</v>
      </c>
      <c r="D84" s="107" t="s">
        <v>255</v>
      </c>
      <c r="E84" s="599" t="str">
        <f t="shared" si="9"/>
        <v>ArnfinnLangeland</v>
      </c>
      <c r="F84" s="192">
        <f>YEAR(I$5)-_xlfn.XLOOKUP(E84,Deltakerliste!E$5:E$98,Deltakerliste!I$5:I$98)</f>
        <v>90</v>
      </c>
      <c r="G84" s="192">
        <f>_xlfn.XLOOKUP(E84,Deltakerliste!E$5:E$98,Deltakerliste!H$5:H$98)</f>
        <v>2</v>
      </c>
      <c r="H84" s="592">
        <f>VLOOKUP(F84,Deltakerliste!P$6:T$84,G84,FALSE)</f>
        <v>2.645</v>
      </c>
      <c r="I84" s="86"/>
      <c r="J84" s="86"/>
      <c r="K84" s="13"/>
      <c r="L84" s="600"/>
      <c r="M84" s="594"/>
      <c r="N84" s="724"/>
      <c r="O84" s="596"/>
    </row>
    <row r="85" spans="2:15" ht="21" thickBot="1" x14ac:dyDescent="0.3">
      <c r="B85" s="16">
        <f t="shared" si="10"/>
        <v>76</v>
      </c>
      <c r="C85" s="106" t="s">
        <v>128</v>
      </c>
      <c r="D85" s="107" t="s">
        <v>129</v>
      </c>
      <c r="E85" s="599" t="str">
        <f t="shared" si="9"/>
        <v>OddMusum</v>
      </c>
      <c r="F85" s="192">
        <f>YEAR(I$5)-_xlfn.XLOOKUP(E85,Deltakerliste!E$5:E$98,Deltakerliste!I$5:I$98)</f>
        <v>84</v>
      </c>
      <c r="G85" s="192">
        <f>_xlfn.XLOOKUP(E85,Deltakerliste!E$5:E$98,Deltakerliste!H$5:H$98)</f>
        <v>2</v>
      </c>
      <c r="H85" s="592">
        <f>VLOOKUP(F85,Deltakerliste!P$6:T$84,G85,FALSE)</f>
        <v>2.1509999999999998</v>
      </c>
      <c r="I85" s="13"/>
      <c r="J85" s="13"/>
      <c r="K85" s="13"/>
      <c r="L85" s="600"/>
      <c r="M85" s="594"/>
      <c r="N85" s="724"/>
      <c r="O85" s="596"/>
    </row>
    <row r="86" spans="2:15" ht="21" thickBot="1" x14ac:dyDescent="0.3">
      <c r="B86" s="16">
        <f t="shared" si="10"/>
        <v>77</v>
      </c>
      <c r="C86" s="106" t="s">
        <v>132</v>
      </c>
      <c r="D86" s="107" t="s">
        <v>133</v>
      </c>
      <c r="E86" s="599" t="str">
        <f t="shared" si="9"/>
        <v>JarleNestvold</v>
      </c>
      <c r="F86" s="192">
        <f>YEAR(I$5)-_xlfn.XLOOKUP(E86,Deltakerliste!E$5:E$98,Deltakerliste!I$5:I$98)</f>
        <v>89</v>
      </c>
      <c r="G86" s="192">
        <f>_xlfn.XLOOKUP(E86,Deltakerliste!E$5:E$98,Deltakerliste!H$5:H$98)</f>
        <v>2</v>
      </c>
      <c r="H86" s="592">
        <f>VLOOKUP(F86,Deltakerliste!P$6:T$84,G86,FALSE)</f>
        <v>2.5609999999999999</v>
      </c>
      <c r="I86" s="132"/>
      <c r="J86" s="18"/>
      <c r="K86" s="18"/>
      <c r="L86" s="600"/>
      <c r="M86" s="594"/>
      <c r="N86" s="724"/>
      <c r="O86" s="596"/>
    </row>
    <row r="87" spans="2:15" ht="21" thickBot="1" x14ac:dyDescent="0.3">
      <c r="B87" s="16">
        <f t="shared" si="10"/>
        <v>78</v>
      </c>
      <c r="C87" s="111" t="s">
        <v>402</v>
      </c>
      <c r="D87" s="193" t="s">
        <v>403</v>
      </c>
      <c r="E87" s="599" t="str">
        <f t="shared" si="9"/>
        <v>BørgeNordli</v>
      </c>
      <c r="F87" s="192">
        <f>YEAR(I$5)-_xlfn.XLOOKUP(E87,Deltakerliste!E$5:E$98,Deltakerliste!I$5:I$98)</f>
        <v>44</v>
      </c>
      <c r="G87" s="192">
        <f>_xlfn.XLOOKUP(E87,Deltakerliste!E$5:E$98,Deltakerliste!H$5:H$98)</f>
        <v>2</v>
      </c>
      <c r="H87" s="592">
        <f>VLOOKUP(F87,Deltakerliste!P$6:T$84,G87,FALSE)</f>
        <v>1.0399999999999996</v>
      </c>
      <c r="I87" s="132"/>
      <c r="J87" s="132"/>
      <c r="K87" s="18"/>
      <c r="L87" s="600"/>
      <c r="M87" s="594"/>
      <c r="N87" s="724"/>
      <c r="O87" s="596"/>
    </row>
    <row r="88" spans="2:15" ht="21" thickBot="1" x14ac:dyDescent="0.3">
      <c r="B88" s="16">
        <f t="shared" si="10"/>
        <v>79</v>
      </c>
      <c r="C88" s="111" t="s">
        <v>265</v>
      </c>
      <c r="D88" s="193" t="s">
        <v>344</v>
      </c>
      <c r="E88" s="599" t="str">
        <f t="shared" si="9"/>
        <v>ØysteinNytrø</v>
      </c>
      <c r="F88" s="192">
        <f>YEAR(I$5)-_xlfn.XLOOKUP(E88,Deltakerliste!E$5:E$98,Deltakerliste!I$5:I$98)</f>
        <v>66</v>
      </c>
      <c r="G88" s="192">
        <f>_xlfn.XLOOKUP(E88,Deltakerliste!E$5:E$98,Deltakerliste!H$5:H$98)</f>
        <v>2</v>
      </c>
      <c r="H88" s="592">
        <f>VLOOKUP(F88,Deltakerliste!P$6:T$84,G88,FALSE)</f>
        <v>1.3209999999999997</v>
      </c>
      <c r="I88" s="18"/>
      <c r="J88" s="132"/>
      <c r="K88" s="18"/>
      <c r="L88" s="600"/>
      <c r="M88" s="594"/>
      <c r="N88" s="724"/>
      <c r="O88" s="596"/>
    </row>
    <row r="89" spans="2:15" ht="21" thickBot="1" x14ac:dyDescent="0.3">
      <c r="B89" s="16">
        <f t="shared" si="10"/>
        <v>80</v>
      </c>
      <c r="C89" s="111" t="s">
        <v>72</v>
      </c>
      <c r="D89" s="108" t="s">
        <v>139</v>
      </c>
      <c r="E89" s="599" t="str">
        <f t="shared" si="9"/>
        <v>KåreOnsøyen</v>
      </c>
      <c r="F89" s="192">
        <f>YEAR(I$5)-_xlfn.XLOOKUP(E89,Deltakerliste!E$5:E$98,Deltakerliste!I$5:I$98)</f>
        <v>78</v>
      </c>
      <c r="G89" s="192">
        <f>_xlfn.XLOOKUP(E89,Deltakerliste!E$5:E$98,Deltakerliste!H$5:H$98)</f>
        <v>2</v>
      </c>
      <c r="H89" s="592">
        <f>VLOOKUP(F89,Deltakerliste!P$6:T$84,G89,FALSE)</f>
        <v>1.7550000000000001</v>
      </c>
      <c r="I89" s="13"/>
      <c r="J89" s="13"/>
      <c r="K89" s="13"/>
      <c r="L89" s="600"/>
      <c r="M89" s="594"/>
      <c r="N89" s="724"/>
      <c r="O89" s="596"/>
    </row>
    <row r="90" spans="2:15" ht="21" thickBot="1" x14ac:dyDescent="0.3">
      <c r="B90" s="16">
        <f t="shared" si="10"/>
        <v>81</v>
      </c>
      <c r="C90" s="111" t="s">
        <v>140</v>
      </c>
      <c r="D90" s="193" t="s">
        <v>141</v>
      </c>
      <c r="E90" s="599" t="str">
        <f t="shared" si="9"/>
        <v>Grete BergeOwren</v>
      </c>
      <c r="F90" s="192">
        <f>YEAR(I$5)-_xlfn.XLOOKUP(E90,Deltakerliste!E$5:E$98,Deltakerliste!I$5:I$98)</f>
        <v>68</v>
      </c>
      <c r="G90" s="192">
        <f>_xlfn.XLOOKUP(E90,Deltakerliste!E$5:E$98,Deltakerliste!H$5:H$98)</f>
        <v>4</v>
      </c>
      <c r="H90" s="592">
        <f>VLOOKUP(F90,Deltakerliste!P$6:T$84,G90,FALSE)</f>
        <v>1.877800000000001</v>
      </c>
      <c r="I90" s="18"/>
      <c r="J90" s="18"/>
      <c r="K90" s="18"/>
      <c r="L90" s="600"/>
      <c r="M90" s="594"/>
      <c r="N90" s="724"/>
      <c r="O90" s="596"/>
    </row>
    <row r="91" spans="2:15" ht="21" thickBot="1" x14ac:dyDescent="0.3">
      <c r="B91" s="16">
        <f t="shared" si="10"/>
        <v>82</v>
      </c>
      <c r="C91" s="111" t="s">
        <v>144</v>
      </c>
      <c r="D91" s="193" t="s">
        <v>145</v>
      </c>
      <c r="E91" s="599" t="str">
        <f t="shared" si="9"/>
        <v>Bjørn Rindstad</v>
      </c>
      <c r="F91" s="192">
        <f>YEAR(I$5)-_xlfn.XLOOKUP(E91,Deltakerliste!E$5:E$98,Deltakerliste!I$5:I$98)</f>
        <v>75</v>
      </c>
      <c r="G91" s="192">
        <f>_xlfn.XLOOKUP(E91,Deltakerliste!E$5:E$98,Deltakerliste!H$5:H$98)</f>
        <v>2</v>
      </c>
      <c r="H91" s="592">
        <f>VLOOKUP(F91,Deltakerliste!P$6:T$84,G91,FALSE)</f>
        <v>1.605</v>
      </c>
      <c r="I91" s="18"/>
      <c r="J91" s="18"/>
      <c r="K91" s="18"/>
      <c r="L91" s="600"/>
      <c r="M91" s="594"/>
      <c r="N91" s="724"/>
      <c r="O91" s="596"/>
    </row>
    <row r="92" spans="2:15" ht="21" thickBot="1" x14ac:dyDescent="0.3">
      <c r="B92" s="16">
        <f t="shared" si="10"/>
        <v>83</v>
      </c>
      <c r="C92" s="111" t="s">
        <v>298</v>
      </c>
      <c r="D92" s="108" t="s">
        <v>405</v>
      </c>
      <c r="E92" s="599" t="str">
        <f t="shared" si="9"/>
        <v>ØyvindRogndalen</v>
      </c>
      <c r="F92" s="192">
        <f>YEAR(I$5)-_xlfn.XLOOKUP(E92,Deltakerliste!E$5:E$98,Deltakerliste!I$5:I$98)</f>
        <v>81</v>
      </c>
      <c r="G92" s="192">
        <f>_xlfn.XLOOKUP(E92,Deltakerliste!E$5:E$98,Deltakerliste!H$5:H$98)</f>
        <v>2</v>
      </c>
      <c r="H92" s="592">
        <f>VLOOKUP(F92,Deltakerliste!P$6:T$84,G92,FALSE)</f>
        <v>1.9290000000000003</v>
      </c>
      <c r="I92" s="132"/>
      <c r="J92" s="18"/>
      <c r="K92" s="18"/>
      <c r="L92" s="600"/>
      <c r="M92" s="594"/>
      <c r="N92" s="724"/>
      <c r="O92" s="596"/>
    </row>
    <row r="93" spans="2:15" ht="21" thickBot="1" x14ac:dyDescent="0.3">
      <c r="B93" s="16">
        <f t="shared" si="10"/>
        <v>84</v>
      </c>
      <c r="C93" s="111" t="s">
        <v>228</v>
      </c>
      <c r="D93" s="108" t="s">
        <v>229</v>
      </c>
      <c r="E93" s="599" t="str">
        <f t="shared" si="9"/>
        <v>May-LisRønning</v>
      </c>
      <c r="F93" s="192">
        <f>YEAR(I$5)-_xlfn.XLOOKUP(E93,Deltakerliste!E$5:E$98,Deltakerliste!I$5:I$98)</f>
        <v>56</v>
      </c>
      <c r="G93" s="192">
        <f>_xlfn.XLOOKUP(E93,Deltakerliste!E$5:E$98,Deltakerliste!H$5:H$98)</f>
        <v>4</v>
      </c>
      <c r="H93" s="592">
        <f>VLOOKUP(F93,Deltakerliste!P$6:T$84,G93,FALSE)</f>
        <v>1.5329999999999997</v>
      </c>
      <c r="I93" s="18"/>
      <c r="J93" s="18"/>
      <c r="K93" s="18"/>
      <c r="L93" s="600"/>
      <c r="M93" s="594"/>
      <c r="N93" s="724"/>
      <c r="O93" s="596"/>
    </row>
    <row r="94" spans="2:15" ht="21" thickBot="1" x14ac:dyDescent="0.3">
      <c r="B94" s="16">
        <f t="shared" si="10"/>
        <v>85</v>
      </c>
      <c r="C94" s="193" t="s">
        <v>147</v>
      </c>
      <c r="D94" s="108" t="s">
        <v>148</v>
      </c>
      <c r="E94" s="599" t="str">
        <f t="shared" si="9"/>
        <v>ViggoSchei</v>
      </c>
      <c r="F94" s="192">
        <f>YEAR(I$5)-_xlfn.XLOOKUP(E94,Deltakerliste!E$5:E$98,Deltakerliste!I$5:I$98)</f>
        <v>75</v>
      </c>
      <c r="G94" s="192">
        <f>_xlfn.XLOOKUP(E94,Deltakerliste!E$5:E$98,Deltakerliste!H$5:H$98)</f>
        <v>2</v>
      </c>
      <c r="H94" s="592">
        <f>VLOOKUP(F94,Deltakerliste!P$6:T$84,G94,FALSE)</f>
        <v>1.605</v>
      </c>
      <c r="I94" s="18"/>
      <c r="J94" s="132"/>
      <c r="K94" s="18"/>
      <c r="L94" s="600"/>
      <c r="M94" s="594"/>
      <c r="N94" s="724"/>
      <c r="O94" s="596"/>
    </row>
    <row r="95" spans="2:15" ht="21" thickBot="1" x14ac:dyDescent="0.3">
      <c r="B95" s="16">
        <f t="shared" si="10"/>
        <v>86</v>
      </c>
      <c r="C95" s="193" t="s">
        <v>298</v>
      </c>
      <c r="D95" s="108" t="s">
        <v>297</v>
      </c>
      <c r="E95" s="599" t="str">
        <f t="shared" si="9"/>
        <v>ØyvindSchjelderup</v>
      </c>
      <c r="F95" s="192">
        <f>YEAR(I$5)-_xlfn.XLOOKUP(E95,Deltakerliste!E$5:E$98,Deltakerliste!I$5:I$98)</f>
        <v>61</v>
      </c>
      <c r="G95" s="192">
        <f>_xlfn.XLOOKUP(E95,Deltakerliste!E$5:E$98,Deltakerliste!H$5:H$98)</f>
        <v>2</v>
      </c>
      <c r="H95" s="592">
        <f>VLOOKUP(F95,Deltakerliste!P$6:T$84,G95,FALSE)</f>
        <v>1.2190000000000001</v>
      </c>
      <c r="I95" s="18"/>
      <c r="J95" s="132"/>
      <c r="K95" s="18"/>
      <c r="L95" s="600"/>
      <c r="M95" s="594"/>
      <c r="N95" s="724"/>
      <c r="O95" s="596"/>
    </row>
    <row r="96" spans="2:15" ht="21" thickBot="1" x14ac:dyDescent="0.3">
      <c r="B96" s="16">
        <f t="shared" si="10"/>
        <v>87</v>
      </c>
      <c r="C96" s="193" t="s">
        <v>149</v>
      </c>
      <c r="D96" s="108" t="s">
        <v>150</v>
      </c>
      <c r="E96" s="599" t="str">
        <f t="shared" si="9"/>
        <v>BenteSkorge</v>
      </c>
      <c r="F96" s="192">
        <f>YEAR(I$5)-_xlfn.XLOOKUP(E96,Deltakerliste!E$5:E$98,Deltakerliste!I$5:I$98)</f>
        <v>67</v>
      </c>
      <c r="G96" s="192">
        <f>_xlfn.XLOOKUP(E96,Deltakerliste!E$5:E$98,Deltakerliste!H$5:H$98)</f>
        <v>4</v>
      </c>
      <c r="H96" s="592">
        <f>VLOOKUP(F96,Deltakerliste!P$6:T$84,G96,FALSE)</f>
        <v>1.8422000000000009</v>
      </c>
      <c r="I96" s="132"/>
      <c r="J96" s="132"/>
      <c r="K96" s="18"/>
      <c r="L96" s="600"/>
      <c r="M96" s="594"/>
      <c r="N96" s="724"/>
      <c r="O96" s="596"/>
    </row>
    <row r="97" spans="2:15" ht="21" thickBot="1" x14ac:dyDescent="0.3">
      <c r="B97" s="16">
        <f t="shared" si="10"/>
        <v>88</v>
      </c>
      <c r="C97" s="193" t="s">
        <v>155</v>
      </c>
      <c r="D97" s="108" t="s">
        <v>156</v>
      </c>
      <c r="E97" s="599" t="str">
        <f t="shared" si="9"/>
        <v>KjellrunSporild</v>
      </c>
      <c r="F97" s="192">
        <f>YEAR(I$5)-_xlfn.XLOOKUP(E97,Deltakerliste!E$5:E$98,Deltakerliste!I$5:I$98)</f>
        <v>71</v>
      </c>
      <c r="G97" s="192">
        <f>_xlfn.XLOOKUP(E97,Deltakerliste!E$5:E$98,Deltakerliste!H$5:H$98)</f>
        <v>4</v>
      </c>
      <c r="H97" s="592">
        <f>VLOOKUP(F97,Deltakerliste!P$6:T$84,G97,FALSE)</f>
        <v>1.9926000000000013</v>
      </c>
      <c r="I97" s="18"/>
      <c r="J97" s="132"/>
      <c r="K97" s="18"/>
      <c r="L97" s="600"/>
      <c r="M97" s="594"/>
      <c r="N97" s="724"/>
      <c r="O97" s="596"/>
    </row>
    <row r="98" spans="2:15" ht="21" thickBot="1" x14ac:dyDescent="0.3">
      <c r="B98" s="16">
        <f t="shared" si="10"/>
        <v>89</v>
      </c>
      <c r="C98" s="193" t="s">
        <v>232</v>
      </c>
      <c r="D98" s="133" t="s">
        <v>231</v>
      </c>
      <c r="E98" s="599" t="str">
        <f t="shared" si="9"/>
        <v>BeritSunnset</v>
      </c>
      <c r="F98" s="192">
        <f>YEAR(I$5)-_xlfn.XLOOKUP(E98,Deltakerliste!E$5:E$98,Deltakerliste!I$5:I$98)</f>
        <v>63</v>
      </c>
      <c r="G98" s="192">
        <f>_xlfn.XLOOKUP(E98,Deltakerliste!E$5:E$98,Deltakerliste!H$5:H$98)</f>
        <v>4</v>
      </c>
      <c r="H98" s="592">
        <f>VLOOKUP(F98,Deltakerliste!P$6:T$84,G98,FALSE)</f>
        <v>1.7126000000000006</v>
      </c>
      <c r="I98" s="18"/>
      <c r="J98" s="18"/>
      <c r="K98" s="18"/>
      <c r="L98" s="600"/>
      <c r="M98" s="594"/>
      <c r="N98" s="724"/>
      <c r="O98" s="596"/>
    </row>
    <row r="99" spans="2:15" ht="21" thickBot="1" x14ac:dyDescent="0.3">
      <c r="B99" s="16">
        <f t="shared" si="10"/>
        <v>90</v>
      </c>
      <c r="C99" s="193" t="s">
        <v>230</v>
      </c>
      <c r="D99" s="108" t="s">
        <v>231</v>
      </c>
      <c r="E99" s="599" t="str">
        <f t="shared" si="9"/>
        <v>TrineSunnset</v>
      </c>
      <c r="F99" s="192">
        <f>YEAR(I$5)-_xlfn.XLOOKUP(E99,Deltakerliste!E$5:E$98,Deltakerliste!I$5:I$98)</f>
        <v>63</v>
      </c>
      <c r="G99" s="192">
        <f>_xlfn.XLOOKUP(E99,Deltakerliste!E$5:E$98,Deltakerliste!H$5:H$98)</f>
        <v>4</v>
      </c>
      <c r="H99" s="592">
        <f>VLOOKUP(F99,Deltakerliste!P$6:T$84,G99,FALSE)</f>
        <v>1.7126000000000006</v>
      </c>
      <c r="I99" s="18"/>
      <c r="J99" s="18"/>
      <c r="K99" s="18"/>
      <c r="L99" s="725"/>
      <c r="M99" s="717"/>
      <c r="N99" s="726"/>
      <c r="O99" s="719"/>
    </row>
    <row r="100" spans="2:15" ht="17" thickBot="1" x14ac:dyDescent="0.25"/>
    <row r="101" spans="2:15" ht="21" thickTop="1" thickBot="1" x14ac:dyDescent="0.3">
      <c r="D101" s="646" t="s">
        <v>288</v>
      </c>
      <c r="E101" s="647"/>
      <c r="F101" s="666"/>
      <c r="G101" s="666"/>
      <c r="H101" s="666"/>
      <c r="I101" s="648" t="s">
        <v>195</v>
      </c>
      <c r="J101" s="648" t="s">
        <v>196</v>
      </c>
      <c r="K101" s="649" t="s">
        <v>197</v>
      </c>
    </row>
    <row r="102" spans="2:15" ht="20" x14ac:dyDescent="0.25">
      <c r="D102" s="634" t="s">
        <v>172</v>
      </c>
      <c r="E102" s="320"/>
      <c r="F102" s="208"/>
      <c r="G102" s="208"/>
      <c r="H102" s="208"/>
      <c r="I102" s="635">
        <f>COUNT(I10:I99)+COUNTIF(I10:I99,"Brutt")+COUNTIF(I10:I99,"Disk")+COUNTIF(I10:I99,"(*)")</f>
        <v>21</v>
      </c>
      <c r="J102" s="635">
        <f>COUNT(J10:J99)+COUNTIF(J10:J99,"Brutt")+COUNTIF(J10:J99,"Disk")+COUNTIF(J10:J99,"(*)")</f>
        <v>25</v>
      </c>
      <c r="K102" s="636">
        <f>I102+J102</f>
        <v>46</v>
      </c>
    </row>
    <row r="103" spans="2:15" ht="19" x14ac:dyDescent="0.25">
      <c r="D103" s="637" t="s">
        <v>174</v>
      </c>
      <c r="E103" s="320"/>
      <c r="F103" s="208"/>
      <c r="G103" s="208"/>
      <c r="H103" s="208"/>
      <c r="I103" s="635">
        <f>COUNT(I10:I99)</f>
        <v>21</v>
      </c>
      <c r="J103" s="635">
        <f>COUNT(J10:J99)</f>
        <v>25</v>
      </c>
      <c r="K103" s="636">
        <f t="shared" ref="K103" si="11">I103+J103</f>
        <v>46</v>
      </c>
    </row>
    <row r="104" spans="2:15" ht="19" x14ac:dyDescent="0.25">
      <c r="D104" s="637" t="s">
        <v>173</v>
      </c>
      <c r="E104" s="320"/>
      <c r="F104" s="208"/>
      <c r="G104" s="208"/>
      <c r="H104" s="208"/>
      <c r="I104" s="208"/>
      <c r="J104" s="208"/>
      <c r="K104" s="636">
        <f>K102+COUNTIF(L10:L99,"Arr")+COUNTIF(L10:L99,"Løype")</f>
        <v>49</v>
      </c>
    </row>
    <row r="105" spans="2:15" ht="19" x14ac:dyDescent="0.25">
      <c r="D105" s="637" t="s">
        <v>341</v>
      </c>
      <c r="E105" s="320"/>
      <c r="F105" s="208"/>
      <c r="G105" s="208"/>
      <c r="H105" s="208"/>
      <c r="I105" s="208"/>
      <c r="J105" s="208"/>
      <c r="K105" s="638">
        <f>IF(SUM(L10:L99)=0," ",AVERAGEIF(M10:M99,"&gt;0",F10:F99))</f>
        <v>76.510204081632651</v>
      </c>
    </row>
    <row r="106" spans="2:15" ht="19" x14ac:dyDescent="0.25">
      <c r="D106" s="637" t="s">
        <v>296</v>
      </c>
      <c r="E106" s="320"/>
      <c r="F106" s="208"/>
      <c r="G106" s="208"/>
      <c r="H106" s="208"/>
      <c r="I106" s="208"/>
      <c r="J106" s="208"/>
      <c r="K106" s="638">
        <f>AVERAGE(I8:J8)</f>
        <v>2.15</v>
      </c>
    </row>
    <row r="107" spans="2:15" ht="19" x14ac:dyDescent="0.25">
      <c r="D107" s="637" t="s">
        <v>176</v>
      </c>
      <c r="E107" s="320"/>
      <c r="F107" s="208"/>
      <c r="G107" s="208"/>
      <c r="H107" s="208"/>
      <c r="I107" s="112">
        <f>I8*I103</f>
        <v>42</v>
      </c>
      <c r="J107" s="112">
        <f>J8*J103</f>
        <v>57.499999999999993</v>
      </c>
      <c r="K107" s="638">
        <f>I107+J107</f>
        <v>99.5</v>
      </c>
    </row>
    <row r="108" spans="2:15" ht="19" x14ac:dyDescent="0.25">
      <c r="D108" s="639" t="s">
        <v>286</v>
      </c>
      <c r="E108" s="320"/>
      <c r="F108" s="208"/>
      <c r="G108" s="208"/>
      <c r="H108" s="208"/>
      <c r="I108" s="103">
        <f>IF(SUM(I10:I99)=0," ",AVERAGE(I10:I99))</f>
        <v>2.9968033509700179E-2</v>
      </c>
      <c r="J108" s="103">
        <f>IF(SUM(J10:J99)=0," ",AVERAGE(J10:J99))</f>
        <v>2.4558333333333328E-2</v>
      </c>
      <c r="K108" s="640">
        <f>IF(SUM(I10:J99)=0," ",AVERAGE(I10:J99))</f>
        <v>2.7027979066022539E-2</v>
      </c>
    </row>
    <row r="109" spans="2:15" ht="20" thickBot="1" x14ac:dyDescent="0.3">
      <c r="D109" s="641" t="s">
        <v>287</v>
      </c>
      <c r="E109" s="642"/>
      <c r="F109" s="644"/>
      <c r="G109" s="644"/>
      <c r="H109" s="644"/>
      <c r="I109" s="643"/>
      <c r="J109" s="644"/>
      <c r="K109" s="645">
        <f>MIN(L10:L99)</f>
        <v>6.637479871175524E-3</v>
      </c>
    </row>
    <row r="110" spans="2:15" ht="17" thickTop="1" x14ac:dyDescent="0.2"/>
  </sheetData>
  <autoFilter ref="C9:O99" xr:uid="{B5F91099-805E-D448-936C-D57ACAE07F43}">
    <sortState xmlns:xlrd2="http://schemas.microsoft.com/office/spreadsheetml/2017/richdata2" ref="C10:O99">
      <sortCondition ref="L9:L99"/>
    </sortState>
  </autoFilter>
  <mergeCells count="3">
    <mergeCell ref="W7:X7"/>
    <mergeCell ref="S8:U8"/>
    <mergeCell ref="W8:X8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212AD-7E61-E949-B9C5-57C2B2D9BF5C}">
  <dimension ref="B1:AC111"/>
  <sheetViews>
    <sheetView topLeftCell="A62" zoomScale="90" zoomScaleNormal="90" workbookViewId="0">
      <selection activeCell="AE61" sqref="AE61"/>
    </sheetView>
  </sheetViews>
  <sheetFormatPr baseColWidth="10" defaultColWidth="10.83203125" defaultRowHeight="16" x14ac:dyDescent="0.2"/>
  <cols>
    <col min="3" max="3" width="14.5" customWidth="1"/>
    <col min="4" max="4" width="20.1640625" customWidth="1"/>
    <col min="5" max="5" width="20.1640625" hidden="1" customWidth="1"/>
    <col min="6" max="6" width="14.5" style="15" customWidth="1"/>
    <col min="7" max="7" width="14.5" style="15" hidden="1" customWidth="1"/>
    <col min="8" max="8" width="14" style="15" customWidth="1"/>
    <col min="9" max="10" width="19.1640625" style="15" customWidth="1"/>
    <col min="11" max="11" width="17.6640625" style="15" customWidth="1"/>
    <col min="12" max="12" width="10.83203125" style="15"/>
    <col min="14" max="14" width="10.83203125" style="15"/>
    <col min="18" max="18" width="12.5" customWidth="1"/>
    <col min="19" max="19" width="13.5" customWidth="1"/>
    <col min="22" max="22" width="1.83203125" customWidth="1"/>
    <col min="23" max="23" width="15.83203125" customWidth="1"/>
    <col min="24" max="24" width="11" customWidth="1"/>
  </cols>
  <sheetData>
    <row r="1" spans="2:29" ht="8" customHeight="1" x14ac:dyDescent="0.2"/>
    <row r="2" spans="2:29" ht="8" customHeight="1" x14ac:dyDescent="0.2"/>
    <row r="5" spans="2:29" ht="26" x14ac:dyDescent="0.3">
      <c r="B5" s="21" t="s">
        <v>420</v>
      </c>
      <c r="C5" s="245" t="s">
        <v>379</v>
      </c>
      <c r="F5" s="667"/>
      <c r="G5" s="667"/>
      <c r="H5" s="671" t="s">
        <v>189</v>
      </c>
      <c r="I5" s="670">
        <f>'Løp 28'!I5+7</f>
        <v>46133</v>
      </c>
    </row>
    <row r="6" spans="2:29" ht="17" thickBot="1" x14ac:dyDescent="0.25">
      <c r="B6" s="15"/>
    </row>
    <row r="7" spans="2:29" ht="59" customHeight="1" thickBot="1" x14ac:dyDescent="0.35">
      <c r="B7" s="12" t="s">
        <v>194</v>
      </c>
      <c r="C7" s="662" t="s">
        <v>57</v>
      </c>
      <c r="D7" s="391" t="s">
        <v>58</v>
      </c>
      <c r="E7" s="663"/>
      <c r="F7" s="663" t="s">
        <v>234</v>
      </c>
      <c r="G7" s="391" t="s">
        <v>280</v>
      </c>
      <c r="H7" s="391" t="s">
        <v>235</v>
      </c>
      <c r="I7" s="391" t="s">
        <v>302</v>
      </c>
      <c r="J7" s="391" t="s">
        <v>303</v>
      </c>
      <c r="K7" s="391" t="s">
        <v>192</v>
      </c>
      <c r="L7" s="194" t="s">
        <v>209</v>
      </c>
      <c r="M7" s="392" t="s">
        <v>55</v>
      </c>
      <c r="N7" s="393" t="s">
        <v>242</v>
      </c>
      <c r="O7" s="393" t="s">
        <v>240</v>
      </c>
      <c r="Q7" s="319"/>
      <c r="R7" s="319"/>
      <c r="S7" s="755" t="str">
        <f>B5</f>
        <v>Løp 29</v>
      </c>
      <c r="T7" s="754" t="str">
        <f>C5</f>
        <v>Nilsbyen</v>
      </c>
      <c r="U7" s="730"/>
      <c r="V7" s="730"/>
      <c r="W7" s="941"/>
      <c r="X7" s="941"/>
    </row>
    <row r="8" spans="2:29" ht="23" customHeight="1" thickTop="1" thickBot="1" x14ac:dyDescent="0.35">
      <c r="B8" s="22"/>
      <c r="C8" s="394"/>
      <c r="D8" s="395"/>
      <c r="E8" s="597"/>
      <c r="F8" s="668"/>
      <c r="G8" s="668"/>
      <c r="H8" s="664"/>
      <c r="I8" s="789">
        <v>1.6</v>
      </c>
      <c r="J8" s="789">
        <v>2.8</v>
      </c>
      <c r="K8" s="391"/>
      <c r="N8" s="720"/>
      <c r="O8" s="390"/>
      <c r="S8" s="942" t="s">
        <v>312</v>
      </c>
      <c r="T8" s="943"/>
      <c r="U8" s="944"/>
      <c r="V8" s="779"/>
      <c r="W8" s="945" t="s">
        <v>313</v>
      </c>
      <c r="X8" s="940"/>
      <c r="AB8" s="836" t="s">
        <v>361</v>
      </c>
      <c r="AC8" s="827"/>
    </row>
    <row r="9" spans="2:29" ht="21" thickBot="1" x14ac:dyDescent="0.3">
      <c r="B9" s="22"/>
      <c r="C9" s="109"/>
      <c r="D9" s="105"/>
      <c r="E9" s="598"/>
      <c r="F9" s="669"/>
      <c r="G9" s="669"/>
      <c r="H9" s="665"/>
      <c r="I9" s="12"/>
      <c r="J9" s="12"/>
      <c r="K9" s="12"/>
      <c r="N9" s="722"/>
      <c r="O9" s="200"/>
      <c r="Q9" s="110"/>
      <c r="S9" s="731"/>
      <c r="T9" s="727" t="s">
        <v>311</v>
      </c>
      <c r="U9" s="750" t="s">
        <v>55</v>
      </c>
      <c r="V9" s="780"/>
      <c r="W9" s="774"/>
      <c r="X9" s="732" t="s">
        <v>55</v>
      </c>
      <c r="AB9" s="834" t="s">
        <v>234</v>
      </c>
      <c r="AC9" s="835" t="s">
        <v>362</v>
      </c>
    </row>
    <row r="10" spans="2:29" ht="21" thickBot="1" x14ac:dyDescent="0.3">
      <c r="B10" s="16">
        <v>1</v>
      </c>
      <c r="C10" s="106" t="s">
        <v>64</v>
      </c>
      <c r="D10" s="107" t="s">
        <v>65</v>
      </c>
      <c r="E10" s="599" t="str">
        <f>_xlfn.CONCAT(C10:D10)</f>
        <v>BjørnBerger</v>
      </c>
      <c r="F10" s="192">
        <f>YEAR(I$5)-_xlfn.XLOOKUP(E10,Deltakerliste!E$5:E$98,Deltakerliste!I$5:I$98)</f>
        <v>75</v>
      </c>
      <c r="G10" s="192">
        <f>_xlfn.XLOOKUP(E10,Deltakerliste!E$5:E$98,Deltakerliste!H$5:H$98)</f>
        <v>2</v>
      </c>
      <c r="H10" s="592">
        <f>VLOOKUP(F10,Deltakerliste!P$6:T$84,G10,FALSE)</f>
        <v>1.605</v>
      </c>
      <c r="I10" s="13"/>
      <c r="J10" s="13">
        <v>2.0381944444444446E-2</v>
      </c>
      <c r="K10" s="19"/>
      <c r="L10" s="600">
        <f>IF(OR(I10="Arr",J10="Arr",K10="Arr"),"Arr",IF(OR(I10="Brutt",J10="Brutt",K10="Brutt"),"Brutt",IF(OR(I10="Disk",J10="Disk",K10="Disk"),"Disk",IF(OR(I10="Løype",J10="Løype",K10="Løype"),"Løype",IF(I10&gt;0,I10/I$8,J10/J$8)))))</f>
        <v>7.279265873015874E-3</v>
      </c>
      <c r="M10" s="594">
        <f>IF(L10="Løype",Poengsammendrag!$F$2,IF(L10="Arr",Poengsammendrag!$F$3,IF(L10="Brutt",50,IF(L10="Disk",50,ROUND(MAXA(100*(MIN(L$10:L$98)/L10),50),0)))))</f>
        <v>100</v>
      </c>
      <c r="N10" s="724">
        <f>IF(L10="Arr","Arr",IF(L10="Brutt","Brutt",IF(L10="Disk","Disk",IF(L10="Løype","Løype",L10/H10))))</f>
        <v>4.5353681451812296E-3</v>
      </c>
      <c r="O10" s="596">
        <f>IF(N10="Løype",Poengsammendrag!$F$2,IF(N10="Arr",Poengsammendrag!$F$3,IF(N10="Brutt",50,IF(N10="Disk",50,ROUND(MAXA(100*(MIN(N$10:N$98)/N10),50),0)))))</f>
        <v>100</v>
      </c>
      <c r="Q10" s="672"/>
      <c r="R10" s="672"/>
      <c r="S10" s="802" t="s">
        <v>355</v>
      </c>
      <c r="T10" s="734">
        <v>7.279265873015874E-3</v>
      </c>
      <c r="U10" s="751">
        <v>100</v>
      </c>
      <c r="V10" s="781"/>
      <c r="W10" s="775" t="s">
        <v>355</v>
      </c>
      <c r="X10" s="739">
        <v>100</v>
      </c>
      <c r="AB10" s="832">
        <v>55</v>
      </c>
      <c r="AC10" s="833">
        <f>COUNTIFS(F$10:F$100,AB10,M$10:M$100,"&gt;0")</f>
        <v>0</v>
      </c>
    </row>
    <row r="11" spans="2:29" ht="21" customHeight="1" thickBot="1" x14ac:dyDescent="0.3">
      <c r="B11" s="16">
        <f>B10+1</f>
        <v>2</v>
      </c>
      <c r="C11" s="106" t="s">
        <v>138</v>
      </c>
      <c r="D11" s="107" t="s">
        <v>137</v>
      </c>
      <c r="E11" s="599" t="str">
        <f>_xlfn.CONCAT(C11:D11)</f>
        <v>GunnhildOftedal</v>
      </c>
      <c r="F11" s="192">
        <f>YEAR(I$5)-_xlfn.XLOOKUP(E11,Deltakerliste!E$5:E$98,Deltakerliste!I$5:I$98)</f>
        <v>73</v>
      </c>
      <c r="G11" s="192">
        <f>_xlfn.XLOOKUP(E11,Deltakerliste!E$5:E$98,Deltakerliste!H$5:H$98)</f>
        <v>4</v>
      </c>
      <c r="H11" s="592">
        <f>VLOOKUP(F11,Deltakerliste!P$6:T$84,G11,FALSE)</f>
        <v>2.0798000000000014</v>
      </c>
      <c r="I11" s="13"/>
      <c r="J11" s="13">
        <v>2.7523148148148147E-2</v>
      </c>
      <c r="K11" s="13"/>
      <c r="L11" s="600">
        <f>IF(OR(I11="Arr",J11="Arr",K11="Arr"),"Arr",IF(OR(I11="Brutt",J11="Brutt",K11="Brutt"),"Brutt",IF(OR(I11="Disk",J11="Disk",K11="Disk"),"Disk",IF(OR(I11="Løype",J11="Løype",K11="Løype"),"Løype",IF(I11&gt;0,I11/I$8,J11/J$8)))))</f>
        <v>9.8296957671957681E-3</v>
      </c>
      <c r="M11" s="594">
        <f>IF(L11="Løype",Poengsammendrag!$F$2,IF(L11="Arr",Poengsammendrag!$F$3,IF(L11="Brutt",50,IF(L11="Disk",50,ROUND(MAXA(100*(MIN(L$10:L$98)/L11),50),0)))))</f>
        <v>74</v>
      </c>
      <c r="N11" s="724">
        <f>IF(L11="Arr","Arr",IF(L11="Brutt","Brutt",IF(L11="Disk","Disk",IF(L11="Løype","Løype",L11/H11))))</f>
        <v>4.7262697217019716E-3</v>
      </c>
      <c r="O11" s="596">
        <f>IF(N11="Løype",Poengsammendrag!$F$2,IF(N11="Arr",Poengsammendrag!$F$3,IF(N11="Brutt",50,IF(N11="Disk",50,ROUND(MAXA(100*(MIN(N$10:N$98)/N11),50),0)))))</f>
        <v>96</v>
      </c>
      <c r="Q11" s="672"/>
      <c r="R11" s="672"/>
      <c r="S11" s="803" t="s">
        <v>368</v>
      </c>
      <c r="T11" s="736">
        <v>7.4528769841269845E-3</v>
      </c>
      <c r="U11" s="752">
        <v>98</v>
      </c>
      <c r="V11" s="781"/>
      <c r="W11" s="776" t="s">
        <v>138</v>
      </c>
      <c r="X11" s="740">
        <v>96</v>
      </c>
      <c r="AB11" s="828">
        <f>AB10+1</f>
        <v>56</v>
      </c>
      <c r="AC11" s="829">
        <f>COUNTIFS(F$10:F$100,AB11,M$10:M$100,"&gt;0")</f>
        <v>0</v>
      </c>
    </row>
    <row r="12" spans="2:29" ht="21" customHeight="1" thickBot="1" x14ac:dyDescent="0.3">
      <c r="B12" s="16">
        <f>B11+1</f>
        <v>3</v>
      </c>
      <c r="C12" s="106" t="s">
        <v>78</v>
      </c>
      <c r="D12" s="107" t="s">
        <v>79</v>
      </c>
      <c r="E12" s="599" t="str">
        <f>_xlfn.CONCAT(C12:D12)</f>
        <v>LeifEngen</v>
      </c>
      <c r="F12" s="192">
        <f>YEAR(I$5)-_xlfn.XLOOKUP(E12,Deltakerliste!E$5:E$98,Deltakerliste!I$5:I$98)</f>
        <v>85</v>
      </c>
      <c r="G12" s="192">
        <f>_xlfn.XLOOKUP(E12,Deltakerliste!E$5:E$98,Deltakerliste!H$5:H$98)</f>
        <v>2</v>
      </c>
      <c r="H12" s="592">
        <f>VLOOKUP(F12,Deltakerliste!P$6:T$84,G12,FALSE)</f>
        <v>2.2249999999999996</v>
      </c>
      <c r="I12" s="86">
        <v>1.7048611111111112E-2</v>
      </c>
      <c r="J12" s="86"/>
      <c r="K12" s="13"/>
      <c r="L12" s="600">
        <f>IF(OR(I12="Arr",J12="Arr",K12="Arr"),"Arr",IF(OR(I12="Brutt",J12="Brutt",K12="Brutt"),"Brutt",IF(OR(I12="Disk",J12="Disk",K12="Disk"),"Disk",IF(OR(I12="Løype",J12="Løype",K12="Løype"),"Løype",IF(I12&gt;0,I12/I$8,J12/J$8)))))</f>
        <v>1.0655381944444445E-2</v>
      </c>
      <c r="M12" s="594">
        <f>IF(L12="Løype",Poengsammendrag!$F$2,IF(L12="Arr",Poengsammendrag!$F$3,IF(L12="Brutt",50,IF(L12="Disk",50,ROUND(MAXA(100*(MIN(L$10:L$98)/L12),50),0)))))</f>
        <v>68</v>
      </c>
      <c r="N12" s="724">
        <f>IF(L12="Arr","Arr",IF(L12="Brutt","Brutt",IF(L12="Disk","Disk",IF(L12="Løype","Løype",L12/H12))))</f>
        <v>4.7889357053682909E-3</v>
      </c>
      <c r="O12" s="596">
        <f>IF(N12="Løype",Poengsammendrag!$F$2,IF(N12="Arr",Poengsammendrag!$F$3,IF(N12="Brutt",50,IF(N12="Disk",50,ROUND(MAXA(100*(MIN(N$10:N$98)/N12),50),0)))))</f>
        <v>95</v>
      </c>
      <c r="Q12" s="672"/>
      <c r="R12" s="672"/>
      <c r="S12" s="803" t="s">
        <v>342</v>
      </c>
      <c r="T12" s="736">
        <v>7.5810185185185191E-3</v>
      </c>
      <c r="U12" s="752">
        <v>96</v>
      </c>
      <c r="V12" s="781"/>
      <c r="W12" s="776" t="s">
        <v>338</v>
      </c>
      <c r="X12" s="740">
        <v>95</v>
      </c>
      <c r="AB12" s="828">
        <f t="shared" ref="AB12:AB50" si="0">AB11+1</f>
        <v>57</v>
      </c>
      <c r="AC12" s="829">
        <f>COUNTIFS(F$10:F$100,AB12,M$10:M$100,"&gt;0")</f>
        <v>0</v>
      </c>
    </row>
    <row r="13" spans="2:29" ht="21" customHeight="1" thickBot="1" x14ac:dyDescent="0.3">
      <c r="B13" s="16">
        <f>B12+1</f>
        <v>4</v>
      </c>
      <c r="C13" s="106" t="s">
        <v>112</v>
      </c>
      <c r="D13" s="107" t="s">
        <v>113</v>
      </c>
      <c r="E13" s="599" t="str">
        <f>_xlfn.CONCAT(C13:D13)</f>
        <v>ToridKvaal</v>
      </c>
      <c r="F13" s="192">
        <f>YEAR(I$5)-_xlfn.XLOOKUP(E13,Deltakerliste!E$5:E$98,Deltakerliste!I$5:I$98)</f>
        <v>84</v>
      </c>
      <c r="G13" s="192">
        <f>_xlfn.XLOOKUP(E13,Deltakerliste!E$5:E$98,Deltakerliste!H$5:H$98)</f>
        <v>4</v>
      </c>
      <c r="H13" s="592">
        <f>VLOOKUP(F13,Deltakerliste!P$6:T$84,G13,FALSE)</f>
        <v>2.7814000000000005</v>
      </c>
      <c r="I13" s="86">
        <v>2.1956018518518517E-2</v>
      </c>
      <c r="J13" s="86"/>
      <c r="K13" s="13"/>
      <c r="L13" s="600">
        <f>IF(OR(I13="Arr",J13="Arr",K13="Arr"),"Arr",IF(OR(I13="Brutt",J13="Brutt",K13="Brutt"),"Brutt",IF(OR(I13="Disk",J13="Disk",K13="Disk"),"Disk",IF(OR(I13="Løype",J13="Løype",K13="Løype"),"Løype",IF(I13&gt;0,I13/I$8,J13/J$8)))))</f>
        <v>1.3722511574074073E-2</v>
      </c>
      <c r="M13" s="594">
        <f>IF(L13="Løype",Poengsammendrag!$F$2,IF(L13="Arr",Poengsammendrag!$F$3,IF(L13="Brutt",50,IF(L13="Disk",50,ROUND(MAXA(100*(MIN(L$10:L$98)/L13),50),0)))))</f>
        <v>53</v>
      </c>
      <c r="N13" s="724">
        <f>IF(L13="Arr","Arr",IF(L13="Brutt","Brutt",IF(L13="Disk","Disk",IF(L13="Løype","Løype",L13/H13))))</f>
        <v>4.9336706601258613E-3</v>
      </c>
      <c r="O13" s="596">
        <f>IF(N13="Løype",Poengsammendrag!$F$2,IF(N13="Arr",Poengsammendrag!$F$3,IF(N13="Brutt",50,IF(N13="Disk",50,ROUND(MAXA(100*(MIN(N$10:N$98)/N13),50),0)))))</f>
        <v>92</v>
      </c>
      <c r="Q13" s="672"/>
      <c r="R13" s="672"/>
      <c r="S13" s="803" t="s">
        <v>345</v>
      </c>
      <c r="T13" s="736">
        <v>7.767030423280424E-3</v>
      </c>
      <c r="U13" s="752">
        <v>94</v>
      </c>
      <c r="V13" s="781"/>
      <c r="W13" s="776" t="s">
        <v>112</v>
      </c>
      <c r="X13" s="740">
        <v>92</v>
      </c>
      <c r="AB13" s="828">
        <f t="shared" si="0"/>
        <v>58</v>
      </c>
      <c r="AC13" s="829">
        <f>COUNTIFS(F$10:F$100,AB13,M$10:M$100,"&gt;0")</f>
        <v>1</v>
      </c>
    </row>
    <row r="14" spans="2:29" ht="21" customHeight="1" thickBot="1" x14ac:dyDescent="0.3">
      <c r="B14" s="16">
        <f>B13+1</f>
        <v>5</v>
      </c>
      <c r="C14" s="106" t="s">
        <v>88</v>
      </c>
      <c r="D14" s="107" t="s">
        <v>89</v>
      </c>
      <c r="E14" s="599" t="str">
        <f>_xlfn.CONCAT(C14:D14)</f>
        <v>EdgarFuruholt</v>
      </c>
      <c r="F14" s="192">
        <f>YEAR(I$5)-_xlfn.XLOOKUP(E14,Deltakerliste!E$5:E$98,Deltakerliste!I$5:I$98)</f>
        <v>79</v>
      </c>
      <c r="G14" s="192">
        <f>_xlfn.XLOOKUP(E14,Deltakerliste!E$5:E$98,Deltakerliste!H$5:H$98)</f>
        <v>2</v>
      </c>
      <c r="H14" s="592">
        <f>VLOOKUP(F14,Deltakerliste!P$6:T$84,G14,FALSE)</f>
        <v>1.8050000000000002</v>
      </c>
      <c r="I14" s="132"/>
      <c r="J14" s="132">
        <v>2.5347222222222222E-2</v>
      </c>
      <c r="K14" s="18"/>
      <c r="L14" s="600">
        <f>IF(OR(I14="Arr",J14="Arr",K14="Arr"),"Arr",IF(OR(I14="Brutt",J14="Brutt",K14="Brutt"),"Brutt",IF(OR(I14="Disk",J14="Disk",K14="Disk"),"Disk",IF(OR(I14="Løype",J14="Løype",K14="Løype"),"Løype",IF(I14&gt;0,I14/I$8,J14/J$8)))))</f>
        <v>9.0525793650793659E-3</v>
      </c>
      <c r="M14" s="594">
        <f>IF(L14="Løype",Poengsammendrag!$F$2,IF(L14="Arr",Poengsammendrag!$F$3,IF(L14="Brutt",50,IF(L14="Disk",50,ROUND(MAXA(100*(MIN(L$10:L$98)/L14),50),0)))))</f>
        <v>80</v>
      </c>
      <c r="N14" s="724">
        <f>IF(L14="Arr","Arr",IF(L14="Brutt","Brutt",IF(L14="Disk","Disk",IF(L14="Løype","Løype",L14/H14))))</f>
        <v>5.0152794266367677E-3</v>
      </c>
      <c r="O14" s="596">
        <f>IF(N14="Løype",Poengsammendrag!$F$2,IF(N14="Arr",Poengsammendrag!$F$3,IF(N14="Brutt",50,IF(N14="Disk",50,ROUND(MAXA(100*(MIN(N$10:N$98)/N14),50),0)))))</f>
        <v>90</v>
      </c>
      <c r="Q14" s="672"/>
      <c r="R14" s="672"/>
      <c r="S14" s="803" t="s">
        <v>134</v>
      </c>
      <c r="T14" s="736">
        <v>8.3498677248677253E-3</v>
      </c>
      <c r="U14" s="752">
        <v>87</v>
      </c>
      <c r="V14" s="781"/>
      <c r="W14" s="776" t="s">
        <v>88</v>
      </c>
      <c r="X14" s="740">
        <v>90</v>
      </c>
      <c r="AB14" s="828">
        <f t="shared" si="0"/>
        <v>59</v>
      </c>
      <c r="AC14" s="829">
        <f>COUNTIFS(F$10:F$100,AB14,M$10:M$100,"&gt;0")</f>
        <v>0</v>
      </c>
    </row>
    <row r="15" spans="2:29" ht="21" customHeight="1" thickBot="1" x14ac:dyDescent="0.3">
      <c r="B15" s="16">
        <f>B14+1</f>
        <v>6</v>
      </c>
      <c r="C15" s="106" t="s">
        <v>124</v>
      </c>
      <c r="D15" s="107" t="s">
        <v>125</v>
      </c>
      <c r="E15" s="599" t="str">
        <f>_xlfn.CONCAT(C15:D15)</f>
        <v>Heidi Midttun</v>
      </c>
      <c r="F15" s="192">
        <f>YEAR(I$5)-_xlfn.XLOOKUP(E15,Deltakerliste!E$5:E$98,Deltakerliste!I$5:I$98)</f>
        <v>71</v>
      </c>
      <c r="G15" s="192">
        <f>_xlfn.XLOOKUP(E15,Deltakerliste!E$5:E$98,Deltakerliste!H$5:H$98)</f>
        <v>4</v>
      </c>
      <c r="H15" s="592">
        <f>VLOOKUP(F15,Deltakerliste!P$6:T$84,G15,FALSE)</f>
        <v>1.9926000000000013</v>
      </c>
      <c r="I15" s="13"/>
      <c r="J15" s="13">
        <v>2.9872685185185186E-2</v>
      </c>
      <c r="K15" s="13"/>
      <c r="L15" s="600">
        <f>IF(OR(I15="Arr",J15="Arr",K15="Arr"),"Arr",IF(OR(I15="Brutt",J15="Brutt",K15="Brutt"),"Brutt",IF(OR(I15="Disk",J15="Disk",K15="Disk"),"Disk",IF(OR(I15="Løype",J15="Løype",K15="Løype"),"Løype",IF(I15&gt;0,I15/I$8,J15/J$8)))))</f>
        <v>1.0668816137566138E-2</v>
      </c>
      <c r="M15" s="594">
        <f>IF(L15="Løype",Poengsammendrag!$F$2,IF(L15="Arr",Poengsammendrag!$F$3,IF(L15="Brutt",50,IF(L15="Disk",50,ROUND(MAXA(100*(MIN(L$10:L$98)/L15),50),0)))))</f>
        <v>68</v>
      </c>
      <c r="N15" s="724">
        <f>IF(L15="Arr","Arr",IF(L15="Brutt","Brutt",IF(L15="Disk","Disk",IF(L15="Løype","Løype",L15/H15))))</f>
        <v>5.3542186778912631E-3</v>
      </c>
      <c r="O15" s="596">
        <f>IF(N15="Løype",Poengsammendrag!$F$2,IF(N15="Arr",Poengsammendrag!$F$3,IF(N15="Brutt",50,IF(N15="Disk",50,ROUND(MAXA(100*(MIN(N$10:N$98)/N15),50),0)))))</f>
        <v>85</v>
      </c>
      <c r="Q15" s="672"/>
      <c r="R15" s="672"/>
      <c r="S15" s="803" t="s">
        <v>120</v>
      </c>
      <c r="T15" s="736">
        <v>8.6061507936507943E-3</v>
      </c>
      <c r="U15" s="752">
        <v>85</v>
      </c>
      <c r="V15" s="781"/>
      <c r="W15" s="776" t="s">
        <v>124</v>
      </c>
      <c r="X15" s="740">
        <v>85</v>
      </c>
      <c r="AB15" s="828">
        <f t="shared" si="0"/>
        <v>60</v>
      </c>
      <c r="AC15" s="829">
        <f>COUNTIFS(F$10:F$100,AB15,M$10:M$100,"&gt;0")</f>
        <v>1</v>
      </c>
    </row>
    <row r="16" spans="2:29" ht="21" customHeight="1" thickBot="1" x14ac:dyDescent="0.3">
      <c r="B16" s="16">
        <f>B15+1</f>
        <v>7</v>
      </c>
      <c r="C16" s="106" t="s">
        <v>70</v>
      </c>
      <c r="D16" s="107" t="s">
        <v>71</v>
      </c>
      <c r="E16" s="599" t="str">
        <f>_xlfn.CONCAT(C16:D16)</f>
        <v>TrondDamås</v>
      </c>
      <c r="F16" s="192">
        <f>YEAR(I$5)-_xlfn.XLOOKUP(E16,Deltakerliste!E$5:E$98,Deltakerliste!I$5:I$98)</f>
        <v>76</v>
      </c>
      <c r="G16" s="192">
        <f>_xlfn.XLOOKUP(E16,Deltakerliste!E$5:E$98,Deltakerliste!H$5:H$98)</f>
        <v>2</v>
      </c>
      <c r="H16" s="592">
        <f>VLOOKUP(F16,Deltakerliste!P$6:T$84,G16,FALSE)</f>
        <v>1.655</v>
      </c>
      <c r="I16" s="13">
        <v>1.4456018518518519E-2</v>
      </c>
      <c r="J16" s="13"/>
      <c r="K16" s="13"/>
      <c r="L16" s="600">
        <f>IF(OR(I16="Arr",J16="Arr",K16="Arr"),"Arr",IF(OR(I16="Brutt",J16="Brutt",K16="Brutt"),"Brutt",IF(OR(I16="Disk",J16="Disk",K16="Disk"),"Disk",IF(OR(I16="Løype",J16="Løype",K16="Løype"),"Løype",IF(I16&gt;0,I16/I$8,J16/J$8)))))</f>
        <v>9.0350115740740738E-3</v>
      </c>
      <c r="M16" s="594">
        <f>IF(L16="Løype",Poengsammendrag!$F$2,IF(L16="Arr",Poengsammendrag!$F$3,IF(L16="Brutt",50,IF(L16="Disk",50,ROUND(MAXA(100*(MIN(L$10:L$98)/L16),50),0)))))</f>
        <v>81</v>
      </c>
      <c r="N16" s="724">
        <f>IF(L16="Arr","Arr",IF(L16="Brutt","Brutt",IF(L16="Disk","Disk",IF(L16="Løype","Løype",L16/H16))))</f>
        <v>5.459221494908806E-3</v>
      </c>
      <c r="O16" s="596">
        <f>IF(N16="Løype",Poengsammendrag!$F$2,IF(N16="Arr",Poengsammendrag!$F$3,IF(N16="Brutt",50,IF(N16="Disk",50,ROUND(MAXA(100*(MIN(N$10:N$98)/N16),50),0)))))</f>
        <v>83</v>
      </c>
      <c r="Q16" s="672"/>
      <c r="R16" s="672"/>
      <c r="S16" s="803" t="s">
        <v>70</v>
      </c>
      <c r="T16" s="736">
        <v>9.0350115740740738E-3</v>
      </c>
      <c r="U16" s="752">
        <v>81</v>
      </c>
      <c r="V16" s="781"/>
      <c r="W16" s="776" t="s">
        <v>70</v>
      </c>
      <c r="X16" s="740">
        <v>83</v>
      </c>
      <c r="AB16" s="828">
        <f t="shared" si="0"/>
        <v>61</v>
      </c>
      <c r="AC16" s="829">
        <f>COUNTIFS(F$10:F$100,AB16,M$10:M$100,"&gt;0")</f>
        <v>0</v>
      </c>
    </row>
    <row r="17" spans="2:29" ht="21" customHeight="1" thickBot="1" x14ac:dyDescent="0.3">
      <c r="B17" s="16">
        <f>B16+1</f>
        <v>8</v>
      </c>
      <c r="C17" s="106" t="s">
        <v>122</v>
      </c>
      <c r="D17" s="107" t="s">
        <v>123</v>
      </c>
      <c r="E17" s="599" t="str">
        <f>_xlfn.CONCAT(C17:D17)</f>
        <v>MartinMelhuus</v>
      </c>
      <c r="F17" s="192">
        <f>YEAR(I$5)-_xlfn.XLOOKUP(E17,Deltakerliste!E$5:E$98,Deltakerliste!I$5:I$98)</f>
        <v>82</v>
      </c>
      <c r="G17" s="192">
        <f>_xlfn.XLOOKUP(E17,Deltakerliste!E$5:E$98,Deltakerliste!H$5:H$98)</f>
        <v>2</v>
      </c>
      <c r="H17" s="592">
        <f>VLOOKUP(F17,Deltakerliste!P$6:T$84,G17,FALSE)</f>
        <v>2.0030000000000001</v>
      </c>
      <c r="I17" s="13">
        <v>1.7962962962962962E-2</v>
      </c>
      <c r="J17" s="13"/>
      <c r="K17" s="13"/>
      <c r="L17" s="600">
        <f>IF(OR(I17="Arr",J17="Arr",K17="Arr"),"Arr",IF(OR(I17="Brutt",J17="Brutt",K17="Brutt"),"Brutt",IF(OR(I17="Disk",J17="Disk",K17="Disk"),"Disk",IF(OR(I17="Løype",J17="Løype",K17="Løype"),"Løype",IF(I17&gt;0,I17/I$8,J17/J$8)))))</f>
        <v>1.1226851851851851E-2</v>
      </c>
      <c r="M17" s="594">
        <f>IF(L17="Løype",Poengsammendrag!$F$2,IF(L17="Arr",Poengsammendrag!$F$3,IF(L17="Brutt",50,IF(L17="Disk",50,ROUND(MAXA(100*(MIN(L$10:L$98)/L17),50),0)))))</f>
        <v>65</v>
      </c>
      <c r="N17" s="724">
        <f>IF(L17="Arr","Arr",IF(L17="Brutt","Brutt",IF(L17="Disk","Disk",IF(L17="Løype","Løype",L17/H17))))</f>
        <v>5.6050183983284325E-3</v>
      </c>
      <c r="O17" s="596">
        <f>IF(N17="Løype",Poengsammendrag!$F$2,IF(N17="Arr",Poengsammendrag!$F$3,IF(N17="Brutt",50,IF(N17="Disk",50,ROUND(MAXA(100*(MIN(N$10:N$98)/N17),50),0)))))</f>
        <v>81</v>
      </c>
      <c r="Q17" s="672"/>
      <c r="R17" s="672"/>
      <c r="S17" s="803" t="s">
        <v>88</v>
      </c>
      <c r="T17" s="736">
        <v>9.0525793650793659E-3</v>
      </c>
      <c r="U17" s="752">
        <v>80</v>
      </c>
      <c r="V17" s="781"/>
      <c r="W17" s="776" t="s">
        <v>122</v>
      </c>
      <c r="X17" s="740">
        <v>81</v>
      </c>
      <c r="AB17" s="828">
        <f t="shared" si="0"/>
        <v>62</v>
      </c>
      <c r="AC17" s="829">
        <f>COUNTIFS(F$10:F$100,AB17,M$10:M$100,"&gt;0")</f>
        <v>1</v>
      </c>
    </row>
    <row r="18" spans="2:29" ht="21" customHeight="1" thickBot="1" x14ac:dyDescent="0.3">
      <c r="B18" s="16">
        <f>B17+1</f>
        <v>9</v>
      </c>
      <c r="C18" s="106" t="s">
        <v>80</v>
      </c>
      <c r="D18" s="107" t="s">
        <v>81</v>
      </c>
      <c r="E18" s="599" t="str">
        <f>_xlfn.CONCAT(C18:D18)</f>
        <v>HalvorFlatberg</v>
      </c>
      <c r="F18" s="192">
        <f>YEAR(I$5)-_xlfn.XLOOKUP(E18,Deltakerliste!E$5:E$98,Deltakerliste!I$5:I$98)</f>
        <v>80</v>
      </c>
      <c r="G18" s="192">
        <f>_xlfn.XLOOKUP(E18,Deltakerliste!E$5:E$98,Deltakerliste!H$5:H$98)</f>
        <v>2</v>
      </c>
      <c r="H18" s="592">
        <f>VLOOKUP(F18,Deltakerliste!P$6:T$84,G18,FALSE)</f>
        <v>1.8550000000000002</v>
      </c>
      <c r="I18" s="86">
        <v>1.6863425925925928E-2</v>
      </c>
      <c r="J18" s="86"/>
      <c r="K18" s="13"/>
      <c r="L18" s="600">
        <f>IF(OR(I18="Arr",J18="Arr",K18="Arr"),"Arr",IF(OR(I18="Brutt",J18="Brutt",K18="Brutt"),"Brutt",IF(OR(I18="Disk",J18="Disk",K18="Disk"),"Disk",IF(OR(I18="Løype",J18="Løype",K18="Løype"),"Løype",IF(I18&gt;0,I18/I$8,J18/J$8)))))</f>
        <v>1.0539641203703704E-2</v>
      </c>
      <c r="M18" s="594">
        <f>IF(L18="Løype",Poengsammendrag!$F$2,IF(L18="Arr",Poengsammendrag!$F$3,IF(L18="Brutt",50,IF(L18="Disk",50,ROUND(MAXA(100*(MIN(L$10:L$98)/L18),50),0)))))</f>
        <v>69</v>
      </c>
      <c r="N18" s="724">
        <f>IF(L18="Arr","Arr",IF(L18="Brutt","Brutt",IF(L18="Disk","Disk",IF(L18="Løype","Løype",L18/H18))))</f>
        <v>5.6817472796246377E-3</v>
      </c>
      <c r="O18" s="596">
        <f>IF(N18="Løype",Poengsammendrag!$F$2,IF(N18="Arr",Poengsammendrag!$F$3,IF(N18="Brutt",50,IF(N18="Disk",50,ROUND(MAXA(100*(MIN(N$10:N$98)/N18),50),0)))))</f>
        <v>80</v>
      </c>
      <c r="Q18" s="672"/>
      <c r="R18" s="672"/>
      <c r="S18" s="803" t="s">
        <v>163</v>
      </c>
      <c r="T18" s="736">
        <v>9.3501984126984124E-3</v>
      </c>
      <c r="U18" s="752">
        <v>78</v>
      </c>
      <c r="V18" s="781"/>
      <c r="W18" s="776" t="s">
        <v>80</v>
      </c>
      <c r="X18" s="740">
        <v>80</v>
      </c>
      <c r="AB18" s="828">
        <f t="shared" si="0"/>
        <v>63</v>
      </c>
      <c r="AC18" s="829">
        <f>COUNTIFS(F$10:F$100,AB18,M$10:M$100,"&gt;0")</f>
        <v>0</v>
      </c>
    </row>
    <row r="19" spans="2:29" ht="21" thickBot="1" x14ac:dyDescent="0.3">
      <c r="B19" s="16">
        <f>B18+1</f>
        <v>10</v>
      </c>
      <c r="C19" s="106" t="s">
        <v>120</v>
      </c>
      <c r="D19" s="107" t="s">
        <v>121</v>
      </c>
      <c r="E19" s="599" t="str">
        <f>_xlfn.CONCAT(C19:D19)</f>
        <v>KlausLivik</v>
      </c>
      <c r="F19" s="192">
        <f>YEAR(I$5)-_xlfn.XLOOKUP(E19,Deltakerliste!E$5:E$98,Deltakerliste!I$5:I$98)</f>
        <v>72</v>
      </c>
      <c r="G19" s="192">
        <f>_xlfn.XLOOKUP(E19,Deltakerliste!E$5:E$98,Deltakerliste!H$5:H$98)</f>
        <v>2</v>
      </c>
      <c r="H19" s="592">
        <f>VLOOKUP(F19,Deltakerliste!P$6:T$84,G19,FALSE)</f>
        <v>1.4969999999999999</v>
      </c>
      <c r="I19" s="13"/>
      <c r="J19" s="13">
        <v>2.4097222222222221E-2</v>
      </c>
      <c r="K19" s="17"/>
      <c r="L19" s="600">
        <f>IF(OR(I19="Arr",J19="Arr",K19="Arr"),"Arr",IF(OR(I19="Brutt",J19="Brutt",K19="Brutt"),"Brutt",IF(OR(I19="Disk",J19="Disk",K19="Disk"),"Disk",IF(OR(I19="Løype",J19="Løype",K19="Løype"),"Løype",IF(I19&gt;0,I19/I$8,J19/J$8)))))</f>
        <v>8.6061507936507943E-3</v>
      </c>
      <c r="M19" s="594">
        <f>IF(L19="Løype",Poengsammendrag!$F$2,IF(L19="Arr",Poengsammendrag!$F$3,IF(L19="Brutt",50,IF(L19="Disk",50,ROUND(MAXA(100*(MIN(L$10:L$98)/L19),50),0)))))</f>
        <v>85</v>
      </c>
      <c r="N19" s="724">
        <f>IF(L19="Arr","Arr",IF(L19="Brutt","Brutt",IF(L19="Disk","Disk",IF(L19="Løype","Løype",L19/H19))))</f>
        <v>5.7489317258856342E-3</v>
      </c>
      <c r="O19" s="596">
        <f>IF(N19="Løype",Poengsammendrag!$F$2,IF(N19="Arr",Poengsammendrag!$F$3,IF(N19="Brutt",50,IF(N19="Disk",50,ROUND(MAXA(100*(MIN(N$10:N$98)/N19),50),0)))))</f>
        <v>79</v>
      </c>
      <c r="Q19" s="672"/>
      <c r="R19" s="672"/>
      <c r="S19" s="803" t="s">
        <v>340</v>
      </c>
      <c r="T19" s="736">
        <v>9.6230158730158735E-3</v>
      </c>
      <c r="U19" s="752">
        <v>76</v>
      </c>
      <c r="V19" s="781"/>
      <c r="W19" s="776" t="s">
        <v>120</v>
      </c>
      <c r="X19" s="740">
        <v>79</v>
      </c>
      <c r="AB19" s="828">
        <f t="shared" si="0"/>
        <v>64</v>
      </c>
      <c r="AC19" s="829">
        <f>COUNTIFS(F$10:F$100,AB19,M$10:M$100,"&gt;0")</f>
        <v>0</v>
      </c>
    </row>
    <row r="20" spans="2:29" ht="21" thickBot="1" x14ac:dyDescent="0.3">
      <c r="B20" s="16">
        <f>B19+1</f>
        <v>11</v>
      </c>
      <c r="C20" s="106" t="s">
        <v>64</v>
      </c>
      <c r="D20" s="107" t="s">
        <v>366</v>
      </c>
      <c r="E20" s="599" t="str">
        <f>_xlfn.CONCAT(C20:D20)</f>
        <v>BjørnHafskjold</v>
      </c>
      <c r="F20" s="192">
        <f>YEAR(I$5)-_xlfn.XLOOKUP(E20,Deltakerliste!E$5:E$98,Deltakerliste!I$5:I$98)</f>
        <v>79</v>
      </c>
      <c r="G20" s="192">
        <f>_xlfn.XLOOKUP(E20,Deltakerliste!E$5:E$98,Deltakerliste!H$5:H$98)</f>
        <v>2</v>
      </c>
      <c r="H20" s="592">
        <f>VLOOKUP(F20,Deltakerliste!P$6:T$84,G20,FALSE)</f>
        <v>1.8050000000000002</v>
      </c>
      <c r="I20" s="14">
        <v>1.6701388888888891E-2</v>
      </c>
      <c r="J20" s="14"/>
      <c r="K20" s="18"/>
      <c r="L20" s="600">
        <f>IF(OR(I20="Arr",J20="Arr",K20="Arr"),"Arr",IF(OR(I20="Brutt",J20="Brutt",K20="Brutt"),"Brutt",IF(OR(I20="Disk",J20="Disk",K20="Disk"),"Disk",IF(OR(I20="Løype",J20="Løype",K20="Løype"),"Løype",IF(I20&gt;0,I20/I$8,J20/J$8)))))</f>
        <v>1.0438368055555557E-2</v>
      </c>
      <c r="M20" s="594">
        <f>IF(L20="Løype",Poengsammendrag!$F$2,IF(L20="Arr",Poengsammendrag!$F$3,IF(L20="Brutt",50,IF(L20="Disk",50,ROUND(MAXA(100*(MIN(L$10:L$98)/L20),50),0)))))</f>
        <v>70</v>
      </c>
      <c r="N20" s="724">
        <f>IF(L20="Arr","Arr",IF(L20="Brutt","Brutt",IF(L20="Disk","Disk",IF(L20="Løype","Løype",L20/H20))))</f>
        <v>5.7830293936595879E-3</v>
      </c>
      <c r="O20" s="596">
        <f>IF(N20="Løype",Poengsammendrag!$F$2,IF(N20="Arr",Poengsammendrag!$F$3,IF(N20="Brutt",50,IF(N20="Disk",50,ROUND(MAXA(100*(MIN(N$10:N$98)/N20),50),0)))))</f>
        <v>78</v>
      </c>
      <c r="Q20" s="672"/>
      <c r="R20" s="672"/>
      <c r="S20" s="803" t="s">
        <v>138</v>
      </c>
      <c r="T20" s="736">
        <v>9.8296957671957681E-3</v>
      </c>
      <c r="U20" s="752">
        <v>74</v>
      </c>
      <c r="V20" s="781"/>
      <c r="W20" s="776" t="s">
        <v>367</v>
      </c>
      <c r="X20" s="740">
        <v>78</v>
      </c>
      <c r="AB20" s="828">
        <f t="shared" si="0"/>
        <v>65</v>
      </c>
      <c r="AC20" s="829">
        <f>COUNTIFS(F$10:F$100,AB20,M$10:M$100,"&gt;0")</f>
        <v>0</v>
      </c>
    </row>
    <row r="21" spans="2:29" ht="21" customHeight="1" thickBot="1" x14ac:dyDescent="0.3">
      <c r="B21" s="16">
        <f>B20+1</f>
        <v>12</v>
      </c>
      <c r="C21" s="106" t="s">
        <v>153</v>
      </c>
      <c r="D21" s="107" t="s">
        <v>154</v>
      </c>
      <c r="E21" s="599" t="str">
        <f>_xlfn.CONCAT(C21:D21)</f>
        <v>ReidunSmaavik</v>
      </c>
      <c r="F21" s="192">
        <f>YEAR(I$5)-_xlfn.XLOOKUP(E21,Deltakerliste!E$5:E$98,Deltakerliste!I$5:I$98)</f>
        <v>71</v>
      </c>
      <c r="G21" s="192">
        <f>_xlfn.XLOOKUP(E21,Deltakerliste!E$5:E$98,Deltakerliste!H$5:H$98)</f>
        <v>4</v>
      </c>
      <c r="H21" s="592">
        <f>VLOOKUP(F21,Deltakerliste!P$6:T$84,G21,FALSE)</f>
        <v>1.9926000000000013</v>
      </c>
      <c r="I21" s="132">
        <v>1.849537037037037E-2</v>
      </c>
      <c r="J21" s="18"/>
      <c r="K21" s="18"/>
      <c r="L21" s="600">
        <f>IF(OR(I21="Arr",J21="Arr",K21="Arr"),"Arr",IF(OR(I21="Brutt",J21="Brutt",K21="Brutt"),"Brutt",IF(OR(I21="Disk",J21="Disk",K21="Disk"),"Disk",IF(OR(I21="Løype",J21="Løype",K21="Løype"),"Løype",IF(I21&gt;0,I21/I$8,J21/J$8)))))</f>
        <v>1.1559606481481481E-2</v>
      </c>
      <c r="M21" s="594">
        <f>IF(L21="Løype",Poengsammendrag!$F$2,IF(L21="Arr",Poengsammendrag!$F$3,IF(L21="Brutt",50,IF(L21="Disk",50,ROUND(MAXA(100*(MIN(L$10:L$98)/L21),50),0)))))</f>
        <v>63</v>
      </c>
      <c r="N21" s="724">
        <f>IF(L21="Arr","Arr",IF(L21="Brutt","Brutt",IF(L21="Disk","Disk",IF(L21="Løype","Løype",L21/H21))))</f>
        <v>5.8012679320894678E-3</v>
      </c>
      <c r="O21" s="596">
        <f>IF(N21="Løype",Poengsammendrag!$F$2,IF(N21="Arr",Poengsammendrag!$F$3,IF(N21="Brutt",50,IF(N21="Disk",50,ROUND(MAXA(100*(MIN(N$10:N$98)/N21),50),0)))))</f>
        <v>78</v>
      </c>
      <c r="Q21" s="672"/>
      <c r="R21" s="672"/>
      <c r="S21" s="803" t="s">
        <v>350</v>
      </c>
      <c r="T21" s="736">
        <v>9.928902116402117E-3</v>
      </c>
      <c r="U21" s="752">
        <v>73</v>
      </c>
      <c r="V21" s="781"/>
      <c r="W21" s="776" t="s">
        <v>153</v>
      </c>
      <c r="X21" s="740">
        <v>78</v>
      </c>
      <c r="AB21" s="828">
        <f t="shared" si="0"/>
        <v>66</v>
      </c>
      <c r="AC21" s="829">
        <f>COUNTIFS(F$10:F$100,AB21,M$10:M$100,"&gt;0")</f>
        <v>1</v>
      </c>
    </row>
    <row r="22" spans="2:29" ht="21" customHeight="1" thickBot="1" x14ac:dyDescent="0.3">
      <c r="B22" s="16">
        <f>B21+1</f>
        <v>13</v>
      </c>
      <c r="C22" s="106" t="s">
        <v>149</v>
      </c>
      <c r="D22" s="107" t="s">
        <v>150</v>
      </c>
      <c r="E22" s="599" t="str">
        <f>_xlfn.CONCAT(C22:D22)</f>
        <v>BenteSkorge</v>
      </c>
      <c r="F22" s="192">
        <f>YEAR(I$5)-_xlfn.XLOOKUP(E22,Deltakerliste!E$5:E$98,Deltakerliste!I$5:I$98)</f>
        <v>67</v>
      </c>
      <c r="G22" s="192">
        <f>_xlfn.XLOOKUP(E22,Deltakerliste!E$5:E$98,Deltakerliste!H$5:H$98)</f>
        <v>4</v>
      </c>
      <c r="H22" s="592">
        <f>VLOOKUP(F22,Deltakerliste!P$6:T$84,G22,FALSE)</f>
        <v>1.8422000000000009</v>
      </c>
      <c r="I22" s="132"/>
      <c r="J22" s="132">
        <v>3.0081018518518517E-2</v>
      </c>
      <c r="K22" s="18"/>
      <c r="L22" s="600">
        <f>IF(OR(I22="Arr",J22="Arr",K22="Arr"),"Arr",IF(OR(I22="Brutt",J22="Brutt",K22="Brutt"),"Brutt",IF(OR(I22="Disk",J22="Disk",K22="Disk"),"Disk",IF(OR(I22="Løype",J22="Løype",K22="Løype"),"Løype",IF(I22&gt;0,I22/I$8,J22/J$8)))))</f>
        <v>1.07432208994709E-2</v>
      </c>
      <c r="M22" s="594">
        <f>IF(L22="Løype",Poengsammendrag!$F$2,IF(L22="Arr",Poengsammendrag!$F$3,IF(L22="Brutt",50,IF(L22="Disk",50,ROUND(MAXA(100*(MIN(L$10:L$98)/L22),50),0)))))</f>
        <v>68</v>
      </c>
      <c r="N22" s="724">
        <f>IF(L22="Arr","Arr",IF(L22="Brutt","Brutt",IF(L22="Disk","Disk",IF(L22="Løype","Løype",L22/H22))))</f>
        <v>5.8317342848066955E-3</v>
      </c>
      <c r="O22" s="596">
        <f>IF(N22="Løype",Poengsammendrag!$F$2,IF(N22="Arr",Poengsammendrag!$F$3,IF(N22="Brutt",50,IF(N22="Disk",50,ROUND(MAXA(100*(MIN(N$10:N$98)/N22),50),0)))))</f>
        <v>78</v>
      </c>
      <c r="Q22" s="672"/>
      <c r="R22" s="672"/>
      <c r="S22" s="803" t="s">
        <v>99</v>
      </c>
      <c r="T22" s="736">
        <v>9.9661044973544978E-3</v>
      </c>
      <c r="U22" s="752">
        <v>73</v>
      </c>
      <c r="V22" s="781"/>
      <c r="W22" s="776" t="s">
        <v>149</v>
      </c>
      <c r="X22" s="740">
        <v>78</v>
      </c>
      <c r="AB22" s="828">
        <f t="shared" si="0"/>
        <v>67</v>
      </c>
      <c r="AC22" s="829">
        <f>COUNTIFS(F$10:F$100,AB22,M$10:M$100,"&gt;0")</f>
        <v>1</v>
      </c>
    </row>
    <row r="23" spans="2:29" ht="21" customHeight="1" thickBot="1" x14ac:dyDescent="0.3">
      <c r="B23" s="16">
        <f>B22+1</f>
        <v>14</v>
      </c>
      <c r="C23" s="106" t="s">
        <v>134</v>
      </c>
      <c r="D23" s="107" t="s">
        <v>135</v>
      </c>
      <c r="E23" s="599" t="str">
        <f>_xlfn.CONCAT(C23:D23)</f>
        <v>IngeNørstebø</v>
      </c>
      <c r="F23" s="192">
        <f>YEAR(I$5)-_xlfn.XLOOKUP(E23,Deltakerliste!E$5:E$98,Deltakerliste!I$5:I$98)</f>
        <v>70</v>
      </c>
      <c r="G23" s="192">
        <f>_xlfn.XLOOKUP(E23,Deltakerliste!E$5:E$98,Deltakerliste!H$5:H$98)</f>
        <v>2</v>
      </c>
      <c r="H23" s="592">
        <f>VLOOKUP(F23,Deltakerliste!P$6:T$84,G23,FALSE)</f>
        <v>1.4249999999999998</v>
      </c>
      <c r="I23" s="13"/>
      <c r="J23" s="13">
        <v>2.3379629629629629E-2</v>
      </c>
      <c r="K23" s="13"/>
      <c r="L23" s="600">
        <f>IF(OR(I23="Arr",J23="Arr",K23="Arr"),"Arr",IF(OR(I23="Brutt",J23="Brutt",K23="Brutt"),"Brutt",IF(OR(I23="Disk",J23="Disk",K23="Disk"),"Disk",IF(OR(I23="Løype",J23="Løype",K23="Løype"),"Løype",IF(I23&gt;0,I23/I$8,J23/J$8)))))</f>
        <v>8.3498677248677253E-3</v>
      </c>
      <c r="M23" s="594">
        <f>IF(L23="Løype",Poengsammendrag!$F$2,IF(L23="Arr",Poengsammendrag!$F$3,IF(L23="Brutt",50,IF(L23="Disk",50,ROUND(MAXA(100*(MIN(L$10:L$98)/L23),50),0)))))</f>
        <v>87</v>
      </c>
      <c r="N23" s="724">
        <f>IF(L23="Arr","Arr",IF(L23="Brutt","Brutt",IF(L23="Disk","Disk",IF(L23="Løype","Løype",L23/H23))))</f>
        <v>5.8595562981527908E-3</v>
      </c>
      <c r="O23" s="596">
        <f>IF(N23="Løype",Poengsammendrag!$F$2,IF(N23="Arr",Poengsammendrag!$F$3,IF(N23="Brutt",50,IF(N23="Disk",50,ROUND(MAXA(100*(MIN(N$10:N$98)/N23),50),0)))))</f>
        <v>77</v>
      </c>
      <c r="Q23" s="672"/>
      <c r="R23" s="672"/>
      <c r="S23" s="803" t="s">
        <v>106</v>
      </c>
      <c r="T23" s="736">
        <v>1.0090112433862434E-2</v>
      </c>
      <c r="U23" s="752">
        <v>72</v>
      </c>
      <c r="V23" s="781"/>
      <c r="W23" s="776" t="s">
        <v>134</v>
      </c>
      <c r="X23" s="740">
        <v>77</v>
      </c>
      <c r="AB23" s="828">
        <f t="shared" si="0"/>
        <v>68</v>
      </c>
      <c r="AC23" s="829">
        <f>COUNTIFS(F$10:F$100,AB23,M$10:M$100,"&gt;0")</f>
        <v>1</v>
      </c>
    </row>
    <row r="24" spans="2:29" ht="21" thickBot="1" x14ac:dyDescent="0.3">
      <c r="B24" s="16">
        <f>B23+1</f>
        <v>15</v>
      </c>
      <c r="C24" s="106" t="s">
        <v>265</v>
      </c>
      <c r="D24" s="107" t="s">
        <v>344</v>
      </c>
      <c r="E24" s="599" t="str">
        <f>_xlfn.CONCAT(C24:D24)</f>
        <v>ØysteinNytrø</v>
      </c>
      <c r="F24" s="192">
        <f>YEAR(I$5)-_xlfn.XLOOKUP(E24,Deltakerliste!E$5:E$98,Deltakerliste!I$5:I$98)</f>
        <v>66</v>
      </c>
      <c r="G24" s="192">
        <f>_xlfn.XLOOKUP(E24,Deltakerliste!E$5:E$98,Deltakerliste!H$5:H$98)</f>
        <v>2</v>
      </c>
      <c r="H24" s="592">
        <f>VLOOKUP(F24,Deltakerliste!P$6:T$84,G24,FALSE)</f>
        <v>1.3209999999999997</v>
      </c>
      <c r="I24" s="18"/>
      <c r="J24" s="132">
        <v>2.1747685185185186E-2</v>
      </c>
      <c r="K24" s="18"/>
      <c r="L24" s="600">
        <f>IF(OR(I24="Arr",J24="Arr",K24="Arr"),"Arr",IF(OR(I24="Brutt",J24="Brutt",K24="Brutt"),"Brutt",IF(OR(I24="Disk",J24="Disk",K24="Disk"),"Disk",IF(OR(I24="Løype",J24="Løype",K24="Løype"),"Løype",IF(I24&gt;0,I24/I$8,J24/J$8)))))</f>
        <v>7.767030423280424E-3</v>
      </c>
      <c r="M24" s="594">
        <f>IF(L24="Løype",Poengsammendrag!$F$2,IF(L24="Arr",Poengsammendrag!$F$3,IF(L24="Brutt",50,IF(L24="Disk",50,ROUND(MAXA(100*(MIN(L$10:L$98)/L24),50),0)))))</f>
        <v>94</v>
      </c>
      <c r="N24" s="724">
        <f>IF(L24="Arr","Arr",IF(L24="Brutt","Brutt",IF(L24="Disk","Disk",IF(L24="Løype","Løype",L24/H24))))</f>
        <v>5.8796596694022903E-3</v>
      </c>
      <c r="O24" s="596">
        <f>IF(N24="Løype",Poengsammendrag!$F$2,IF(N24="Arr",Poengsammendrag!$F$3,IF(N24="Brutt",50,IF(N24="Disk",50,ROUND(MAXA(100*(MIN(N$10:N$98)/N24),50),0)))))</f>
        <v>77</v>
      </c>
      <c r="Q24" s="672"/>
      <c r="R24" s="672"/>
      <c r="S24" s="803" t="s">
        <v>136</v>
      </c>
      <c r="T24" s="736">
        <v>1.0431134259259258E-2</v>
      </c>
      <c r="U24" s="752">
        <v>70</v>
      </c>
      <c r="V24" s="781"/>
      <c r="W24" s="776" t="s">
        <v>345</v>
      </c>
      <c r="X24" s="740">
        <v>77</v>
      </c>
      <c r="AB24" s="828">
        <f t="shared" si="0"/>
        <v>69</v>
      </c>
      <c r="AC24" s="829">
        <f>COUNTIFS(F$10:F$100,AB24,M$10:M$100,"&gt;0")</f>
        <v>1</v>
      </c>
    </row>
    <row r="25" spans="2:29" ht="21" thickBot="1" x14ac:dyDescent="0.3">
      <c r="B25" s="16">
        <f>B24+1</f>
        <v>16</v>
      </c>
      <c r="C25" s="106" t="s">
        <v>106</v>
      </c>
      <c r="D25" s="107" t="s">
        <v>107</v>
      </c>
      <c r="E25" s="599" t="str">
        <f>_xlfn.CONCAT(C25:D25)</f>
        <v>Jon ArneKlemetsaune</v>
      </c>
      <c r="F25" s="192">
        <f>YEAR(I$5)-_xlfn.XLOOKUP(E25,Deltakerliste!E$5:E$98,Deltakerliste!I$5:I$98)</f>
        <v>77</v>
      </c>
      <c r="G25" s="192">
        <f>_xlfn.XLOOKUP(E25,Deltakerliste!E$5:E$98,Deltakerliste!H$5:H$98)</f>
        <v>2</v>
      </c>
      <c r="H25" s="592">
        <f>VLOOKUP(F25,Deltakerliste!P$6:T$84,G25,FALSE)</f>
        <v>1.7050000000000001</v>
      </c>
      <c r="I25" s="86"/>
      <c r="J25" s="86">
        <v>2.8252314814814813E-2</v>
      </c>
      <c r="K25" s="17"/>
      <c r="L25" s="600">
        <f>IF(OR(I25="Arr",J25="Arr",K25="Arr"),"Arr",IF(OR(I25="Brutt",J25="Brutt",K25="Brutt"),"Brutt",IF(OR(I25="Disk",J25="Disk",K25="Disk"),"Disk",IF(OR(I25="Løype",J25="Løype",K25="Løype"),"Løype",IF(I25&gt;0,I25/I$8,J25/J$8)))))</f>
        <v>1.0090112433862434E-2</v>
      </c>
      <c r="M25" s="594">
        <f>IF(L25="Løype",Poengsammendrag!$F$2,IF(L25="Arr",Poengsammendrag!$F$3,IF(L25="Brutt",50,IF(L25="Disk",50,ROUND(MAXA(100*(MIN(L$10:L$98)/L25),50),0)))))</f>
        <v>72</v>
      </c>
      <c r="N25" s="724">
        <f>IF(L25="Arr","Arr",IF(L25="Brutt","Brutt",IF(L25="Disk","Disk",IF(L25="Løype","Løype",L25/H25))))</f>
        <v>5.9179545066641841E-3</v>
      </c>
      <c r="O25" s="596">
        <f>IF(N25="Løype",Poengsammendrag!$F$2,IF(N25="Arr",Poengsammendrag!$F$3,IF(N25="Brutt",50,IF(N25="Disk",50,ROUND(MAXA(100*(MIN(N$10:N$98)/N25),50),0)))))</f>
        <v>77</v>
      </c>
      <c r="Q25" s="672"/>
      <c r="R25" s="672"/>
      <c r="S25" s="803" t="s">
        <v>367</v>
      </c>
      <c r="T25" s="736">
        <v>1.0438368055555557E-2</v>
      </c>
      <c r="U25" s="752">
        <v>70</v>
      </c>
      <c r="V25" s="781"/>
      <c r="W25" s="776" t="s">
        <v>106</v>
      </c>
      <c r="X25" s="740">
        <v>77</v>
      </c>
      <c r="AB25" s="828">
        <f t="shared" si="0"/>
        <v>70</v>
      </c>
      <c r="AC25" s="829">
        <f>COUNTIFS(F$10:F$100,AB25,M$10:M$100,"&gt;0")</f>
        <v>1</v>
      </c>
    </row>
    <row r="26" spans="2:29" ht="21" customHeight="1" thickBot="1" x14ac:dyDescent="0.3">
      <c r="B26" s="16">
        <f>B25+1</f>
        <v>17</v>
      </c>
      <c r="C26" s="106" t="s">
        <v>142</v>
      </c>
      <c r="D26" s="107" t="s">
        <v>143</v>
      </c>
      <c r="E26" s="599" t="str">
        <f>_xlfn.CONCAT(C26:D26)</f>
        <v>EgilRepvik</v>
      </c>
      <c r="F26" s="192">
        <f>YEAR(I$5)-_xlfn.XLOOKUP(E26,Deltakerliste!E$5:E$98,Deltakerliste!I$5:I$98)</f>
        <v>80</v>
      </c>
      <c r="G26" s="192">
        <f>_xlfn.XLOOKUP(E26,Deltakerliste!E$5:E$98,Deltakerliste!H$5:H$98)</f>
        <v>2</v>
      </c>
      <c r="H26" s="592">
        <f>VLOOKUP(F26,Deltakerliste!P$6:T$84,G26,FALSE)</f>
        <v>1.8550000000000002</v>
      </c>
      <c r="I26" s="132">
        <v>1.7743055555555557E-2</v>
      </c>
      <c r="J26" s="18"/>
      <c r="K26" s="18"/>
      <c r="L26" s="600">
        <f>IF(OR(I26="Arr",J26="Arr",K26="Arr"),"Arr",IF(OR(I26="Brutt",J26="Brutt",K26="Brutt"),"Brutt",IF(OR(I26="Disk",J26="Disk",K26="Disk"),"Disk",IF(OR(I26="Løype",J26="Løype",K26="Løype"),"Løype",IF(I26&gt;0,I26/I$8,J26/J$8)))))</f>
        <v>1.1089409722222223E-2</v>
      </c>
      <c r="M26" s="594">
        <f>IF(L26="Løype",Poengsammendrag!$F$2,IF(L26="Arr",Poengsammendrag!$F$3,IF(L26="Brutt",50,IF(L26="Disk",50,ROUND(MAXA(100*(MIN(L$10:L$98)/L26),50),0)))))</f>
        <v>66</v>
      </c>
      <c r="N26" s="724">
        <f>IF(L26="Arr","Arr",IF(L26="Brutt","Brutt",IF(L26="Disk","Disk",IF(L26="Løype","Løype",L26/H26))))</f>
        <v>5.9781184486373158E-3</v>
      </c>
      <c r="O26" s="596">
        <f>IF(N26="Løype",Poengsammendrag!$F$2,IF(N26="Arr",Poengsammendrag!$F$3,IF(N26="Brutt",50,IF(N26="Disk",50,ROUND(MAXA(100*(MIN(N$10:N$98)/N26),50),0)))))</f>
        <v>76</v>
      </c>
      <c r="Q26" s="672"/>
      <c r="R26" s="672"/>
      <c r="S26" s="803" t="s">
        <v>68</v>
      </c>
      <c r="T26" s="736">
        <v>1.0536541005291005E-2</v>
      </c>
      <c r="U26" s="752">
        <v>69</v>
      </c>
      <c r="V26" s="781"/>
      <c r="W26" s="776" t="s">
        <v>356</v>
      </c>
      <c r="X26" s="740">
        <v>76</v>
      </c>
      <c r="AB26" s="828">
        <f t="shared" si="0"/>
        <v>71</v>
      </c>
      <c r="AC26" s="829">
        <f>COUNTIFS(F$10:F$100,AB26,M$10:M$100,"&gt;0")</f>
        <v>2</v>
      </c>
    </row>
    <row r="27" spans="2:29" ht="21" thickBot="1" x14ac:dyDescent="0.3">
      <c r="B27" s="16">
        <f>B26+1</f>
        <v>18</v>
      </c>
      <c r="C27" s="106" t="s">
        <v>163</v>
      </c>
      <c r="D27" s="107" t="s">
        <v>164</v>
      </c>
      <c r="E27" s="599" t="str">
        <f>_xlfn.CONCAT(C27:D27)</f>
        <v>ArnulfVilmo</v>
      </c>
      <c r="F27" s="192">
        <f>YEAR(I$5)-_xlfn.XLOOKUP(E27,Deltakerliste!E$5:E$98,Deltakerliste!I$5:I$98)</f>
        <v>73</v>
      </c>
      <c r="G27" s="192">
        <f>_xlfn.XLOOKUP(E27,Deltakerliste!E$5:E$98,Deltakerliste!H$5:H$98)</f>
        <v>2</v>
      </c>
      <c r="H27" s="592">
        <f>VLOOKUP(F27,Deltakerliste!P$6:T$84,G27,FALSE)</f>
        <v>1.5329999999999999</v>
      </c>
      <c r="I27" s="132"/>
      <c r="J27" s="132">
        <v>2.6180555555555554E-2</v>
      </c>
      <c r="K27" s="18"/>
      <c r="L27" s="600">
        <f>IF(OR(I27="Arr",J27="Arr",K27="Arr"),"Arr",IF(OR(I27="Brutt",J27="Brutt",K27="Brutt"),"Brutt",IF(OR(I27="Disk",J27="Disk",K27="Disk"),"Disk",IF(OR(I27="Løype",J27="Løype",K27="Løype"),"Løype",IF(I27&gt;0,I27/I$8,J27/J$8)))))</f>
        <v>9.3501984126984124E-3</v>
      </c>
      <c r="M27" s="594">
        <f>IF(L27="Løype",Poengsammendrag!$F$2,IF(L27="Arr",Poengsammendrag!$F$3,IF(L27="Brutt",50,IF(L27="Disk",50,ROUND(MAXA(100*(MIN(L$10:L$98)/L27),50),0)))))</f>
        <v>78</v>
      </c>
      <c r="N27" s="724">
        <f>IF(L27="Arr","Arr",IF(L27="Brutt","Brutt",IF(L27="Disk","Disk",IF(L27="Løype","Løype",L27/H27))))</f>
        <v>6.0992814172853311E-3</v>
      </c>
      <c r="O27" s="596">
        <f>IF(N27="Løype",Poengsammendrag!$F$2,IF(N27="Arr",Poengsammendrag!$F$3,IF(N27="Brutt",50,IF(N27="Disk",50,ROUND(MAXA(100*(MIN(N$10:N$98)/N27),50),0)))))</f>
        <v>74</v>
      </c>
      <c r="Q27" s="672"/>
      <c r="R27" s="672"/>
      <c r="S27" s="803" t="s">
        <v>80</v>
      </c>
      <c r="T27" s="736">
        <v>1.0539641203703704E-2</v>
      </c>
      <c r="U27" s="752">
        <v>69</v>
      </c>
      <c r="V27" s="781"/>
      <c r="W27" s="776" t="s">
        <v>163</v>
      </c>
      <c r="X27" s="740">
        <v>74</v>
      </c>
      <c r="AB27" s="828">
        <f t="shared" si="0"/>
        <v>72</v>
      </c>
      <c r="AC27" s="829">
        <f>COUNTIFS(F$10:F$100,AB27,M$10:M$100,"&gt;0")</f>
        <v>2</v>
      </c>
    </row>
    <row r="28" spans="2:29" ht="21" customHeight="1" thickBot="1" x14ac:dyDescent="0.3">
      <c r="B28" s="16">
        <f>B27+1</f>
        <v>19</v>
      </c>
      <c r="C28" s="106" t="s">
        <v>72</v>
      </c>
      <c r="D28" s="107" t="s">
        <v>73</v>
      </c>
      <c r="E28" s="599" t="str">
        <f>_xlfn.CONCAT(C28:D28)</f>
        <v>KåreEggereide</v>
      </c>
      <c r="F28" s="192">
        <f>YEAR(I$5)-_xlfn.XLOOKUP(E28,Deltakerliste!E$5:E$98,Deltakerliste!I$5:I$98)</f>
        <v>75</v>
      </c>
      <c r="G28" s="192">
        <f>_xlfn.XLOOKUP(E28,Deltakerliste!E$5:E$98,Deltakerliste!H$5:H$98)</f>
        <v>2</v>
      </c>
      <c r="H28" s="592">
        <f>VLOOKUP(F28,Deltakerliste!P$6:T$84,G28,FALSE)</f>
        <v>1.605</v>
      </c>
      <c r="I28" s="86"/>
      <c r="J28" s="13">
        <v>2.7800925925925927E-2</v>
      </c>
      <c r="K28" s="13"/>
      <c r="L28" s="600">
        <f>IF(OR(I28="Arr",J28="Arr",K28="Arr"),"Arr",IF(OR(I28="Brutt",J28="Brutt",K28="Brutt"),"Brutt",IF(OR(I28="Disk",J28="Disk",K28="Disk"),"Disk",IF(OR(I28="Løype",J28="Løype",K28="Løype"),"Løype",IF(I28&gt;0,I28/I$8,J28/J$8)))))</f>
        <v>9.928902116402117E-3</v>
      </c>
      <c r="M28" s="594">
        <f>IF(L28="Løype",Poengsammendrag!$F$2,IF(L28="Arr",Poengsammendrag!$F$3,IF(L28="Brutt",50,IF(L28="Disk",50,ROUND(MAXA(100*(MIN(L$10:L$98)/L28),50),0)))))</f>
        <v>73</v>
      </c>
      <c r="N28" s="724">
        <f>IF(L28="Arr","Arr",IF(L28="Brutt","Brutt",IF(L28="Disk","Disk",IF(L28="Løype","Løype",L28/H28))))</f>
        <v>6.1862318482256177E-3</v>
      </c>
      <c r="O28" s="596">
        <f>IF(N28="Løype",Poengsammendrag!$F$2,IF(N28="Arr",Poengsammendrag!$F$3,IF(N28="Brutt",50,IF(N28="Disk",50,ROUND(MAXA(100*(MIN(N$10:N$98)/N28),50),0)))))</f>
        <v>73</v>
      </c>
      <c r="Q28" s="672"/>
      <c r="R28" s="672"/>
      <c r="S28" s="803" t="s">
        <v>269</v>
      </c>
      <c r="T28" s="736">
        <v>1.0597511574074073E-2</v>
      </c>
      <c r="U28" s="752">
        <v>69</v>
      </c>
      <c r="V28" s="781"/>
      <c r="W28" s="776" t="s">
        <v>350</v>
      </c>
      <c r="X28" s="740">
        <v>73</v>
      </c>
      <c r="AB28" s="828">
        <f t="shared" si="0"/>
        <v>73</v>
      </c>
      <c r="AC28" s="829">
        <f>COUNTIFS(F$10:F$100,AB28,M$10:M$100,"&gt;0")</f>
        <v>5</v>
      </c>
    </row>
    <row r="29" spans="2:29" ht="21" thickBot="1" x14ac:dyDescent="0.3">
      <c r="B29" s="16">
        <f>B28+1</f>
        <v>20</v>
      </c>
      <c r="C29" s="106" t="s">
        <v>159</v>
      </c>
      <c r="D29" s="107" t="s">
        <v>160</v>
      </c>
      <c r="E29" s="599" t="str">
        <f>_xlfn.CONCAT(C29:D29)</f>
        <v>EigilSørli</v>
      </c>
      <c r="F29" s="192">
        <f>YEAR(I$5)-_xlfn.XLOOKUP(E29,Deltakerliste!E$5:E$98,Deltakerliste!I$5:I$98)</f>
        <v>86</v>
      </c>
      <c r="G29" s="192">
        <f>_xlfn.XLOOKUP(E29,Deltakerliste!E$5:E$98,Deltakerliste!H$5:H$98)</f>
        <v>2</v>
      </c>
      <c r="H29" s="592">
        <f>VLOOKUP(F29,Deltakerliste!P$6:T$84,G29,FALSE)</f>
        <v>2.3089999999999997</v>
      </c>
      <c r="I29" s="132">
        <v>2.2870370370370371E-2</v>
      </c>
      <c r="J29" s="18"/>
      <c r="K29" s="18"/>
      <c r="L29" s="600">
        <f>IF(OR(I29="Arr",J29="Arr",K29="Arr"),"Arr",IF(OR(I29="Brutt",J29="Brutt",K29="Brutt"),"Brutt",IF(OR(I29="Disk",J29="Disk",K29="Disk"),"Disk",IF(OR(I29="Løype",J29="Løype",K29="Løype"),"Løype",IF(I29&gt;0,I29/I$8,J29/J$8)))))</f>
        <v>1.429398148148148E-2</v>
      </c>
      <c r="M29" s="594">
        <f>IF(L29="Løype",Poengsammendrag!$F$2,IF(L29="Arr",Poengsammendrag!$F$3,IF(L29="Brutt",50,IF(L29="Disk",50,ROUND(MAXA(100*(MIN(L$10:L$98)/L29),50),0)))))</f>
        <v>51</v>
      </c>
      <c r="N29" s="724">
        <f>IF(L29="Arr","Arr",IF(L29="Brutt","Brutt",IF(L29="Disk","Disk",IF(L29="Løype","Løype",L29/H29))))</f>
        <v>6.1905506632661247E-3</v>
      </c>
      <c r="O29" s="596">
        <f>IF(N29="Løype",Poengsammendrag!$F$2,IF(N29="Arr",Poengsammendrag!$F$3,IF(N29="Brutt",50,IF(N29="Disk",50,ROUND(MAXA(100*(MIN(N$10:N$98)/N29),50),0)))))</f>
        <v>73</v>
      </c>
      <c r="Q29" s="672"/>
      <c r="R29" s="672"/>
      <c r="S29" s="803" t="s">
        <v>338</v>
      </c>
      <c r="T29" s="736">
        <v>1.0655381944444445E-2</v>
      </c>
      <c r="U29" s="752">
        <v>68</v>
      </c>
      <c r="V29" s="781"/>
      <c r="W29" s="776" t="s">
        <v>357</v>
      </c>
      <c r="X29" s="740">
        <v>73</v>
      </c>
      <c r="AB29" s="828">
        <f t="shared" si="0"/>
        <v>74</v>
      </c>
      <c r="AC29" s="829">
        <f>COUNTIFS(F$10:F$100,AB29,M$10:M$100,"&gt;0")</f>
        <v>3</v>
      </c>
    </row>
    <row r="30" spans="2:29" ht="21" thickBot="1" x14ac:dyDescent="0.3">
      <c r="B30" s="16">
        <f>B29+1</f>
        <v>21</v>
      </c>
      <c r="C30" s="106" t="s">
        <v>265</v>
      </c>
      <c r="D30" s="107" t="s">
        <v>266</v>
      </c>
      <c r="E30" s="599" t="str">
        <f>_xlfn.CONCAT(C30:D30)</f>
        <v>ØysteinWiggen</v>
      </c>
      <c r="F30" s="192">
        <f>YEAR(I$5)-_xlfn.XLOOKUP(E30,Deltakerliste!E$5:E$98,Deltakerliste!I$5:I$98)</f>
        <v>60</v>
      </c>
      <c r="G30" s="192">
        <f>_xlfn.XLOOKUP(E30,Deltakerliste!E$5:E$98,Deltakerliste!H$5:H$98)</f>
        <v>2</v>
      </c>
      <c r="H30" s="592">
        <f>VLOOKUP(F30,Deltakerliste!P$6:T$84,G30,FALSE)</f>
        <v>1.2000000000000002</v>
      </c>
      <c r="I30" s="134"/>
      <c r="J30" s="132">
        <v>2.0868055555555556E-2</v>
      </c>
      <c r="K30" s="18"/>
      <c r="L30" s="600">
        <f>IF(OR(I30="Arr",J30="Arr",K30="Arr"),"Arr",IF(OR(I30="Brutt",J30="Brutt",K30="Brutt"),"Brutt",IF(OR(I30="Disk",J30="Disk",K30="Disk"),"Disk",IF(OR(I30="Løype",J30="Løype",K30="Løype"),"Løype",IF(I30&gt;0,I30/I$8,J30/J$8)))))</f>
        <v>7.4528769841269845E-3</v>
      </c>
      <c r="M30" s="594">
        <f>IF(L30="Løype",Poengsammendrag!$F$2,IF(L30="Arr",Poengsammendrag!$F$3,IF(L30="Brutt",50,IF(L30="Disk",50,ROUND(MAXA(100*(MIN(L$10:L$98)/L30),50),0)))))</f>
        <v>98</v>
      </c>
      <c r="N30" s="724">
        <f>IF(L30="Arr","Arr",IF(L30="Brutt","Brutt",IF(L30="Disk","Disk",IF(L30="Løype","Løype",L30/H30))))</f>
        <v>6.2107308201058194E-3</v>
      </c>
      <c r="O30" s="596">
        <f>IF(N30="Løype",Poengsammendrag!$F$2,IF(N30="Arr",Poengsammendrag!$F$3,IF(N30="Brutt",50,IF(N30="Disk",50,ROUND(MAXA(100*(MIN(N$10:N$98)/N30),50),0)))))</f>
        <v>73</v>
      </c>
      <c r="Q30" s="672"/>
      <c r="R30" s="672"/>
      <c r="S30" s="803" t="s">
        <v>124</v>
      </c>
      <c r="T30" s="736">
        <v>1.0668816137566138E-2</v>
      </c>
      <c r="U30" s="752">
        <v>68</v>
      </c>
      <c r="V30" s="781"/>
      <c r="W30" s="776" t="s">
        <v>368</v>
      </c>
      <c r="X30" s="740">
        <v>73</v>
      </c>
      <c r="AB30" s="828">
        <f t="shared" si="0"/>
        <v>75</v>
      </c>
      <c r="AC30" s="829">
        <f>COUNTIFS(F$10:F$100,AB30,M$10:M$100,"&gt;0")</f>
        <v>6</v>
      </c>
    </row>
    <row r="31" spans="2:29" ht="21" customHeight="1" thickBot="1" x14ac:dyDescent="0.3">
      <c r="B31" s="16">
        <f>B30+1</f>
        <v>22</v>
      </c>
      <c r="C31" s="106" t="s">
        <v>94</v>
      </c>
      <c r="D31" s="107" t="s">
        <v>95</v>
      </c>
      <c r="E31" s="599" t="str">
        <f>_xlfn.CONCAT(C31:D31)</f>
        <v>TerjeHanssen</v>
      </c>
      <c r="F31" s="192">
        <f>YEAR(I$5)-_xlfn.XLOOKUP(E31,Deltakerliste!E$5:E$98,Deltakerliste!I$5:I$98)</f>
        <v>78</v>
      </c>
      <c r="G31" s="192">
        <f>_xlfn.XLOOKUP(E31,Deltakerliste!E$5:E$98,Deltakerliste!H$5:H$98)</f>
        <v>2</v>
      </c>
      <c r="H31" s="592">
        <f>VLOOKUP(F31,Deltakerliste!P$6:T$84,G31,FALSE)</f>
        <v>1.7550000000000001</v>
      </c>
      <c r="I31" s="86">
        <v>1.7592592592592594E-2</v>
      </c>
      <c r="J31" s="86"/>
      <c r="K31" s="17"/>
      <c r="L31" s="600">
        <f>IF(OR(I31="Arr",J31="Arr",K31="Arr"),"Arr",IF(OR(I31="Brutt",J31="Brutt",K31="Brutt"),"Brutt",IF(OR(I31="Disk",J31="Disk",K31="Disk"),"Disk",IF(OR(I31="Løype",J31="Løype",K31="Løype"),"Løype",IF(I31&gt;0,I31/I$8,J31/J$8)))))</f>
        <v>1.0995370370370371E-2</v>
      </c>
      <c r="M31" s="594">
        <f>IF(L31="Løype",Poengsammendrag!$F$2,IF(L31="Arr",Poengsammendrag!$F$3,IF(L31="Brutt",50,IF(L31="Disk",50,ROUND(MAXA(100*(MIN(L$10:L$98)/L31),50),0)))))</f>
        <v>66</v>
      </c>
      <c r="N31" s="724">
        <f>IF(L31="Arr","Arr",IF(L31="Brutt","Brutt",IF(L31="Disk","Disk",IF(L31="Løype","Løype",L31/H31))))</f>
        <v>6.2651683022053387E-3</v>
      </c>
      <c r="O31" s="596">
        <f>IF(N31="Løype",Poengsammendrag!$F$2,IF(N31="Arr",Poengsammendrag!$F$3,IF(N31="Brutt",50,IF(N31="Disk",50,ROUND(MAXA(100*(MIN(N$10:N$98)/N31),50),0)))))</f>
        <v>72</v>
      </c>
      <c r="Q31" s="672"/>
      <c r="R31" s="672"/>
      <c r="S31" s="803" t="s">
        <v>149</v>
      </c>
      <c r="T31" s="736">
        <v>1.07432208994709E-2</v>
      </c>
      <c r="U31" s="752">
        <v>68</v>
      </c>
      <c r="V31" s="781"/>
      <c r="W31" s="776" t="s">
        <v>94</v>
      </c>
      <c r="X31" s="740">
        <v>72</v>
      </c>
      <c r="AB31" s="828">
        <f t="shared" si="0"/>
        <v>76</v>
      </c>
      <c r="AC31" s="829">
        <f>COUNTIFS(F$10:F$100,AB31,M$10:M$100,"&gt;0")</f>
        <v>2</v>
      </c>
    </row>
    <row r="32" spans="2:29" ht="21" customHeight="1" thickBot="1" x14ac:dyDescent="0.3">
      <c r="B32" s="16">
        <f>B31+1</f>
        <v>23</v>
      </c>
      <c r="C32" s="106" t="s">
        <v>63</v>
      </c>
      <c r="D32" s="107" t="s">
        <v>98</v>
      </c>
      <c r="E32" s="599" t="str">
        <f>_xlfn.CONCAT(C32:D32)</f>
        <v>ToreHeggem</v>
      </c>
      <c r="F32" s="192">
        <f>YEAR(I$5)-_xlfn.XLOOKUP(E32,Deltakerliste!E$5:E$98,Deltakerliste!I$5:I$98)</f>
        <v>73</v>
      </c>
      <c r="G32" s="192">
        <f>_xlfn.XLOOKUP(E32,Deltakerliste!E$5:E$98,Deltakerliste!H$5:H$98)</f>
        <v>2</v>
      </c>
      <c r="H32" s="592">
        <f>VLOOKUP(F32,Deltakerliste!P$6:T$84,G32,FALSE)</f>
        <v>1.5329999999999999</v>
      </c>
      <c r="I32" s="86"/>
      <c r="J32" s="86">
        <v>2.6944444444444444E-2</v>
      </c>
      <c r="K32" s="13"/>
      <c r="L32" s="600">
        <f>IF(OR(I32="Arr",J32="Arr",K32="Arr"),"Arr",IF(OR(I32="Brutt",J32="Brutt",K32="Brutt"),"Brutt",IF(OR(I32="Disk",J32="Disk",K32="Disk"),"Disk",IF(OR(I32="Løype",J32="Løype",K32="Løype"),"Løype",IF(I32&gt;0,I32/I$8,J32/J$8)))))</f>
        <v>9.6230158730158735E-3</v>
      </c>
      <c r="M32" s="594">
        <f>IF(L32="Løype",Poengsammendrag!$F$2,IF(L32="Arr",Poengsammendrag!$F$3,IF(L32="Brutt",50,IF(L32="Disk",50,ROUND(MAXA(100*(MIN(L$10:L$98)/L32),50),0)))))</f>
        <v>76</v>
      </c>
      <c r="N32" s="724">
        <f>IF(L32="Arr","Arr",IF(L32="Brutt","Brutt",IF(L32="Disk","Disk",IF(L32="Løype","Løype",L32/H32))))</f>
        <v>6.2772445355615616E-3</v>
      </c>
      <c r="O32" s="596">
        <f>IF(N32="Løype",Poengsammendrag!$F$2,IF(N32="Arr",Poengsammendrag!$F$3,IF(N32="Brutt",50,IF(N32="Disk",50,ROUND(MAXA(100*(MIN(N$10:N$98)/N32),50),0)))))</f>
        <v>72</v>
      </c>
      <c r="S32" s="803" t="s">
        <v>94</v>
      </c>
      <c r="T32" s="736">
        <v>1.0995370370370371E-2</v>
      </c>
      <c r="U32" s="752">
        <v>66</v>
      </c>
      <c r="V32" s="781"/>
      <c r="W32" s="776" t="s">
        <v>340</v>
      </c>
      <c r="X32" s="740">
        <v>72</v>
      </c>
      <c r="AB32" s="828">
        <f t="shared" si="0"/>
        <v>77</v>
      </c>
      <c r="AC32" s="829">
        <f>COUNTIFS(F$10:F$100,AB32,M$10:M$100,"&gt;0")</f>
        <v>3</v>
      </c>
    </row>
    <row r="33" spans="2:29" ht="21" customHeight="1" thickBot="1" x14ac:dyDescent="0.3">
      <c r="B33" s="16">
        <f>B32+1</f>
        <v>24</v>
      </c>
      <c r="C33" s="106" t="s">
        <v>342</v>
      </c>
      <c r="D33" s="107" t="s">
        <v>388</v>
      </c>
      <c r="E33" s="599" t="str">
        <f>_xlfn.CONCAT(C33:D33)</f>
        <v>ArildClausen</v>
      </c>
      <c r="F33" s="192">
        <f>YEAR(I$5)-_xlfn.XLOOKUP(E33,Deltakerliste!E$5:E$98,Deltakerliste!I$5:I$98)</f>
        <v>58</v>
      </c>
      <c r="G33" s="192">
        <f>_xlfn.XLOOKUP(E33,Deltakerliste!E$5:E$98,Deltakerliste!H$5:H$98)</f>
        <v>2</v>
      </c>
      <c r="H33" s="592">
        <f>VLOOKUP(F33,Deltakerliste!P$6:T$84,G33,FALSE)</f>
        <v>1.1720000000000002</v>
      </c>
      <c r="I33" s="86"/>
      <c r="J33" s="86">
        <v>2.1226851851851851E-2</v>
      </c>
      <c r="K33" s="13"/>
      <c r="L33" s="600">
        <f>IF(OR(I33="Arr",J33="Arr",K33="Arr"),"Arr",IF(OR(I33="Brutt",J33="Brutt",K33="Brutt"),"Brutt",IF(OR(I33="Disk",J33="Disk",K33="Disk"),"Disk",IF(OR(I33="Løype",J33="Løype",K33="Løype"),"Løype",IF(I33&gt;0,I33/I$8,J33/J$8)))))</f>
        <v>7.5810185185185191E-3</v>
      </c>
      <c r="M33" s="594">
        <f>IF(L33="Løype",Poengsammendrag!$F$2,IF(L33="Arr",Poengsammendrag!$F$3,IF(L33="Brutt",50,IF(L33="Disk",50,ROUND(MAXA(100*(MIN(L$10:L$98)/L33),50),0)))))</f>
        <v>96</v>
      </c>
      <c r="N33" s="724">
        <f>IF(L33="Arr","Arr",IF(L33="Brutt","Brutt",IF(L33="Disk","Disk",IF(L33="Løype","Løype",L33/H33))))</f>
        <v>6.4684458349134116E-3</v>
      </c>
      <c r="O33" s="596">
        <f>IF(N33="Løype",Poengsammendrag!$F$2,IF(N33="Arr",Poengsammendrag!$F$3,IF(N33="Brutt",50,IF(N33="Disk",50,ROUND(MAXA(100*(MIN(N$10:N$98)/N33),50),0)))))</f>
        <v>70</v>
      </c>
      <c r="S33" s="803" t="s">
        <v>356</v>
      </c>
      <c r="T33" s="736">
        <v>1.1089409722222223E-2</v>
      </c>
      <c r="U33" s="752">
        <v>66</v>
      </c>
      <c r="V33" s="781"/>
      <c r="W33" s="776" t="s">
        <v>342</v>
      </c>
      <c r="X33" s="740">
        <v>70</v>
      </c>
      <c r="AB33" s="828">
        <f t="shared" si="0"/>
        <v>78</v>
      </c>
      <c r="AC33" s="829">
        <f>COUNTIFS(F$10:F$100,AB33,M$10:M$100,"&gt;0")</f>
        <v>3</v>
      </c>
    </row>
    <row r="34" spans="2:29" ht="21" customHeight="1" thickBot="1" x14ac:dyDescent="0.3">
      <c r="B34" s="16">
        <f>B33+1</f>
        <v>25</v>
      </c>
      <c r="C34" s="106" t="s">
        <v>114</v>
      </c>
      <c r="D34" s="107" t="s">
        <v>115</v>
      </c>
      <c r="E34" s="599" t="str">
        <f>_xlfn.CONCAT(C34:D34)</f>
        <v>MagnusLandstad</v>
      </c>
      <c r="F34" s="192">
        <f>YEAR(I$5)-_xlfn.XLOOKUP(E34,Deltakerliste!E$5:E$98,Deltakerliste!I$5:I$98)</f>
        <v>83</v>
      </c>
      <c r="G34" s="192">
        <f>_xlfn.XLOOKUP(E34,Deltakerliste!E$5:E$98,Deltakerliste!H$5:H$98)</f>
        <v>2</v>
      </c>
      <c r="H34" s="592">
        <f>VLOOKUP(F34,Deltakerliste!P$6:T$84,G34,FALSE)</f>
        <v>2.077</v>
      </c>
      <c r="I34" s="86"/>
      <c r="J34" s="86">
        <v>3.7662037037037036E-2</v>
      </c>
      <c r="K34" s="13"/>
      <c r="L34" s="600">
        <f>IF(OR(I34="Arr",J34="Arr",K34="Arr"),"Arr",IF(OR(I34="Brutt",J34="Brutt",K34="Brutt"),"Brutt",IF(OR(I34="Disk",J34="Disk",K34="Disk"),"Disk",IF(OR(I34="Løype",J34="Løype",K34="Løype"),"Løype",IF(I34&gt;0,I34/I$8,J34/J$8)))))</f>
        <v>1.3450727513227513E-2</v>
      </c>
      <c r="M34" s="594">
        <f>IF(L34="Løype",Poengsammendrag!$F$2,IF(L34="Arr",Poengsammendrag!$F$3,IF(L34="Brutt",50,IF(L34="Disk",50,ROUND(MAXA(100*(MIN(L$10:L$98)/L34),50),0)))))</f>
        <v>54</v>
      </c>
      <c r="N34" s="724">
        <f>IF(L34="Arr","Arr",IF(L34="Brutt","Brutt",IF(L34="Disk","Disk",IF(L34="Løype","Løype",L34/H34))))</f>
        <v>6.4760363568741042E-3</v>
      </c>
      <c r="O34" s="596">
        <f>IF(N34="Løype",Poengsammendrag!$F$2,IF(N34="Arr",Poengsammendrag!$F$3,IF(N34="Brutt",50,IF(N34="Disk",50,ROUND(MAXA(100*(MIN(N$10:N$98)/N34),50),0)))))</f>
        <v>70</v>
      </c>
      <c r="S34" s="803" t="s">
        <v>122</v>
      </c>
      <c r="T34" s="736">
        <v>1.1226851851851851E-2</v>
      </c>
      <c r="U34" s="752">
        <v>65</v>
      </c>
      <c r="V34" s="781"/>
      <c r="W34" s="776" t="s">
        <v>114</v>
      </c>
      <c r="X34" s="740">
        <v>70</v>
      </c>
      <c r="AB34" s="828">
        <f t="shared" si="0"/>
        <v>79</v>
      </c>
      <c r="AC34" s="829">
        <f>COUNTIFS(F$10:F$100,AB34,M$10:M$100,"&gt;0")</f>
        <v>5</v>
      </c>
    </row>
    <row r="35" spans="2:29" ht="21" customHeight="1" thickBot="1" x14ac:dyDescent="0.3">
      <c r="B35" s="16">
        <f>B34+1</f>
        <v>26</v>
      </c>
      <c r="C35" s="106" t="s">
        <v>170</v>
      </c>
      <c r="D35" s="107" t="s">
        <v>171</v>
      </c>
      <c r="E35" s="599" t="str">
        <f>_xlfn.CONCAT(C35:D35)</f>
        <v>ØisteinÅsmul</v>
      </c>
      <c r="F35" s="192">
        <f>YEAR(I$5)-_xlfn.XLOOKUP(E35,Deltakerliste!E$5:E$98,Deltakerliste!I$5:I$98)</f>
        <v>81</v>
      </c>
      <c r="G35" s="192">
        <f>_xlfn.XLOOKUP(E35,Deltakerliste!E$5:E$98,Deltakerliste!H$5:H$98)</f>
        <v>2</v>
      </c>
      <c r="H35" s="592">
        <f>VLOOKUP(F35,Deltakerliste!P$6:T$84,G35,FALSE)</f>
        <v>1.9290000000000003</v>
      </c>
      <c r="I35" s="132"/>
      <c r="J35" s="132">
        <v>3.546296296296296E-2</v>
      </c>
      <c r="K35" s="18"/>
      <c r="L35" s="600">
        <f>IF(OR(I35="Arr",J35="Arr",K35="Arr"),"Arr",IF(OR(I35="Brutt",J35="Brutt",K35="Brutt"),"Brutt",IF(OR(I35="Disk",J35="Disk",K35="Disk"),"Disk",IF(OR(I35="Løype",J35="Løype",K35="Løype"),"Løype",IF(I35&gt;0,I35/I$8,J35/J$8)))))</f>
        <v>1.2665343915343914E-2</v>
      </c>
      <c r="M35" s="594">
        <f>IF(L35="Løype",Poengsammendrag!$F$2,IF(L35="Arr",Poengsammendrag!$F$3,IF(L35="Brutt",50,IF(L35="Disk",50,ROUND(MAXA(100*(MIN(L$10:L$98)/L35),50),0)))))</f>
        <v>57</v>
      </c>
      <c r="N35" s="724">
        <f>IF(L35="Arr","Arr",IF(L35="Brutt","Brutt",IF(L35="Disk","Disk",IF(L35="Løype","Løype",L35/H35))))</f>
        <v>6.5657563065546461E-3</v>
      </c>
      <c r="O35" s="596">
        <f>IF(N35="Løype",Poengsammendrag!$F$2,IF(N35="Arr",Poengsammendrag!$F$3,IF(N35="Brutt",50,IF(N35="Disk",50,ROUND(MAXA(100*(MIN(N$10:N$98)/N35),50),0)))))</f>
        <v>69</v>
      </c>
      <c r="S35" s="803" t="s">
        <v>147</v>
      </c>
      <c r="T35" s="736">
        <v>1.1470734126984126E-2</v>
      </c>
      <c r="U35" s="752">
        <v>63</v>
      </c>
      <c r="V35" s="781"/>
      <c r="W35" s="776" t="s">
        <v>347</v>
      </c>
      <c r="X35" s="740">
        <v>69</v>
      </c>
      <c r="AB35" s="828">
        <f t="shared" si="0"/>
        <v>80</v>
      </c>
      <c r="AC35" s="829">
        <f>COUNTIFS(F$10:F$100,AB35,M$10:M$100,"&gt;0")</f>
        <v>2</v>
      </c>
    </row>
    <row r="36" spans="2:29" ht="21" thickBot="1" x14ac:dyDescent="0.3">
      <c r="B36" s="16">
        <f>B35+1</f>
        <v>27</v>
      </c>
      <c r="C36" s="106" t="s">
        <v>136</v>
      </c>
      <c r="D36" s="107" t="s">
        <v>137</v>
      </c>
      <c r="E36" s="599" t="str">
        <f>_xlfn.CONCAT(C36:D36)</f>
        <v>HaraldOftedal</v>
      </c>
      <c r="F36" s="192">
        <f>YEAR(I$5)-_xlfn.XLOOKUP(E36,Deltakerliste!E$5:E$98,Deltakerliste!I$5:I$98)</f>
        <v>74</v>
      </c>
      <c r="G36" s="192">
        <f>_xlfn.XLOOKUP(E36,Deltakerliste!E$5:E$98,Deltakerliste!H$5:H$98)</f>
        <v>2</v>
      </c>
      <c r="H36" s="592">
        <f>VLOOKUP(F36,Deltakerliste!P$6:T$84,G36,FALSE)</f>
        <v>1.569</v>
      </c>
      <c r="I36" s="132">
        <v>1.6689814814814814E-2</v>
      </c>
      <c r="J36" s="132"/>
      <c r="K36" s="134"/>
      <c r="L36" s="600">
        <f>IF(OR(I36="Arr",J36="Arr",K36="Arr"),"Arr",IF(OR(I36="Brutt",J36="Brutt",K36="Brutt"),"Brutt",IF(OR(I36="Disk",J36="Disk",K36="Disk"),"Disk",IF(OR(I36="Løype",J36="Løype",K36="Løype"),"Løype",IF(I36&gt;0,I36/I$8,J36/J$8)))))</f>
        <v>1.0431134259259258E-2</v>
      </c>
      <c r="M36" s="594">
        <f>IF(L36="Løype",Poengsammendrag!$F$2,IF(L36="Arr",Poengsammendrag!$F$3,IF(L36="Brutt",50,IF(L36="Disk",50,ROUND(MAXA(100*(MIN(L$10:L$98)/L36),50),0)))))</f>
        <v>70</v>
      </c>
      <c r="N36" s="724">
        <f>IF(L36="Arr","Arr",IF(L36="Brutt","Brutt",IF(L36="Disk","Disk",IF(L36="Løype","Løype",L36/H36))))</f>
        <v>6.6482691263602669E-3</v>
      </c>
      <c r="O36" s="596">
        <f>IF(N36="Løype",Poengsammendrag!$F$2,IF(N36="Arr",Poengsammendrag!$F$3,IF(N36="Brutt",50,IF(N36="Disk",50,ROUND(MAXA(100*(MIN(N$10:N$98)/N36),50),0)))))</f>
        <v>68</v>
      </c>
      <c r="S36" s="803" t="s">
        <v>153</v>
      </c>
      <c r="T36" s="736">
        <v>1.1559606481481481E-2</v>
      </c>
      <c r="U36" s="752">
        <v>63</v>
      </c>
      <c r="V36" s="781"/>
      <c r="W36" s="776" t="s">
        <v>136</v>
      </c>
      <c r="X36" s="740">
        <v>68</v>
      </c>
      <c r="AB36" s="828">
        <f t="shared" si="0"/>
        <v>81</v>
      </c>
      <c r="AC36" s="829">
        <f>COUNTIFS(F$10:F$100,AB36,M$10:M$100,"&gt;0")</f>
        <v>2</v>
      </c>
    </row>
    <row r="37" spans="2:29" ht="21" customHeight="1" thickBot="1" x14ac:dyDescent="0.3">
      <c r="B37" s="16">
        <f>B36+1</f>
        <v>28</v>
      </c>
      <c r="C37" s="106" t="s">
        <v>64</v>
      </c>
      <c r="D37" s="107" t="s">
        <v>267</v>
      </c>
      <c r="E37" s="599" t="str">
        <f>_xlfn.CONCAT(C37:D37)</f>
        <v>BjørnBrenne</v>
      </c>
      <c r="F37" s="192">
        <f>YEAR(I$5)-_xlfn.XLOOKUP(E37,Deltakerliste!E$5:E$98,Deltakerliste!I$5:I$98)</f>
        <v>81</v>
      </c>
      <c r="G37" s="192">
        <f>_xlfn.XLOOKUP(E37,Deltakerliste!E$5:E$98,Deltakerliste!H$5:H$98)</f>
        <v>2</v>
      </c>
      <c r="H37" s="592">
        <f>VLOOKUP(F37,Deltakerliste!P$6:T$84,G37,FALSE)</f>
        <v>1.9290000000000003</v>
      </c>
      <c r="I37" s="86"/>
      <c r="J37" s="86">
        <v>3.5925925925925924E-2</v>
      </c>
      <c r="K37" s="13"/>
      <c r="L37" s="600">
        <f>IF(OR(I37="Arr",J37="Arr",K37="Arr"),"Arr",IF(OR(I37="Brutt",J37="Brutt",K37="Brutt"),"Brutt",IF(OR(I37="Disk",J37="Disk",K37="Disk"),"Disk",IF(OR(I37="Løype",J37="Løype",K37="Løype"),"Løype",IF(I37&gt;0,I37/I$8,J37/J$8)))))</f>
        <v>1.2830687830687831E-2</v>
      </c>
      <c r="M37" s="594">
        <f>IF(L37="Løype",Poengsammendrag!$F$2,IF(L37="Arr",Poengsammendrag!$F$3,IF(L37="Brutt",50,IF(L37="Disk",50,ROUND(MAXA(100*(MIN(L$10:L$98)/L37),50),0)))))</f>
        <v>57</v>
      </c>
      <c r="N37" s="724">
        <f>IF(L37="Arr","Arr",IF(L37="Brutt","Brutt",IF(L37="Disk","Disk",IF(L37="Løype","Løype",L37/H37))))</f>
        <v>6.6514711408438721E-3</v>
      </c>
      <c r="O37" s="596">
        <f>IF(N37="Løype",Poengsammendrag!$F$2,IF(N37="Arr",Poengsammendrag!$F$3,IF(N37="Brutt",50,IF(N37="Disk",50,ROUND(MAXA(100*(MIN(N$10:N$98)/N37),50),0)))))</f>
        <v>68</v>
      </c>
      <c r="S37" s="803" t="s">
        <v>216</v>
      </c>
      <c r="T37" s="736">
        <v>1.1877893518518517E-2</v>
      </c>
      <c r="U37" s="752">
        <v>61</v>
      </c>
      <c r="V37" s="781"/>
      <c r="W37" s="776" t="s">
        <v>358</v>
      </c>
      <c r="X37" s="740">
        <v>68</v>
      </c>
      <c r="AB37" s="828">
        <f t="shared" si="0"/>
        <v>82</v>
      </c>
      <c r="AC37" s="829">
        <f>COUNTIFS(F$10:F$100,AB37,M$10:M$100,"&gt;0")</f>
        <v>2</v>
      </c>
    </row>
    <row r="38" spans="2:29" ht="21" customHeight="1" thickBot="1" x14ac:dyDescent="0.3">
      <c r="B38" s="16">
        <f>B37+1</f>
        <v>29</v>
      </c>
      <c r="C38" s="106" t="s">
        <v>68</v>
      </c>
      <c r="D38" s="107" t="s">
        <v>69</v>
      </c>
      <c r="E38" s="599" t="str">
        <f>_xlfn.CONCAT(C38:D38)</f>
        <v>JanBøhle</v>
      </c>
      <c r="F38" s="192">
        <f>YEAR(I$5)-_xlfn.XLOOKUP(E38,Deltakerliste!E$5:E$98,Deltakerliste!I$5:I$98)</f>
        <v>74</v>
      </c>
      <c r="G38" s="192">
        <f>_xlfn.XLOOKUP(E38,Deltakerliste!E$5:E$98,Deltakerliste!H$5:H$98)</f>
        <v>2</v>
      </c>
      <c r="H38" s="592">
        <f>VLOOKUP(F38,Deltakerliste!P$6:T$84,G38,FALSE)</f>
        <v>1.569</v>
      </c>
      <c r="I38" s="960"/>
      <c r="J38" s="86">
        <v>2.9502314814814815E-2</v>
      </c>
      <c r="K38" s="13"/>
      <c r="L38" s="600">
        <f>IF(OR(I38="Arr",J38="Arr",K38="Arr"),"Arr",IF(OR(I38="Brutt",J38="Brutt",K38="Brutt"),"Brutt",IF(OR(I38="Disk",J38="Disk",K38="Disk"),"Disk",IF(OR(I38="Løype",J38="Løype",K38="Løype"),"Løype",IF(I38&gt;0,I38/I$8,J38/J$8)))))</f>
        <v>1.0536541005291005E-2</v>
      </c>
      <c r="M38" s="594">
        <f>IF(L38="Løype",Poengsammendrag!$F$2,IF(L38="Arr",Poengsammendrag!$F$3,IF(L38="Brutt",50,IF(L38="Disk",50,ROUND(MAXA(100*(MIN(L$10:L$98)/L38),50),0)))))</f>
        <v>69</v>
      </c>
      <c r="N38" s="724">
        <f>IF(L38="Arr","Arr",IF(L38="Brutt","Brutt",IF(L38="Disk","Disk",IF(L38="Løype","Løype",L38/H38))))</f>
        <v>6.7154499715047838E-3</v>
      </c>
      <c r="O38" s="596">
        <f>IF(N38="Løype",Poengsammendrag!$F$2,IF(N38="Arr",Poengsammendrag!$F$3,IF(N38="Brutt",50,IF(N38="Disk",50,ROUND(MAXA(100*(MIN(N$10:N$98)/N38),50),0)))))</f>
        <v>68</v>
      </c>
      <c r="S38" s="803" t="s">
        <v>347</v>
      </c>
      <c r="T38" s="736">
        <v>1.2665343915343914E-2</v>
      </c>
      <c r="U38" s="752">
        <v>57</v>
      </c>
      <c r="V38" s="781"/>
      <c r="W38" s="776" t="s">
        <v>68</v>
      </c>
      <c r="X38" s="740">
        <v>68</v>
      </c>
      <c r="AB38" s="828">
        <f t="shared" si="0"/>
        <v>83</v>
      </c>
      <c r="AC38" s="829">
        <f>COUNTIFS(F$10:F$100,AB38,M$10:M$100,"&gt;0")</f>
        <v>1</v>
      </c>
    </row>
    <row r="39" spans="2:29" ht="21" customHeight="1" thickBot="1" x14ac:dyDescent="0.3">
      <c r="B39" s="16">
        <f>B38+1</f>
        <v>30</v>
      </c>
      <c r="C39" s="106" t="s">
        <v>96</v>
      </c>
      <c r="D39" s="107" t="s">
        <v>97</v>
      </c>
      <c r="E39" s="599" t="str">
        <f>_xlfn.CONCAT(C39:D39)</f>
        <v>StigHaugskott</v>
      </c>
      <c r="F39" s="192">
        <f>YEAR(I$5)-_xlfn.XLOOKUP(E39,Deltakerliste!E$5:E$98,Deltakerliste!I$5:I$98)</f>
        <v>87</v>
      </c>
      <c r="G39" s="192">
        <f>_xlfn.XLOOKUP(E39,Deltakerliste!E$5:E$98,Deltakerliste!H$5:H$98)</f>
        <v>2</v>
      </c>
      <c r="H39" s="592">
        <f>VLOOKUP(F39,Deltakerliste!P$6:T$84,G39,FALSE)</f>
        <v>2.3929999999999998</v>
      </c>
      <c r="I39" s="86">
        <v>2.5798611111111112E-2</v>
      </c>
      <c r="J39" s="86"/>
      <c r="K39" s="86"/>
      <c r="L39" s="600">
        <f>IF(OR(I39="Arr",J39="Arr",K39="Arr"),"Arr",IF(OR(I39="Brutt",J39="Brutt",K39="Brutt"),"Brutt",IF(OR(I39="Disk",J39="Disk",K39="Disk"),"Disk",IF(OR(I39="Løype",J39="Løype",K39="Løype"),"Løype",IF(I39&gt;0,I39/I$8,J39/J$8)))))</f>
        <v>1.6124131944444443E-2</v>
      </c>
      <c r="M39" s="594">
        <f>IF(L39="Løype",Poengsammendrag!$F$2,IF(L39="Arr",Poengsammendrag!$F$3,IF(L39="Brutt",50,IF(L39="Disk",50,ROUND(MAXA(100*(MIN(L$10:L$98)/L39),50),0)))))</f>
        <v>50</v>
      </c>
      <c r="N39" s="724">
        <f>IF(L39="Arr","Arr",IF(L39="Brutt","Brutt",IF(L39="Disk","Disk",IF(L39="Løype","Løype",L39/H39))))</f>
        <v>6.7380409295630774E-3</v>
      </c>
      <c r="O39" s="596">
        <f>IF(N39="Løype",Poengsammendrag!$F$2,IF(N39="Arr",Poengsammendrag!$F$3,IF(N39="Brutt",50,IF(N39="Disk",50,ROUND(MAXA(100*(MIN(N$10:N$98)/N39),50),0)))))</f>
        <v>67</v>
      </c>
      <c r="S39" s="803" t="s">
        <v>358</v>
      </c>
      <c r="T39" s="736">
        <v>1.2830687830687831E-2</v>
      </c>
      <c r="U39" s="752">
        <v>57</v>
      </c>
      <c r="V39" s="781"/>
      <c r="W39" s="776" t="s">
        <v>96</v>
      </c>
      <c r="X39" s="740">
        <v>67</v>
      </c>
      <c r="AB39" s="828">
        <f t="shared" si="0"/>
        <v>84</v>
      </c>
      <c r="AC39" s="829">
        <f>COUNTIFS(F$10:F$100,AB39,M$10:M$100,"&gt;0")</f>
        <v>2</v>
      </c>
    </row>
    <row r="40" spans="2:29" ht="21" thickBot="1" x14ac:dyDescent="0.3">
      <c r="B40" s="16">
        <f>B39+1</f>
        <v>31</v>
      </c>
      <c r="C40" s="106" t="s">
        <v>216</v>
      </c>
      <c r="D40" s="107" t="s">
        <v>77</v>
      </c>
      <c r="E40" s="599" t="str">
        <f>_xlfn.CONCAT(C40:D40)</f>
        <v>Åse RitaEllingsen</v>
      </c>
      <c r="F40" s="192">
        <f>YEAR(I$5)-_xlfn.XLOOKUP(E40,Deltakerliste!E$5:E$98,Deltakerliste!I$5:I$98)</f>
        <v>62</v>
      </c>
      <c r="G40" s="192">
        <f>_xlfn.XLOOKUP(E40,Deltakerliste!E$5:E$98,Deltakerliste!H$5:H$98)</f>
        <v>4</v>
      </c>
      <c r="H40" s="592">
        <f>VLOOKUP(F40,Deltakerliste!P$6:T$84,G40,FALSE)</f>
        <v>1.6834000000000005</v>
      </c>
      <c r="I40" s="86">
        <v>1.9004629629629628E-2</v>
      </c>
      <c r="J40" s="14"/>
      <c r="K40" s="13"/>
      <c r="L40" s="600">
        <f>IF(OR(I40="Arr",J40="Arr",K40="Arr"),"Arr",IF(OR(I40="Brutt",J40="Brutt",K40="Brutt"),"Brutt",IF(OR(I40="Disk",J40="Disk",K40="Disk"),"Disk",IF(OR(I40="Løype",J40="Løype",K40="Løype"),"Løype",IF(I40&gt;0,I40/I$8,J40/J$8)))))</f>
        <v>1.1877893518518517E-2</v>
      </c>
      <c r="M40" s="594">
        <f>IF(L40="Løype",Poengsammendrag!$F$2,IF(L40="Arr",Poengsammendrag!$F$3,IF(L40="Brutt",50,IF(L40="Disk",50,ROUND(MAXA(100*(MIN(L$10:L$98)/L40),50),0)))))</f>
        <v>61</v>
      </c>
      <c r="N40" s="724">
        <f>IF(L40="Arr","Arr",IF(L40="Brutt","Brutt",IF(L40="Disk","Disk",IF(L40="Løype","Løype",L40/H40))))</f>
        <v>7.0558949260535308E-3</v>
      </c>
      <c r="O40" s="596">
        <f>IF(N40="Løype",Poengsammendrag!$F$2,IF(N40="Arr",Poengsammendrag!$F$3,IF(N40="Brutt",50,IF(N40="Disk",50,ROUND(MAXA(100*(MIN(N$10:N$98)/N40),50),0)))))</f>
        <v>64</v>
      </c>
      <c r="S40" s="803" t="s">
        <v>66</v>
      </c>
      <c r="T40" s="736">
        <v>1.3372189153439155E-2</v>
      </c>
      <c r="U40" s="752">
        <v>54</v>
      </c>
      <c r="V40" s="781"/>
      <c r="W40" s="776" t="s">
        <v>216</v>
      </c>
      <c r="X40" s="740">
        <v>64</v>
      </c>
      <c r="AB40" s="828">
        <f t="shared" si="0"/>
        <v>85</v>
      </c>
      <c r="AC40" s="829">
        <f>COUNTIFS(F$10:F$100,AB40,M$10:M$100,"&gt;0")</f>
        <v>1</v>
      </c>
    </row>
    <row r="41" spans="2:29" ht="21" thickBot="1" x14ac:dyDescent="0.3">
      <c r="B41" s="16">
        <f>B40+1</f>
        <v>32</v>
      </c>
      <c r="C41" s="106" t="s">
        <v>99</v>
      </c>
      <c r="D41" s="107" t="s">
        <v>100</v>
      </c>
      <c r="E41" s="599" t="str">
        <f>_xlfn.CONCAT(C41:D41)</f>
        <v>RobertHirsch</v>
      </c>
      <c r="F41" s="192">
        <f>YEAR(I$5)-_xlfn.XLOOKUP(E41,Deltakerliste!E$5:E$98,Deltakerliste!I$5:I$98)</f>
        <v>69</v>
      </c>
      <c r="G41" s="192">
        <f>_xlfn.XLOOKUP(E41,Deltakerliste!E$5:E$98,Deltakerliste!H$5:H$98)</f>
        <v>2</v>
      </c>
      <c r="H41" s="592">
        <f>VLOOKUP(F41,Deltakerliste!P$6:T$84,G41,FALSE)</f>
        <v>1.3989999999999998</v>
      </c>
      <c r="I41" s="86"/>
      <c r="J41" s="86">
        <v>2.7905092592592592E-2</v>
      </c>
      <c r="K41" s="13"/>
      <c r="L41" s="600">
        <f>IF(OR(I41="Arr",J41="Arr",K41="Arr"),"Arr",IF(OR(I41="Brutt",J41="Brutt",K41="Brutt"),"Brutt",IF(OR(I41="Disk",J41="Disk",K41="Disk"),"Disk",IF(OR(I41="Løype",J41="Løype",K41="Løype"),"Løype",IF(I41&gt;0,I41/I$8,J41/J$8)))))</f>
        <v>9.9661044973544978E-3</v>
      </c>
      <c r="M41" s="594">
        <f>IF(L41="Løype",Poengsammendrag!$F$2,IF(L41="Arr",Poengsammendrag!$F$3,IF(L41="Brutt",50,IF(L41="Disk",50,ROUND(MAXA(100*(MIN(L$10:L$98)/L41),50),0)))))</f>
        <v>73</v>
      </c>
      <c r="N41" s="724">
        <f>IF(L41="Arr","Arr",IF(L41="Brutt","Brutt",IF(L41="Disk","Disk",IF(L41="Løype","Løype",L41/H41))))</f>
        <v>7.1237344512898497E-3</v>
      </c>
      <c r="O41" s="596">
        <f>IF(N41="Løype",Poengsammendrag!$F$2,IF(N41="Arr",Poengsammendrag!$F$3,IF(N41="Brutt",50,IF(N41="Disk",50,ROUND(MAXA(100*(MIN(N$10:N$98)/N41),50),0)))))</f>
        <v>64</v>
      </c>
      <c r="S41" s="803" t="s">
        <v>114</v>
      </c>
      <c r="T41" s="736">
        <v>1.3450727513227513E-2</v>
      </c>
      <c r="U41" s="752">
        <v>54</v>
      </c>
      <c r="V41" s="781"/>
      <c r="W41" s="776" t="s">
        <v>99</v>
      </c>
      <c r="X41" s="740">
        <v>64</v>
      </c>
      <c r="AB41" s="828">
        <f t="shared" si="0"/>
        <v>86</v>
      </c>
      <c r="AC41" s="829">
        <f>COUNTIFS(F$10:F$100,AB41,M$10:M$100,"&gt;0")</f>
        <v>2</v>
      </c>
    </row>
    <row r="42" spans="2:29" ht="21" customHeight="1" thickBot="1" x14ac:dyDescent="0.3">
      <c r="B42" s="16">
        <f>B41+1</f>
        <v>33</v>
      </c>
      <c r="C42" s="106" t="s">
        <v>147</v>
      </c>
      <c r="D42" s="107" t="s">
        <v>148</v>
      </c>
      <c r="E42" s="599" t="str">
        <f>_xlfn.CONCAT(C42:D42)</f>
        <v>ViggoSchei</v>
      </c>
      <c r="F42" s="192">
        <f>YEAR(I$5)-_xlfn.XLOOKUP(E42,Deltakerliste!E$5:E$98,Deltakerliste!I$5:I$98)</f>
        <v>75</v>
      </c>
      <c r="G42" s="192">
        <f>_xlfn.XLOOKUP(E42,Deltakerliste!E$5:E$98,Deltakerliste!H$5:H$98)</f>
        <v>2</v>
      </c>
      <c r="H42" s="592">
        <f>VLOOKUP(F42,Deltakerliste!P$6:T$84,G42,FALSE)</f>
        <v>1.605</v>
      </c>
      <c r="I42" s="132"/>
      <c r="J42" s="132">
        <v>3.2118055555555552E-2</v>
      </c>
      <c r="K42" s="18"/>
      <c r="L42" s="600">
        <f>IF(OR(I42="Arr",J42="Arr",K42="Arr"),"Arr",IF(OR(I42="Brutt",J42="Brutt",K42="Brutt"),"Brutt",IF(OR(I42="Disk",J42="Disk",K42="Disk"),"Disk",IF(OR(I42="Løype",J42="Løype",K42="Løype"),"Løype",IF(I42&gt;0,I42/I$8,J42/J$8)))))</f>
        <v>1.1470734126984126E-2</v>
      </c>
      <c r="M42" s="594">
        <f>IF(L42="Løype",Poengsammendrag!$F$2,IF(L42="Arr",Poengsammendrag!$F$3,IF(L42="Brutt",50,IF(L42="Disk",50,ROUND(MAXA(100*(MIN(L$10:L$98)/L42),50),0)))))</f>
        <v>63</v>
      </c>
      <c r="N42" s="724">
        <f>IF(L42="Arr","Arr",IF(L42="Brutt","Brutt",IF(L42="Disk","Disk",IF(L42="Løype","Løype",L42/H42))))</f>
        <v>7.1468748454729756E-3</v>
      </c>
      <c r="O42" s="596">
        <f>IF(N42="Løype",Poengsammendrag!$F$2,IF(N42="Arr",Poengsammendrag!$F$3,IF(N42="Brutt",50,IF(N42="Disk",50,ROUND(MAXA(100*(MIN(N$10:N$98)/N42),50),0)))))</f>
        <v>63</v>
      </c>
      <c r="S42" s="803" t="s">
        <v>161</v>
      </c>
      <c r="T42" s="796">
        <v>1.3475529100529102E-2</v>
      </c>
      <c r="U42" s="765">
        <v>54</v>
      </c>
      <c r="V42" s="782"/>
      <c r="W42" s="777" t="s">
        <v>147</v>
      </c>
      <c r="X42" s="762">
        <v>63</v>
      </c>
      <c r="AB42" s="828">
        <f t="shared" si="0"/>
        <v>87</v>
      </c>
      <c r="AC42" s="829">
        <f>COUNTIFS(F$10:F$100,AB42,M$10:M$100,"&gt;0")</f>
        <v>2</v>
      </c>
    </row>
    <row r="43" spans="2:29" ht="21" thickBot="1" x14ac:dyDescent="0.3">
      <c r="B43" s="16">
        <f>B42+1</f>
        <v>34</v>
      </c>
      <c r="C43" s="106" t="s">
        <v>161</v>
      </c>
      <c r="D43" s="107" t="s">
        <v>162</v>
      </c>
      <c r="E43" s="599" t="str">
        <f>_xlfn.CONCAT(C43:D43)</f>
        <v>Nils OlavVennevik</v>
      </c>
      <c r="F43" s="192">
        <f>YEAR(I$5)-_xlfn.XLOOKUP(E43,Deltakerliste!E$5:E$98,Deltakerliste!I$5:I$98)</f>
        <v>78</v>
      </c>
      <c r="G43" s="192">
        <f>_xlfn.XLOOKUP(E43,Deltakerliste!E$5:E$98,Deltakerliste!H$5:H$98)</f>
        <v>2</v>
      </c>
      <c r="H43" s="592">
        <f>VLOOKUP(F43,Deltakerliste!P$6:T$84,G43,FALSE)</f>
        <v>1.7550000000000001</v>
      </c>
      <c r="I43" s="132"/>
      <c r="J43" s="132">
        <v>3.7731481481481484E-2</v>
      </c>
      <c r="K43" s="18"/>
      <c r="L43" s="600">
        <f>IF(OR(I43="Arr",J43="Arr",K43="Arr"),"Arr",IF(OR(I43="Brutt",J43="Brutt",K43="Brutt"),"Brutt",IF(OR(I43="Disk",J43="Disk",K43="Disk"),"Disk",IF(OR(I43="Løype",J43="Løype",K43="Løype"),"Løype",IF(I43&gt;0,I43/I$8,J43/J$8)))))</f>
        <v>1.3475529100529102E-2</v>
      </c>
      <c r="M43" s="594">
        <f>IF(L43="Løype",Poengsammendrag!$F$2,IF(L43="Arr",Poengsammendrag!$F$3,IF(L43="Brutt",50,IF(L43="Disk",50,ROUND(MAXA(100*(MIN(L$10:L$98)/L43),50),0)))))</f>
        <v>54</v>
      </c>
      <c r="N43" s="724">
        <f>IF(L43="Arr","Arr",IF(L43="Brutt","Brutt",IF(L43="Disk","Disk",IF(L43="Løype","Løype",L43/H43))))</f>
        <v>7.678364159845642E-3</v>
      </c>
      <c r="O43" s="596">
        <f>IF(N43="Løype",Poengsammendrag!$F$2,IF(N43="Arr",Poengsammendrag!$F$3,IF(N43="Brutt",50,IF(N43="Disk",50,ROUND(MAXA(100*(MIN(N$10:N$98)/N43),50),0)))))</f>
        <v>59</v>
      </c>
      <c r="S43" s="803" t="s">
        <v>112</v>
      </c>
      <c r="T43" s="797">
        <v>1.3722511574074073E-2</v>
      </c>
      <c r="U43" s="770">
        <v>53</v>
      </c>
      <c r="V43" s="778"/>
      <c r="W43" s="783" t="s">
        <v>161</v>
      </c>
      <c r="X43" s="740">
        <v>59</v>
      </c>
      <c r="AB43" s="828">
        <f t="shared" si="0"/>
        <v>88</v>
      </c>
      <c r="AC43" s="829">
        <f>COUNTIFS(F$10:F$100,AB43,M$10:M$100,"&gt;0")</f>
        <v>0</v>
      </c>
    </row>
    <row r="44" spans="2:29" ht="21" customHeight="1" thickBot="1" x14ac:dyDescent="0.3">
      <c r="B44" s="16">
        <f>B43+1</f>
        <v>35</v>
      </c>
      <c r="C44" s="106" t="s">
        <v>269</v>
      </c>
      <c r="D44" s="107" t="s">
        <v>270</v>
      </c>
      <c r="E44" s="599" t="str">
        <f>_xlfn.CONCAT(C44:D44)</f>
        <v>Per OlavJohansen</v>
      </c>
      <c r="F44" s="192">
        <f>YEAR(I$5)-_xlfn.XLOOKUP(E44,Deltakerliste!E$5:E$98,Deltakerliste!I$5:I$98)</f>
        <v>68</v>
      </c>
      <c r="G44" s="192">
        <f>_xlfn.XLOOKUP(E44,Deltakerliste!E$5:E$98,Deltakerliste!H$5:H$98)</f>
        <v>2</v>
      </c>
      <c r="H44" s="592">
        <f>VLOOKUP(F44,Deltakerliste!P$6:T$84,G44,FALSE)</f>
        <v>1.3729999999999998</v>
      </c>
      <c r="I44" s="132">
        <v>1.695601851851852E-2</v>
      </c>
      <c r="J44" s="132"/>
      <c r="K44" s="134"/>
      <c r="L44" s="600">
        <f>IF(OR(I44="Arr",J44="Arr",K44="Arr"),"Arr",IF(OR(I44="Brutt",J44="Brutt",K44="Brutt"),"Brutt",IF(OR(I44="Disk",J44="Disk",K44="Disk"),"Disk",IF(OR(I44="Løype",J44="Løype",K44="Løype"),"Løype",IF(I44&gt;0,I44/I$8,J44/J$8)))))</f>
        <v>1.0597511574074073E-2</v>
      </c>
      <c r="M44" s="594">
        <f>IF(L44="Løype",Poengsammendrag!$F$2,IF(L44="Arr",Poengsammendrag!$F$3,IF(L44="Brutt",50,IF(L44="Disk",50,ROUND(MAXA(100*(MIN(L$10:L$98)/L44),50),0)))))</f>
        <v>69</v>
      </c>
      <c r="N44" s="724">
        <f>IF(L44="Arr","Arr",IF(L44="Brutt","Brutt",IF(L44="Disk","Disk",IF(L44="Løype","Løype",L44/H44))))</f>
        <v>7.7185080656038425E-3</v>
      </c>
      <c r="O44" s="596">
        <f>IF(N44="Løype",Poengsammendrag!$F$2,IF(N44="Arr",Poengsammendrag!$F$3,IF(N44="Brutt",50,IF(N44="Disk",50,ROUND(MAXA(100*(MIN(N$10:N$98)/N44),50),0)))))</f>
        <v>59</v>
      </c>
      <c r="S44" s="803" t="s">
        <v>357</v>
      </c>
      <c r="T44" s="797">
        <v>1.429398148148148E-2</v>
      </c>
      <c r="U44" s="770">
        <v>51</v>
      </c>
      <c r="V44" s="772"/>
      <c r="W44" s="783" t="s">
        <v>269</v>
      </c>
      <c r="X44" s="740">
        <v>59</v>
      </c>
      <c r="AB44" s="828">
        <f t="shared" si="0"/>
        <v>89</v>
      </c>
      <c r="AC44" s="829">
        <f>COUNTIFS(F$10:F$100,AB44,M$10:M$100,"&gt;0")</f>
        <v>0</v>
      </c>
    </row>
    <row r="45" spans="2:29" ht="21" thickBot="1" x14ac:dyDescent="0.3">
      <c r="B45" s="16">
        <f>B44+1</f>
        <v>36</v>
      </c>
      <c r="C45" s="106" t="s">
        <v>66</v>
      </c>
      <c r="D45" s="107" t="s">
        <v>67</v>
      </c>
      <c r="E45" s="599" t="str">
        <f>_xlfn.CONCAT(C45:D45)</f>
        <v>FrankBjarkø</v>
      </c>
      <c r="F45" s="192">
        <f>YEAR(I$5)-_xlfn.XLOOKUP(E45,Deltakerliste!E$5:E$98,Deltakerliste!I$5:I$98)</f>
        <v>74</v>
      </c>
      <c r="G45" s="192">
        <f>_xlfn.XLOOKUP(E45,Deltakerliste!E$5:E$98,Deltakerliste!H$5:H$98)</f>
        <v>2</v>
      </c>
      <c r="H45" s="592">
        <f>VLOOKUP(F45,Deltakerliste!P$6:T$84,G45,FALSE)</f>
        <v>1.569</v>
      </c>
      <c r="I45" s="13"/>
      <c r="J45" s="13">
        <v>3.7442129629629631E-2</v>
      </c>
      <c r="K45" s="13"/>
      <c r="L45" s="600">
        <f>IF(OR(I45="Arr",J45="Arr",K45="Arr"),"Arr",IF(OR(I45="Brutt",J45="Brutt",K45="Brutt"),"Brutt",IF(OR(I45="Disk",J45="Disk",K45="Disk"),"Disk",IF(OR(I45="Løype",J45="Løype",K45="Løype"),"Løype",IF(I45&gt;0,I45/I$8,J45/J$8)))))</f>
        <v>1.3372189153439155E-2</v>
      </c>
      <c r="M45" s="594">
        <f>IF(L45="Løype",Poengsammendrag!$F$2,IF(L45="Arr",Poengsammendrag!$F$3,IF(L45="Brutt",50,IF(L45="Disk",50,ROUND(MAXA(100*(MIN(L$10:L$98)/L45),50),0)))))</f>
        <v>54</v>
      </c>
      <c r="N45" s="724">
        <f>IF(L45="Arr","Arr",IF(L45="Brutt","Brutt",IF(L45="Disk","Disk",IF(L45="Løype","Løype",L45/H45))))</f>
        <v>8.522746433039614E-3</v>
      </c>
      <c r="O45" s="596">
        <f>IF(N45="Løype",Poengsammendrag!$F$2,IF(N45="Arr",Poengsammendrag!$F$3,IF(N45="Brutt",50,IF(N45="Disk",50,ROUND(MAXA(100*(MIN(N$10:N$98)/N45),50),0)))))</f>
        <v>53</v>
      </c>
      <c r="S45" s="803" t="s">
        <v>263</v>
      </c>
      <c r="T45" s="797">
        <v>1.4662905092592592E-2</v>
      </c>
      <c r="U45" s="770">
        <v>50</v>
      </c>
      <c r="V45" s="772"/>
      <c r="W45" s="783" t="s">
        <v>66</v>
      </c>
      <c r="X45" s="740">
        <v>53</v>
      </c>
      <c r="AB45" s="828">
        <f t="shared" si="0"/>
        <v>90</v>
      </c>
      <c r="AC45" s="829">
        <f>COUNTIFS(F$10:F$100,AB45,M$10:M$100,"&gt;0")</f>
        <v>0</v>
      </c>
    </row>
    <row r="46" spans="2:29" ht="21" thickBot="1" x14ac:dyDescent="0.3">
      <c r="B46" s="16">
        <f>B45+1</f>
        <v>37</v>
      </c>
      <c r="C46" s="106" t="s">
        <v>84</v>
      </c>
      <c r="D46" s="107" t="s">
        <v>85</v>
      </c>
      <c r="E46" s="599" t="str">
        <f>_xlfn.CONCAT(C46:D46)</f>
        <v>PaulForseth</v>
      </c>
      <c r="F46" s="192">
        <f>YEAR(I$5)-_xlfn.XLOOKUP(E46,Deltakerliste!E$5:E$98,Deltakerliste!I$5:I$98)</f>
        <v>94</v>
      </c>
      <c r="G46" s="192">
        <f>_xlfn.XLOOKUP(E46,Deltakerliste!E$5:E$98,Deltakerliste!H$5:H$98)</f>
        <v>2</v>
      </c>
      <c r="H46" s="592">
        <f>VLOOKUP(F46,Deltakerliste!P$6:T$84,G46,FALSE)</f>
        <v>2.9810000000000003</v>
      </c>
      <c r="I46" s="86">
        <v>4.1689814814814811E-2</v>
      </c>
      <c r="J46" s="86"/>
      <c r="K46" s="17"/>
      <c r="L46" s="600">
        <f>IF(OR(I46="Arr",J46="Arr",K46="Arr"),"Arr",IF(OR(I46="Brutt",J46="Brutt",K46="Brutt"),"Brutt",IF(OR(I46="Disk",J46="Disk",K46="Disk"),"Disk",IF(OR(I46="Løype",J46="Løype",K46="Løype"),"Løype",IF(I46&gt;0,I46/I$8,J46/J$8)))))</f>
        <v>2.6056134259259255E-2</v>
      </c>
      <c r="M46" s="594">
        <f>IF(L46="Løype",Poengsammendrag!$F$2,IF(L46="Arr",Poengsammendrag!$F$3,IF(L46="Brutt",50,IF(L46="Disk",50,ROUND(MAXA(100*(MIN(L$10:L$98)/L46),50),0)))))</f>
        <v>50</v>
      </c>
      <c r="N46" s="724">
        <f>IF(L46="Arr","Arr",IF(L46="Brutt","Brutt",IF(L46="Disk","Disk",IF(L46="Løype","Løype",L46/H46))))</f>
        <v>8.740736081603237E-3</v>
      </c>
      <c r="O46" s="596">
        <f>IF(N46="Løype",Poengsammendrag!$F$2,IF(N46="Arr",Poengsammendrag!$F$3,IF(N46="Brutt",50,IF(N46="Disk",50,ROUND(MAXA(100*(MIN(N$10:N$98)/N46),50),0)))))</f>
        <v>52</v>
      </c>
      <c r="S46" s="803" t="s">
        <v>168</v>
      </c>
      <c r="T46" s="797">
        <v>1.5083498677248678E-2</v>
      </c>
      <c r="U46" s="770">
        <v>50</v>
      </c>
      <c r="V46" s="772"/>
      <c r="W46" s="783" t="s">
        <v>84</v>
      </c>
      <c r="X46" s="740">
        <v>52</v>
      </c>
      <c r="AB46" s="828">
        <f t="shared" si="0"/>
        <v>91</v>
      </c>
      <c r="AC46" s="829">
        <f>COUNTIFS(F$10:F$100,AB46,M$10:M$100,"&gt;0")</f>
        <v>0</v>
      </c>
    </row>
    <row r="47" spans="2:29" ht="21" customHeight="1" thickBot="1" x14ac:dyDescent="0.3">
      <c r="B47" s="16">
        <f>B46+1</f>
        <v>38</v>
      </c>
      <c r="C47" s="106" t="s">
        <v>130</v>
      </c>
      <c r="D47" s="107" t="s">
        <v>131</v>
      </c>
      <c r="E47" s="599" t="str">
        <f>_xlfn.CONCAT(C47:D47)</f>
        <v>AtleMørk</v>
      </c>
      <c r="F47" s="192">
        <f>YEAR(I$5)-_xlfn.XLOOKUP(E47,Deltakerliste!E$5:E$98,Deltakerliste!I$5:I$98)</f>
        <v>77</v>
      </c>
      <c r="G47" s="192">
        <f>_xlfn.XLOOKUP(E47,Deltakerliste!E$5:E$98,Deltakerliste!H$5:H$98)</f>
        <v>2</v>
      </c>
      <c r="H47" s="592">
        <f>VLOOKUP(F47,Deltakerliste!P$6:T$84,G47,FALSE)</f>
        <v>1.7050000000000001</v>
      </c>
      <c r="I47" s="132">
        <v>2.480324074074074E-2</v>
      </c>
      <c r="J47" s="132"/>
      <c r="K47" s="132"/>
      <c r="L47" s="600">
        <f>IF(OR(I47="Arr",J47="Arr",K47="Arr"),"Arr",IF(OR(I47="Brutt",J47="Brutt",K47="Brutt"),"Brutt",IF(OR(I47="Disk",J47="Disk",K47="Disk"),"Disk",IF(OR(I47="Løype",J47="Løype",K47="Løype"),"Løype",IF(I47&gt;0,I47/I$8,J47/J$8)))))</f>
        <v>1.5502025462962962E-2</v>
      </c>
      <c r="M47" s="594">
        <f>IF(L47="Løype",Poengsammendrag!$F$2,IF(L47="Arr",Poengsammendrag!$F$3,IF(L47="Brutt",50,IF(L47="Disk",50,ROUND(MAXA(100*(MIN(L$10:L$98)/L47),50),0)))))</f>
        <v>50</v>
      </c>
      <c r="N47" s="724">
        <f>IF(L47="Arr","Arr",IF(L47="Brutt","Brutt",IF(L47="Disk","Disk",IF(L47="Løype","Løype",L47/H47))))</f>
        <v>9.0920970457260778E-3</v>
      </c>
      <c r="O47" s="596">
        <f>IF(N47="Løype",Poengsammendrag!$F$2,IF(N47="Arr",Poengsammendrag!$F$3,IF(N47="Brutt",50,IF(N47="Disk",50,ROUND(MAXA(100*(MIN(N$10:N$98)/N47),50),0)))))</f>
        <v>50</v>
      </c>
      <c r="S47" s="803" t="s">
        <v>130</v>
      </c>
      <c r="T47" s="797">
        <v>1.5502025462962962E-2</v>
      </c>
      <c r="U47" s="770">
        <v>50</v>
      </c>
      <c r="V47" s="772"/>
      <c r="W47" s="783" t="s">
        <v>130</v>
      </c>
      <c r="X47" s="740">
        <v>50</v>
      </c>
      <c r="AB47" s="828">
        <f t="shared" si="0"/>
        <v>92</v>
      </c>
      <c r="AC47" s="829">
        <f>COUNTIFS(F$10:F$100,AB47,M$10:M$100,"&gt;0")</f>
        <v>0</v>
      </c>
    </row>
    <row r="48" spans="2:29" ht="21" customHeight="1" thickBot="1" x14ac:dyDescent="0.3">
      <c r="B48" s="16">
        <f>B47+1</f>
        <v>39</v>
      </c>
      <c r="C48" s="106" t="s">
        <v>411</v>
      </c>
      <c r="D48" s="107" t="s">
        <v>412</v>
      </c>
      <c r="E48" s="599" t="str">
        <f>_xlfn.CONCAT(C48:D48)</f>
        <v>HenrySundsetvik</v>
      </c>
      <c r="F48" s="192">
        <f>YEAR(I$5)-_xlfn.XLOOKUP(E48,Deltakerliste!E$5:E$98,Deltakerliste!I$5:I$98)</f>
        <v>86</v>
      </c>
      <c r="G48" s="192">
        <f>_xlfn.XLOOKUP(E48,Deltakerliste!E$5:E$98,Deltakerliste!H$5:H$98)</f>
        <v>2</v>
      </c>
      <c r="H48" s="592">
        <f>VLOOKUP(F48,Deltakerliste!P$6:T$84,G48,FALSE)</f>
        <v>2.3089999999999997</v>
      </c>
      <c r="I48" s="132">
        <v>3.4305555555555554E-2</v>
      </c>
      <c r="J48" s="132"/>
      <c r="K48" s="18"/>
      <c r="L48" s="600">
        <f>IF(OR(I48="Arr",J48="Arr",K48="Arr"),"Arr",IF(OR(I48="Brutt",J48="Brutt",K48="Brutt"),"Brutt",IF(OR(I48="Disk",J48="Disk",K48="Disk"),"Disk",IF(OR(I48="Løype",J48="Løype",K48="Løype"),"Løype",IF(I48&gt;0,I48/I$8,J48/J$8)))))</f>
        <v>2.1440972222222219E-2</v>
      </c>
      <c r="M48" s="594">
        <f>IF(L48="Løype",Poengsammendrag!$F$2,IF(L48="Arr",Poengsammendrag!$F$3,IF(L48="Brutt",50,IF(L48="Disk",50,ROUND(MAXA(100*(MIN(L$10:L$98)/L48),50),0)))))</f>
        <v>50</v>
      </c>
      <c r="N48" s="724">
        <f>IF(L48="Arr","Arr",IF(L48="Brutt","Brutt",IF(L48="Disk","Disk",IF(L48="Løype","Løype",L48/H48))))</f>
        <v>9.2858259948991866E-3</v>
      </c>
      <c r="O48" s="596">
        <f>IF(N48="Løype",Poengsammendrag!$F$2,IF(N48="Arr",Poengsammendrag!$F$3,IF(N48="Brutt",50,IF(N48="Disk",50,ROUND(MAXA(100*(MIN(N$10:N$98)/N48),50),0)))))</f>
        <v>50</v>
      </c>
      <c r="S48" s="803" t="s">
        <v>96</v>
      </c>
      <c r="T48" s="797">
        <v>1.6124131944444443E-2</v>
      </c>
      <c r="U48" s="770">
        <v>50</v>
      </c>
      <c r="V48" s="772"/>
      <c r="W48" s="783" t="s">
        <v>411</v>
      </c>
      <c r="X48" s="740">
        <v>50</v>
      </c>
      <c r="AB48" s="828">
        <f t="shared" si="0"/>
        <v>93</v>
      </c>
      <c r="AC48" s="829">
        <f>COUNTIFS(F$10:F$100,AB48,M$10:M$100,"&gt;0")</f>
        <v>0</v>
      </c>
    </row>
    <row r="49" spans="2:29" ht="21" customHeight="1" thickBot="1" x14ac:dyDescent="0.3">
      <c r="B49" s="16">
        <f>B48+1</f>
        <v>40</v>
      </c>
      <c r="C49" s="106" t="s">
        <v>168</v>
      </c>
      <c r="D49" s="107" t="s">
        <v>169</v>
      </c>
      <c r="E49" s="599" t="str">
        <f>_xlfn.CONCAT(C49:D49)</f>
        <v>SteinØvstedal</v>
      </c>
      <c r="F49" s="192">
        <f>YEAR(I$5)-_xlfn.XLOOKUP(E49,Deltakerliste!E$5:E$98,Deltakerliste!I$5:I$98)</f>
        <v>75</v>
      </c>
      <c r="G49" s="192">
        <f>_xlfn.XLOOKUP(E49,Deltakerliste!E$5:E$98,Deltakerliste!H$5:H$98)</f>
        <v>2</v>
      </c>
      <c r="H49" s="592">
        <f>VLOOKUP(F49,Deltakerliste!P$6:T$84,G49,FALSE)</f>
        <v>1.605</v>
      </c>
      <c r="I49" s="132"/>
      <c r="J49" s="950">
        <v>4.2233796296296297E-2</v>
      </c>
      <c r="K49" s="18"/>
      <c r="L49" s="600">
        <f>IF(OR(I49="Arr",J49="Arr",K49="Arr"),"Arr",IF(OR(I49="Brutt",J49="Brutt",K49="Brutt"),"Brutt",IF(OR(I49="Disk",J49="Disk",K49="Disk"),"Disk",IF(OR(I49="Løype",J49="Løype",K49="Løype"),"Løype",IF(I49&gt;0,I49/I$8,J49/J$8)))))</f>
        <v>1.5083498677248678E-2</v>
      </c>
      <c r="M49" s="594">
        <f>IF(L49="Løype",Poengsammendrag!$F$2,IF(L49="Arr",Poengsammendrag!$F$3,IF(L49="Brutt",50,IF(L49="Disk",50,ROUND(MAXA(100*(MIN(L$10:L$98)/L49),50),0)))))</f>
        <v>50</v>
      </c>
      <c r="N49" s="724">
        <f>IF(L49="Arr","Arr",IF(L49="Brutt","Brutt",IF(L49="Disk","Disk",IF(L49="Løype","Løype",L49/H49))))</f>
        <v>9.3978184904976187E-3</v>
      </c>
      <c r="O49" s="596">
        <f>IF(N49="Løype",Poengsammendrag!$F$2,IF(N49="Arr",Poengsammendrag!$F$3,IF(N49="Brutt",50,IF(N49="Disk",50,ROUND(MAXA(100*(MIN(N$10:N$98)/N49),50),0)))))</f>
        <v>50</v>
      </c>
      <c r="S49" s="803" t="s">
        <v>421</v>
      </c>
      <c r="T49" s="796">
        <v>1.7035590277777776E-2</v>
      </c>
      <c r="U49" s="793">
        <v>50</v>
      </c>
      <c r="V49" s="794"/>
      <c r="W49" s="795" t="s">
        <v>168</v>
      </c>
      <c r="X49" s="762">
        <v>50</v>
      </c>
      <c r="AB49" s="828">
        <f t="shared" si="0"/>
        <v>94</v>
      </c>
      <c r="AC49" s="829">
        <f>COUNTIFS(F$10:F$100,AB49,M$10:M$100,"&gt;0")</f>
        <v>1</v>
      </c>
    </row>
    <row r="50" spans="2:29" ht="21" thickBot="1" x14ac:dyDescent="0.3">
      <c r="B50" s="16">
        <f>B49+1</f>
        <v>41</v>
      </c>
      <c r="C50" s="106" t="s">
        <v>263</v>
      </c>
      <c r="D50" s="107" t="s">
        <v>264</v>
      </c>
      <c r="E50" s="599" t="str">
        <f>_xlfn.CONCAT(C50:D50)</f>
        <v>RuneHolt</v>
      </c>
      <c r="F50" s="192">
        <f>YEAR(I$5)-_xlfn.XLOOKUP(E50,Deltakerliste!E$5:E$98,Deltakerliste!I$5:I$98)</f>
        <v>73</v>
      </c>
      <c r="G50" s="192">
        <f>_xlfn.XLOOKUP(E50,Deltakerliste!E$5:E$98,Deltakerliste!H$5:H$98)</f>
        <v>2</v>
      </c>
      <c r="H50" s="592">
        <f>VLOOKUP(F50,Deltakerliste!P$6:T$84,G50,FALSE)</f>
        <v>1.5329999999999999</v>
      </c>
      <c r="I50" s="86">
        <v>2.3460648148148147E-2</v>
      </c>
      <c r="J50" s="134"/>
      <c r="K50" s="17"/>
      <c r="L50" s="600">
        <f>IF(OR(I50="Arr",J50="Arr",K50="Arr"),"Arr",IF(OR(I50="Brutt",J50="Brutt",K50="Brutt"),"Brutt",IF(OR(I50="Disk",J50="Disk",K50="Disk"),"Disk",IF(OR(I50="Løype",J50="Løype",K50="Løype"),"Løype",IF(I50&gt;0,I50/I$8,J50/J$8)))))</f>
        <v>1.4662905092592592E-2</v>
      </c>
      <c r="M50" s="594">
        <f>IF(L50="Løype",Poengsammendrag!$F$2,IF(L50="Arr",Poengsammendrag!$F$3,IF(L50="Brutt",50,IF(L50="Disk",50,ROUND(MAXA(100*(MIN(L$10:L$98)/L50),50),0)))))</f>
        <v>50</v>
      </c>
      <c r="N50" s="724">
        <f>IF(L50="Arr","Arr",IF(L50="Brutt","Brutt",IF(L50="Disk","Disk",IF(L50="Løype","Løype",L50/H50))))</f>
        <v>9.5648435046266096E-3</v>
      </c>
      <c r="O50" s="596">
        <f>IF(N50="Løype",Poengsammendrag!$F$2,IF(N50="Arr",Poengsammendrag!$F$3,IF(N50="Brutt",50,IF(N50="Disk",50,ROUND(MAXA(100*(MIN(N$10:N$98)/N50),50),0)))))</f>
        <v>50</v>
      </c>
      <c r="S50" s="803" t="s">
        <v>90</v>
      </c>
      <c r="T50" s="851">
        <v>1.8901909722222221E-2</v>
      </c>
      <c r="U50" s="770">
        <v>50</v>
      </c>
      <c r="V50" s="772"/>
      <c r="W50" s="783" t="s">
        <v>263</v>
      </c>
      <c r="X50" s="740">
        <v>50</v>
      </c>
      <c r="AB50" s="830">
        <f t="shared" si="0"/>
        <v>95</v>
      </c>
      <c r="AC50" s="831">
        <f>COUNTIFS(F$10:F$100,AB50,M$10:M$100,"&gt;0")</f>
        <v>0</v>
      </c>
    </row>
    <row r="51" spans="2:29" ht="21" customHeight="1" thickBot="1" x14ac:dyDescent="0.3">
      <c r="B51" s="16">
        <f>B50+1</f>
        <v>42</v>
      </c>
      <c r="C51" s="106" t="s">
        <v>207</v>
      </c>
      <c r="D51" s="107" t="s">
        <v>89</v>
      </c>
      <c r="E51" s="599" t="str">
        <f>_xlfn.CONCAT(C51:D51)</f>
        <v>AnneFuruholt</v>
      </c>
      <c r="F51" s="192">
        <f>YEAR(I$5)-_xlfn.XLOOKUP(E51,Deltakerliste!E$5:E$98,Deltakerliste!I$5:I$98)</f>
        <v>79</v>
      </c>
      <c r="G51" s="192">
        <f>_xlfn.XLOOKUP(E51,Deltakerliste!E$5:E$98,Deltakerliste!H$5:H$98)</f>
        <v>4</v>
      </c>
      <c r="H51" s="592">
        <f>VLOOKUP(F51,Deltakerliste!P$6:T$84,G51,FALSE)</f>
        <v>2.3974000000000011</v>
      </c>
      <c r="I51" s="13">
        <v>4.0810185185185185E-2</v>
      </c>
      <c r="J51" s="13"/>
      <c r="K51" s="13"/>
      <c r="L51" s="600">
        <f>IF(OR(I51="Arr",J51="Arr",K51="Arr"),"Arr",IF(OR(I51="Brutt",J51="Brutt",K51="Brutt"),"Brutt",IF(OR(I51="Disk",J51="Disk",K51="Disk"),"Disk",IF(OR(I51="Løype",J51="Løype",K51="Løype"),"Løype",IF(I51&gt;0,I51/I$8,J51/J$8)))))</f>
        <v>2.5506365740740739E-2</v>
      </c>
      <c r="M51" s="594">
        <f>IF(L51="Løype",Poengsammendrag!$F$2,IF(L51="Arr",Poengsammendrag!$F$3,IF(L51="Brutt",50,IF(L51="Disk",50,ROUND(MAXA(100*(MIN(L$10:L$98)/L51),50),0)))))</f>
        <v>50</v>
      </c>
      <c r="N51" s="724">
        <f>IF(L51="Arr","Arr",IF(L51="Brutt","Brutt",IF(L51="Disk","Disk",IF(L51="Løype","Løype",L51/H51))))</f>
        <v>1.0639178168324321E-2</v>
      </c>
      <c r="O51" s="596">
        <f>IF(N51="Løype",Poengsammendrag!$F$2,IF(N51="Arr",Poengsammendrag!$F$3,IF(N51="Brutt",50,IF(N51="Disk",50,ROUND(MAXA(100*(MIN(N$10:N$98)/N51),50),0)))))</f>
        <v>50</v>
      </c>
      <c r="S51" s="803" t="s">
        <v>411</v>
      </c>
      <c r="T51" s="797">
        <v>2.1440972222222219E-2</v>
      </c>
      <c r="U51" s="770">
        <v>50</v>
      </c>
      <c r="V51" s="772"/>
      <c r="W51" s="783" t="s">
        <v>207</v>
      </c>
      <c r="X51" s="740">
        <v>50</v>
      </c>
    </row>
    <row r="52" spans="2:29" ht="21" thickBot="1" x14ac:dyDescent="0.3">
      <c r="B52" s="16">
        <f>B51+1</f>
        <v>43</v>
      </c>
      <c r="C52" s="106" t="s">
        <v>421</v>
      </c>
      <c r="D52" s="107" t="s">
        <v>422</v>
      </c>
      <c r="E52" s="599" t="str">
        <f>_xlfn.CONCAT(C52:D52)</f>
        <v>Kjell ArneHenninen</v>
      </c>
      <c r="F52" s="192">
        <f>YEAR(I$5)-_xlfn.XLOOKUP(E52,Deltakerliste!E$5:E$98,Deltakerliste!I$5:I$98)</f>
        <v>72</v>
      </c>
      <c r="G52" s="192">
        <f>_xlfn.XLOOKUP(E52,Deltakerliste!E$5:E$98,Deltakerliste!H$5:H$98)</f>
        <v>2</v>
      </c>
      <c r="H52" s="592">
        <f>VLOOKUP(F52,Deltakerliste!P$6:T$84,G52,FALSE)</f>
        <v>1.4969999999999999</v>
      </c>
      <c r="I52" s="86">
        <v>2.7256944444444445E-2</v>
      </c>
      <c r="J52" s="86"/>
      <c r="K52" s="17"/>
      <c r="L52" s="600">
        <f>IF(OR(I52="Arr",J52="Arr",K52="Arr"),"Arr",IF(OR(I52="Brutt",J52="Brutt",K52="Brutt"),"Brutt",IF(OR(I52="Disk",J52="Disk",K52="Disk"),"Disk",IF(OR(I52="Løype",J52="Løype",K52="Løype"),"Løype",IF(I52&gt;0,I52/I$8,J52/J$8)))))</f>
        <v>1.7035590277777776E-2</v>
      </c>
      <c r="M52" s="594">
        <f>IF(L52="Løype",Poengsammendrag!$F$2,IF(L52="Arr",Poengsammendrag!$F$3,IF(L52="Brutt",50,IF(L52="Disk",50,ROUND(MAXA(100*(MIN(L$10:L$98)/L52),50),0)))))</f>
        <v>50</v>
      </c>
      <c r="N52" s="724">
        <f>IF(L52="Arr","Arr",IF(L52="Brutt","Brutt",IF(L52="Disk","Disk",IF(L52="Løype","Løype",L52/H52))))</f>
        <v>1.1379819824834854E-2</v>
      </c>
      <c r="O52" s="596">
        <f>IF(N52="Løype",Poengsammendrag!$F$2,IF(N52="Arr",Poengsammendrag!$F$3,IF(N52="Brutt",50,IF(N52="Disk",50,ROUND(MAXA(100*(MIN(N$10:N$98)/N52),50),0)))))</f>
        <v>50</v>
      </c>
      <c r="S52" s="803" t="s">
        <v>207</v>
      </c>
      <c r="T52" s="797">
        <v>2.5506365740740739E-2</v>
      </c>
      <c r="U52" s="770">
        <v>50</v>
      </c>
      <c r="V52" s="772"/>
      <c r="W52" s="783" t="s">
        <v>421</v>
      </c>
      <c r="X52" s="740">
        <v>50</v>
      </c>
      <c r="AC52" s="651">
        <f>SUM(AC10:AC50)</f>
        <v>54</v>
      </c>
    </row>
    <row r="53" spans="2:29" ht="21" thickBot="1" x14ac:dyDescent="0.3">
      <c r="B53" s="16">
        <f>B52+1</f>
        <v>44</v>
      </c>
      <c r="C53" s="106" t="s">
        <v>90</v>
      </c>
      <c r="D53" s="107" t="s">
        <v>91</v>
      </c>
      <c r="E53" s="599" t="str">
        <f>_xlfn.CONCAT(C53:D53)</f>
        <v>TorGjermstad</v>
      </c>
      <c r="F53" s="192">
        <f>YEAR(I$5)-_xlfn.XLOOKUP(E53,Deltakerliste!E$5:E$98,Deltakerliste!I$5:I$98)</f>
        <v>76</v>
      </c>
      <c r="G53" s="192">
        <f>_xlfn.XLOOKUP(E53,Deltakerliste!E$5:E$98,Deltakerliste!H$5:H$98)</f>
        <v>2</v>
      </c>
      <c r="H53" s="592">
        <f>VLOOKUP(F53,Deltakerliste!P$6:T$84,G53,FALSE)</f>
        <v>1.655</v>
      </c>
      <c r="I53" s="86">
        <v>3.0243055555555554E-2</v>
      </c>
      <c r="J53" s="86"/>
      <c r="K53" s="13"/>
      <c r="L53" s="600">
        <f>IF(OR(I53="Arr",J53="Arr",K53="Arr"),"Arr",IF(OR(I53="Brutt",J53="Brutt",K53="Brutt"),"Brutt",IF(OR(I53="Disk",J53="Disk",K53="Disk"),"Disk",IF(OR(I53="Løype",J53="Løype",K53="Løype"),"Løype",IF(I53&gt;0,I53/I$8,J53/J$8)))))</f>
        <v>1.8901909722222221E-2</v>
      </c>
      <c r="M53" s="594">
        <f>IF(L53="Løype",Poengsammendrag!$F$2,IF(L53="Arr",Poengsammendrag!$F$3,IF(L53="Brutt",50,IF(L53="Disk",50,ROUND(MAXA(100*(MIN(L$10:L$98)/L53),50),0)))))</f>
        <v>50</v>
      </c>
      <c r="N53" s="724">
        <f>IF(L53="Arr","Arr",IF(L53="Brutt","Brutt",IF(L53="Disk","Disk",IF(L53="Løype","Løype",L53/H53))))</f>
        <v>1.1421093487747565E-2</v>
      </c>
      <c r="O53" s="596">
        <f>IF(N53="Løype",Poengsammendrag!$F$2,IF(N53="Arr",Poengsammendrag!$F$3,IF(N53="Brutt",50,IF(N53="Disk",50,ROUND(MAXA(100*(MIN(N$10:N$98)/N53),50),0)))))</f>
        <v>50</v>
      </c>
      <c r="S53" s="803" t="s">
        <v>84</v>
      </c>
      <c r="T53" s="797">
        <v>2.6056134259259255E-2</v>
      </c>
      <c r="U53" s="770">
        <v>50</v>
      </c>
      <c r="V53" s="772"/>
      <c r="W53" s="783" t="s">
        <v>90</v>
      </c>
      <c r="X53" s="740">
        <v>50</v>
      </c>
    </row>
    <row r="54" spans="2:29" ht="21" thickBot="1" x14ac:dyDescent="0.3">
      <c r="B54" s="16">
        <f>B53+1</f>
        <v>45</v>
      </c>
      <c r="C54" s="106" t="s">
        <v>60</v>
      </c>
      <c r="D54" s="107" t="s">
        <v>372</v>
      </c>
      <c r="E54" s="599" t="str">
        <f>_xlfn.CONCAT(C54:D54)</f>
        <v>JosteinGrepstad</v>
      </c>
      <c r="F54" s="192">
        <f>YEAR(I$5)-_xlfn.XLOOKUP(E54,Deltakerliste!E$5:E$98,Deltakerliste!I$5:I$98)</f>
        <v>75</v>
      </c>
      <c r="G54" s="192">
        <f>_xlfn.XLOOKUP(E54,Deltakerliste!E$5:E$98,Deltakerliste!H$5:H$98)</f>
        <v>2</v>
      </c>
      <c r="H54" s="592">
        <f>VLOOKUP(F54,Deltakerliste!P$6:T$84,G54,FALSE)</f>
        <v>1.605</v>
      </c>
      <c r="I54" s="14">
        <v>4.2268518518518518E-2</v>
      </c>
      <c r="J54" s="14"/>
      <c r="K54" s="18"/>
      <c r="L54" s="600">
        <f>IF(OR(I54="Arr",J54="Arr",K54="Arr"),"Arr",IF(OR(I54="Brutt",J54="Brutt",K54="Brutt"),"Brutt",IF(OR(I54="Disk",J54="Disk",K54="Disk"),"Disk",IF(OR(I54="Løype",J54="Løype",K54="Løype"),"Løype",IF(I54&gt;0,I54/I$8,J54/J$8)))))</f>
        <v>2.6417824074074073E-2</v>
      </c>
      <c r="M54" s="594">
        <f>IF(L54="Løype",Poengsammendrag!$F$2,IF(L54="Arr",Poengsammendrag!$F$3,IF(L54="Brutt",50,IF(L54="Disk",50,ROUND(MAXA(100*(MIN(L$10:L$98)/L54),50),0)))))</f>
        <v>50</v>
      </c>
      <c r="N54" s="724">
        <f>IF(L54="Arr","Arr",IF(L54="Brutt","Brutt",IF(L54="Disk","Disk",IF(L54="Løype","Løype",L54/H54))))</f>
        <v>1.6459703472943347E-2</v>
      </c>
      <c r="O54" s="596">
        <f>IF(N54="Løype",Poengsammendrag!$F$2,IF(N54="Arr",Poengsammendrag!$F$3,IF(N54="Brutt",50,IF(N54="Disk",50,ROUND(MAXA(100*(MIN(N$10:N$98)/N54),50),0)))))</f>
        <v>50</v>
      </c>
      <c r="S54" s="846" t="s">
        <v>60</v>
      </c>
      <c r="T54" s="909">
        <v>2.6417824074074073E-2</v>
      </c>
      <c r="U54" s="848">
        <v>50</v>
      </c>
      <c r="V54" s="778"/>
      <c r="W54" s="849" t="s">
        <v>60</v>
      </c>
      <c r="X54" s="850">
        <v>50</v>
      </c>
    </row>
    <row r="55" spans="2:29" ht="21" customHeight="1" thickBot="1" x14ac:dyDescent="0.3">
      <c r="B55" s="16">
        <f>B54+1</f>
        <v>46</v>
      </c>
      <c r="C55" s="106" t="s">
        <v>76</v>
      </c>
      <c r="D55" s="107" t="s">
        <v>77</v>
      </c>
      <c r="E55" s="599" t="str">
        <f>_xlfn.CONCAT(C55:D55)</f>
        <v>ReinoldEllingsen</v>
      </c>
      <c r="F55" s="192">
        <f>YEAR(I$5)-_xlfn.XLOOKUP(E55,Deltakerliste!E$5:E$98,Deltakerliste!I$5:I$98)</f>
        <v>75</v>
      </c>
      <c r="G55" s="192">
        <f>_xlfn.XLOOKUP(E55,Deltakerliste!E$5:E$98,Deltakerliste!H$5:H$98)</f>
        <v>2</v>
      </c>
      <c r="H55" s="592">
        <f>VLOOKUP(F55,Deltakerliste!P$6:T$84,G55,FALSE)</f>
        <v>1.605</v>
      </c>
      <c r="I55" s="13"/>
      <c r="J55" s="13" t="s">
        <v>7</v>
      </c>
      <c r="K55" s="13"/>
      <c r="L55" s="600" t="str">
        <f>IF(OR(I55="Arr",J55="Arr",K55="Arr"),"Arr",IF(OR(I55="Brutt",J55="Brutt",K55="Brutt"),"Brutt",IF(OR(I55="Disk",J55="Disk",K55="Disk"),"Disk",IF(OR(I55="Løype",J55="Løype",K55="Løype"),"Løype",IF(I55&gt;0,I55/I$8,J55/J$8)))))</f>
        <v>Arr</v>
      </c>
      <c r="M55" s="594">
        <f>IF(L55="Løype",Poengsammendrag!$F$2,IF(L55="Arr",Poengsammendrag!$F$3,IF(L55="Brutt",50,IF(L55="Disk",50,ROUND(MAXA(100*(MIN(L$10:L$98)/L55),50),0)))))</f>
        <v>94</v>
      </c>
      <c r="N55" s="724" t="str">
        <f>IF(L55="Arr","Arr",IF(L55="Brutt","Brutt",IF(L55="Disk","Disk",IF(L55="Løype","Løype",L55/H55))))</f>
        <v>Arr</v>
      </c>
      <c r="O55" s="596">
        <f>IF(N55="Løype",Poengsammendrag!$F$2,IF(N55="Arr",Poengsammendrag!$F$3,IF(N55="Brutt",50,IF(N55="Disk",50,ROUND(MAXA(100*(MIN(N$10:N$98)/N55),50),0)))))</f>
        <v>94</v>
      </c>
      <c r="S55" s="803" t="s">
        <v>76</v>
      </c>
      <c r="T55" s="797" t="s">
        <v>7</v>
      </c>
      <c r="U55" s="770">
        <v>94</v>
      </c>
      <c r="V55" s="772"/>
      <c r="W55" s="783" t="s">
        <v>76</v>
      </c>
      <c r="X55" s="740">
        <v>94</v>
      </c>
    </row>
    <row r="56" spans="2:29" ht="21" thickBot="1" x14ac:dyDescent="0.3">
      <c r="B56" s="16">
        <f>B55+1</f>
        <v>47</v>
      </c>
      <c r="C56" s="106" t="s">
        <v>116</v>
      </c>
      <c r="D56" s="107" t="s">
        <v>165</v>
      </c>
      <c r="E56" s="599" t="str">
        <f>_xlfn.CONCAT(C56:D56)</f>
        <v>AndersWaage</v>
      </c>
      <c r="F56" s="192">
        <f>YEAR(I$5)-_xlfn.XLOOKUP(E56,Deltakerliste!E$5:E$98,Deltakerliste!I$5:I$98)</f>
        <v>78</v>
      </c>
      <c r="G56" s="192">
        <f>_xlfn.XLOOKUP(E56,Deltakerliste!E$5:E$98,Deltakerliste!H$5:H$98)</f>
        <v>2</v>
      </c>
      <c r="H56" s="592">
        <f>VLOOKUP(F56,Deltakerliste!P$6:T$84,G56,FALSE)</f>
        <v>1.7550000000000001</v>
      </c>
      <c r="I56" s="18"/>
      <c r="J56" s="132" t="s">
        <v>319</v>
      </c>
      <c r="K56" s="18"/>
      <c r="L56" s="600" t="str">
        <f>IF(OR(I56="Arr",J56="Arr",K56="Arr"),"Arr",IF(OR(I56="Brutt",J56="Brutt",K56="Brutt"),"Brutt",IF(OR(I56="Disk",J56="Disk",K56="Disk"),"Disk",IF(OR(I56="Løype",J56="Løype",K56="Løype"),"Løype",IF(I56&gt;0,I56/I$8,J56/J$8)))))</f>
        <v>Disk</v>
      </c>
      <c r="M56" s="594">
        <f>IF(L56="Løype",Poengsammendrag!$F$2,IF(L56="Arr",Poengsammendrag!$F$3,IF(L56="Brutt",50,IF(L56="Disk",50,ROUND(MAXA(100*(MIN(L$10:L$98)/L56),50),0)))))</f>
        <v>50</v>
      </c>
      <c r="N56" s="724" t="str">
        <f>IF(L56="Arr","Arr",IF(L56="Brutt","Brutt",IF(L56="Disk","Disk",IF(L56="Løype","Løype",L56/H56))))</f>
        <v>Disk</v>
      </c>
      <c r="O56" s="596">
        <f>IF(N56="Løype",Poengsammendrag!$F$2,IF(N56="Arr",Poengsammendrag!$F$3,IF(N56="Brutt",50,IF(N56="Disk",50,ROUND(MAXA(100*(MIN(N$10:N$98)/N56),50),0)))))</f>
        <v>50</v>
      </c>
      <c r="S56" s="803" t="s">
        <v>314</v>
      </c>
      <c r="T56" s="798" t="s">
        <v>319</v>
      </c>
      <c r="U56" s="770">
        <v>50</v>
      </c>
      <c r="V56" s="772"/>
      <c r="W56" s="783" t="s">
        <v>314</v>
      </c>
      <c r="X56" s="740">
        <v>50</v>
      </c>
    </row>
    <row r="57" spans="2:29" ht="21" thickBot="1" x14ac:dyDescent="0.3">
      <c r="B57" s="16">
        <f>B56+1</f>
        <v>48</v>
      </c>
      <c r="C57" s="106" t="s">
        <v>251</v>
      </c>
      <c r="D57" s="107" t="s">
        <v>252</v>
      </c>
      <c r="E57" s="599" t="str">
        <f>_xlfn.CONCAT(C57:D57)</f>
        <v>OttarKristiansen</v>
      </c>
      <c r="F57" s="192">
        <f>YEAR(I$5)-_xlfn.XLOOKUP(E57,Deltakerliste!E$5:E$98,Deltakerliste!I$5:I$98)</f>
        <v>77</v>
      </c>
      <c r="G57" s="192">
        <f>_xlfn.XLOOKUP(E57,Deltakerliste!E$5:E$98,Deltakerliste!H$5:H$98)</f>
        <v>2</v>
      </c>
      <c r="H57" s="592">
        <f>VLOOKUP(F57,Deltakerliste!P$6:T$84,G57,FALSE)</f>
        <v>1.7050000000000001</v>
      </c>
      <c r="I57" s="86"/>
      <c r="J57" s="86" t="s">
        <v>319</v>
      </c>
      <c r="K57" s="17"/>
      <c r="L57" s="600" t="str">
        <f>IF(OR(I57="Arr",J57="Arr",K57="Arr"),"Arr",IF(OR(I57="Brutt",J57="Brutt",K57="Brutt"),"Brutt",IF(OR(I57="Disk",J57="Disk",K57="Disk"),"Disk",IF(OR(I57="Løype",J57="Løype",K57="Løype"),"Løype",IF(I57&gt;0,I57/I$8,J57/J$8)))))</f>
        <v>Disk</v>
      </c>
      <c r="M57" s="594">
        <f>IF(L57="Løype",Poengsammendrag!$F$2,IF(L57="Arr",Poengsammendrag!$F$3,IF(L57="Brutt",50,IF(L57="Disk",50,ROUND(MAXA(100*(MIN(L$10:L$98)/L57),50),0)))))</f>
        <v>50</v>
      </c>
      <c r="N57" s="724" t="str">
        <f>IF(L57="Arr","Arr",IF(L57="Brutt","Brutt",IF(L57="Disk","Disk",IF(L57="Løype","Løype",L57/H57))))</f>
        <v>Disk</v>
      </c>
      <c r="O57" s="596">
        <f>IF(N57="Løype",Poengsammendrag!$F$2,IF(N57="Arr",Poengsammendrag!$F$3,IF(N57="Brutt",50,IF(N57="Disk",50,ROUND(MAXA(100*(MIN(N$10:N$98)/N57),50),0)))))</f>
        <v>50</v>
      </c>
      <c r="S57" s="803" t="s">
        <v>251</v>
      </c>
      <c r="T57" s="798" t="s">
        <v>319</v>
      </c>
      <c r="U57" s="770">
        <v>50</v>
      </c>
      <c r="V57" s="772"/>
      <c r="W57" s="783" t="s">
        <v>251</v>
      </c>
      <c r="X57" s="740">
        <v>50</v>
      </c>
    </row>
    <row r="58" spans="2:29" ht="20" customHeight="1" thickBot="1" x14ac:dyDescent="0.3">
      <c r="B58" s="16">
        <f>B57+1</f>
        <v>49</v>
      </c>
      <c r="C58" s="106" t="s">
        <v>103</v>
      </c>
      <c r="D58" s="107" t="s">
        <v>104</v>
      </c>
      <c r="E58" s="599" t="str">
        <f>_xlfn.CONCAT(C58:D58)</f>
        <v>SveinHove</v>
      </c>
      <c r="F58" s="192">
        <f>YEAR(I$5)-_xlfn.XLOOKUP(E58,Deltakerliste!E$5:E$98,Deltakerliste!I$5:I$98)</f>
        <v>79</v>
      </c>
      <c r="G58" s="192">
        <f>_xlfn.XLOOKUP(E58,Deltakerliste!E$5:E$98,Deltakerliste!H$5:H$98)</f>
        <v>2</v>
      </c>
      <c r="H58" s="592">
        <f>VLOOKUP(F58,Deltakerliste!P$6:T$84,G58,FALSE)</f>
        <v>1.8050000000000002</v>
      </c>
      <c r="I58" s="86" t="s">
        <v>319</v>
      </c>
      <c r="J58" s="86"/>
      <c r="K58" s="17"/>
      <c r="L58" s="600" t="str">
        <f>IF(OR(I58="Arr",J58="Arr",K58="Arr"),"Arr",IF(OR(I58="Brutt",J58="Brutt",K58="Brutt"),"Brutt",IF(OR(I58="Disk",J58="Disk",K58="Disk"),"Disk",IF(OR(I58="Løype",J58="Løype",K58="Løype"),"Løype",IF(I58&gt;0,I58/I$8,J58/J$8)))))</f>
        <v>Disk</v>
      </c>
      <c r="M58" s="594">
        <f>IF(L58="Løype",Poengsammendrag!$F$2,IF(L58="Arr",Poengsammendrag!$F$3,IF(L58="Brutt",50,IF(L58="Disk",50,ROUND(MAXA(100*(MIN(L$10:L$98)/L58),50),0)))))</f>
        <v>50</v>
      </c>
      <c r="N58" s="724" t="str">
        <f>IF(L58="Arr","Arr",IF(L58="Brutt","Brutt",IF(L58="Disk","Disk",IF(L58="Løype","Løype",L58/H58))))</f>
        <v>Disk</v>
      </c>
      <c r="O58" s="596">
        <f>IF(N58="Løype",Poengsammendrag!$F$2,IF(N58="Arr",Poengsammendrag!$F$3,IF(N58="Brutt",50,IF(N58="Disk",50,ROUND(MAXA(100*(MIN(N$10:N$98)/N58),50),0)))))</f>
        <v>50</v>
      </c>
      <c r="S58" s="803" t="s">
        <v>103</v>
      </c>
      <c r="T58" s="798" t="s">
        <v>319</v>
      </c>
      <c r="U58" s="770">
        <v>50</v>
      </c>
      <c r="V58" s="772"/>
      <c r="W58" s="783" t="s">
        <v>103</v>
      </c>
      <c r="X58" s="740">
        <v>50</v>
      </c>
    </row>
    <row r="59" spans="2:29" ht="21" thickBot="1" x14ac:dyDescent="0.3">
      <c r="B59" s="16">
        <f>B58+1</f>
        <v>50</v>
      </c>
      <c r="C59" s="106" t="s">
        <v>417</v>
      </c>
      <c r="D59" s="107" t="s">
        <v>267</v>
      </c>
      <c r="E59" s="599" t="str">
        <f>_xlfn.CONCAT(C59:D59)</f>
        <v>Anne LiseBrenne</v>
      </c>
      <c r="F59" s="192">
        <f>YEAR(I$5)-_xlfn.XLOOKUP(E59,Deltakerliste!E$5:E$98,Deltakerliste!I$5:I$98)</f>
        <v>79</v>
      </c>
      <c r="G59" s="192">
        <f>_xlfn.XLOOKUP(E59,Deltakerliste!E$5:E$98,Deltakerliste!H$5:H$98)</f>
        <v>4</v>
      </c>
      <c r="H59" s="592">
        <f>VLOOKUP(F59,Deltakerliste!P$6:T$84,G59,FALSE)</f>
        <v>2.3974000000000011</v>
      </c>
      <c r="I59" s="13" t="s">
        <v>319</v>
      </c>
      <c r="J59" s="13"/>
      <c r="K59" s="13"/>
      <c r="L59" s="600" t="str">
        <f>IF(OR(I59="Arr",J59="Arr",K59="Arr"),"Arr",IF(OR(I59="Brutt",J59="Brutt",K59="Brutt"),"Brutt",IF(OR(I59="Disk",J59="Disk",K59="Disk"),"Disk",IF(OR(I59="Løype",J59="Løype",K59="Løype"),"Løype",IF(I59&gt;0,I59/I$8,J59/J$8)))))</f>
        <v>Disk</v>
      </c>
      <c r="M59" s="594">
        <f>IF(L59="Løype",Poengsammendrag!$F$2,IF(L59="Arr",Poengsammendrag!$F$3,IF(L59="Brutt",50,IF(L59="Disk",50,ROUND(MAXA(100*(MIN(L$10:L$98)/L59),50),0)))))</f>
        <v>50</v>
      </c>
      <c r="N59" s="724" t="str">
        <f>IF(L59="Arr","Arr",IF(L59="Brutt","Brutt",IF(L59="Disk","Disk",IF(L59="Løype","Løype",L59/H59))))</f>
        <v>Disk</v>
      </c>
      <c r="O59" s="596">
        <f>IF(N59="Løype",Poengsammendrag!$F$2,IF(N59="Arr",Poengsammendrag!$F$3,IF(N59="Brutt",50,IF(N59="Disk",50,ROUND(MAXA(100*(MIN(N$10:N$98)/N59),50),0)))))</f>
        <v>50</v>
      </c>
      <c r="S59" s="803" t="s">
        <v>417</v>
      </c>
      <c r="T59" s="798" t="s">
        <v>319</v>
      </c>
      <c r="U59" s="770">
        <v>50</v>
      </c>
      <c r="V59" s="772"/>
      <c r="W59" s="783" t="s">
        <v>417</v>
      </c>
      <c r="X59" s="740">
        <v>50</v>
      </c>
    </row>
    <row r="60" spans="2:29" ht="21" customHeight="1" thickBot="1" x14ac:dyDescent="0.3">
      <c r="B60" s="16">
        <f>B59+1</f>
        <v>51</v>
      </c>
      <c r="C60" s="106" t="s">
        <v>78</v>
      </c>
      <c r="D60" s="107" t="s">
        <v>146</v>
      </c>
      <c r="E60" s="599" t="str">
        <f>_xlfn.CONCAT(C60:D60)</f>
        <v>LeifRøhjell</v>
      </c>
      <c r="F60" s="192">
        <f>YEAR(I$5)-_xlfn.XLOOKUP(E60,Deltakerliste!E$5:E$98,Deltakerliste!I$5:I$98)</f>
        <v>82</v>
      </c>
      <c r="G60" s="192">
        <f>_xlfn.XLOOKUP(E60,Deltakerliste!E$5:E$98,Deltakerliste!H$5:H$98)</f>
        <v>2</v>
      </c>
      <c r="H60" s="592">
        <f>VLOOKUP(F60,Deltakerliste!P$6:T$84,G60,FALSE)</f>
        <v>2.0030000000000001</v>
      </c>
      <c r="I60" s="132" t="s">
        <v>319</v>
      </c>
      <c r="J60" s="18"/>
      <c r="K60" s="18"/>
      <c r="L60" s="600" t="str">
        <f>IF(OR(I60="Arr",J60="Arr",K60="Arr"),"Arr",IF(OR(I60="Brutt",J60="Brutt",K60="Brutt"),"Brutt",IF(OR(I60="Disk",J60="Disk",K60="Disk"),"Disk",IF(OR(I60="Løype",J60="Løype",K60="Løype"),"Løype",IF(I60&gt;0,I60/I$8,J60/J$8)))))</f>
        <v>Disk</v>
      </c>
      <c r="M60" s="594">
        <f>IF(L60="Løype",Poengsammendrag!$F$2,IF(L60="Arr",Poengsammendrag!$F$3,IF(L60="Brutt",50,IF(L60="Disk",50,ROUND(MAXA(100*(MIN(L$10:L$98)/L60),50),0)))))</f>
        <v>50</v>
      </c>
      <c r="N60" s="724" t="str">
        <f>IF(L60="Arr","Arr",IF(L60="Brutt","Brutt",IF(L60="Disk","Disk",IF(L60="Løype","Løype",L60/H60))))</f>
        <v>Disk</v>
      </c>
      <c r="O60" s="596">
        <f>IF(N60="Løype",Poengsammendrag!$F$2,IF(N60="Arr",Poengsammendrag!$F$3,IF(N60="Brutt",50,IF(N60="Disk",50,ROUND(MAXA(100*(MIN(N$10:N$98)/N60),50),0)))))</f>
        <v>50</v>
      </c>
      <c r="S60" s="803" t="s">
        <v>337</v>
      </c>
      <c r="T60" s="798" t="s">
        <v>319</v>
      </c>
      <c r="U60" s="770">
        <v>50</v>
      </c>
      <c r="V60" s="772"/>
      <c r="W60" s="783" t="s">
        <v>337</v>
      </c>
      <c r="X60" s="740">
        <v>50</v>
      </c>
    </row>
    <row r="61" spans="2:29" ht="21" customHeight="1" thickBot="1" x14ac:dyDescent="0.3">
      <c r="B61" s="16">
        <f>B60+1</f>
        <v>52</v>
      </c>
      <c r="C61" s="106" t="s">
        <v>108</v>
      </c>
      <c r="D61" s="107" t="s">
        <v>109</v>
      </c>
      <c r="E61" s="599" t="str">
        <f>_xlfn.CONCAT(C61:D61)</f>
        <v>Finn FayeKnudsen</v>
      </c>
      <c r="F61" s="192">
        <f>YEAR(I$5)-_xlfn.XLOOKUP(E61,Deltakerliste!E$5:E$98,Deltakerliste!I$5:I$98)</f>
        <v>84</v>
      </c>
      <c r="G61" s="192">
        <f>_xlfn.XLOOKUP(E61,Deltakerliste!E$5:E$98,Deltakerliste!H$5:H$98)</f>
        <v>2</v>
      </c>
      <c r="H61" s="592">
        <f>VLOOKUP(F61,Deltakerliste!P$6:T$84,G61,FALSE)</f>
        <v>2.1509999999999998</v>
      </c>
      <c r="I61" s="86" t="s">
        <v>319</v>
      </c>
      <c r="J61" s="86"/>
      <c r="K61" s="13"/>
      <c r="L61" s="600" t="str">
        <f>IF(OR(I61="Arr",J61="Arr",K61="Arr"),"Arr",IF(OR(I61="Brutt",J61="Brutt",K61="Brutt"),"Brutt",IF(OR(I61="Disk",J61="Disk",K61="Disk"),"Disk",IF(OR(I61="Løype",J61="Løype",K61="Løype"),"Løype",IF(I61&gt;0,I61/I$8,J61/J$8)))))</f>
        <v>Disk</v>
      </c>
      <c r="M61" s="594">
        <f>IF(L61="Løype",Poengsammendrag!$F$2,IF(L61="Arr",Poengsammendrag!$F$3,IF(L61="Brutt",50,IF(L61="Disk",50,ROUND(MAXA(100*(MIN(L$10:L$98)/L61),50),0)))))</f>
        <v>50</v>
      </c>
      <c r="N61" s="724" t="str">
        <f>IF(L61="Arr","Arr",IF(L61="Brutt","Brutt",IF(L61="Disk","Disk",IF(L61="Løype","Løype",L61/H61))))</f>
        <v>Disk</v>
      </c>
      <c r="O61" s="596">
        <f>IF(N61="Løype",Poengsammendrag!$F$2,IF(N61="Arr",Poengsammendrag!$F$3,IF(N61="Brutt",50,IF(N61="Disk",50,ROUND(MAXA(100*(MIN(N$10:N$98)/N61),50),0)))))</f>
        <v>50</v>
      </c>
      <c r="S61" s="803" t="s">
        <v>108</v>
      </c>
      <c r="T61" s="798" t="s">
        <v>319</v>
      </c>
      <c r="U61" s="770">
        <v>50</v>
      </c>
      <c r="V61" s="772"/>
      <c r="W61" s="783" t="s">
        <v>108</v>
      </c>
      <c r="X61" s="740">
        <v>50</v>
      </c>
    </row>
    <row r="62" spans="2:29" ht="21" customHeight="1" thickBot="1" x14ac:dyDescent="0.3">
      <c r="B62" s="16">
        <f>B61+1</f>
        <v>53</v>
      </c>
      <c r="C62" s="106" t="s">
        <v>116</v>
      </c>
      <c r="D62" s="107" t="s">
        <v>117</v>
      </c>
      <c r="E62" s="599" t="str">
        <f>_xlfn.CONCAT(C62:D62)</f>
        <v>AndersLauglo</v>
      </c>
      <c r="F62" s="192">
        <f>YEAR(I$5)-_xlfn.XLOOKUP(E62,Deltakerliste!E$5:E$98,Deltakerliste!I$5:I$98)</f>
        <v>87</v>
      </c>
      <c r="G62" s="192">
        <f>_xlfn.XLOOKUP(E62,Deltakerliste!E$5:E$98,Deltakerliste!H$5:H$98)</f>
        <v>2</v>
      </c>
      <c r="H62" s="592">
        <f>VLOOKUP(F62,Deltakerliste!P$6:T$84,G62,FALSE)</f>
        <v>2.3929999999999998</v>
      </c>
      <c r="I62" s="13" t="s">
        <v>319</v>
      </c>
      <c r="J62" s="13"/>
      <c r="K62" s="86"/>
      <c r="L62" s="600" t="str">
        <f>IF(OR(I62="Arr",J62="Arr",K62="Arr"),"Arr",IF(OR(I62="Brutt",J62="Brutt",K62="Brutt"),"Brutt",IF(OR(I62="Disk",J62="Disk",K62="Disk"),"Disk",IF(OR(I62="Løype",J62="Løype",K62="Løype"),"Løype",IF(I62&gt;0,I62/I$8,J62/J$8)))))</f>
        <v>Disk</v>
      </c>
      <c r="M62" s="594">
        <f>IF(L62="Løype",Poengsammendrag!$F$2,IF(L62="Arr",Poengsammendrag!$F$3,IF(L62="Brutt",50,IF(L62="Disk",50,ROUND(MAXA(100*(MIN(L$10:L$98)/L62),50),0)))))</f>
        <v>50</v>
      </c>
      <c r="N62" s="724" t="str">
        <f>IF(L62="Arr","Arr",IF(L62="Brutt","Brutt",IF(L62="Disk","Disk",IF(L62="Løype","Løype",L62/H62))))</f>
        <v>Disk</v>
      </c>
      <c r="O62" s="596">
        <f>IF(N62="Løype",Poengsammendrag!$F$2,IF(N62="Arr",Poengsammendrag!$F$3,IF(N62="Brutt",50,IF(N62="Disk",50,ROUND(MAXA(100*(MIN(N$10:N$98)/N62),50),0)))))</f>
        <v>50</v>
      </c>
      <c r="S62" s="803" t="s">
        <v>315</v>
      </c>
      <c r="T62" s="798" t="s">
        <v>319</v>
      </c>
      <c r="U62" s="770">
        <v>50</v>
      </c>
      <c r="V62" s="772"/>
      <c r="W62" s="783" t="s">
        <v>315</v>
      </c>
      <c r="X62" s="740">
        <v>50</v>
      </c>
    </row>
    <row r="63" spans="2:29" ht="21" thickBot="1" x14ac:dyDescent="0.3">
      <c r="B63" s="16">
        <f>B62+1</f>
        <v>54</v>
      </c>
      <c r="C63" s="106" t="s">
        <v>126</v>
      </c>
      <c r="D63" s="107" t="s">
        <v>127</v>
      </c>
      <c r="E63" s="599" t="str">
        <f>_xlfn.CONCAT(C63:D63)</f>
        <v>ArneMikkelsen</v>
      </c>
      <c r="F63" s="192">
        <f>YEAR(I$5)-_xlfn.XLOOKUP(E63,Deltakerliste!E$5:E$98,Deltakerliste!I$5:I$98)</f>
        <v>73</v>
      </c>
      <c r="G63" s="192">
        <f>_xlfn.XLOOKUP(E63,Deltakerliste!E$5:E$98,Deltakerliste!H$5:H$98)</f>
        <v>2</v>
      </c>
      <c r="H63" s="592">
        <f>VLOOKUP(F63,Deltakerliste!P$6:T$84,G63,FALSE)</f>
        <v>1.5329999999999999</v>
      </c>
      <c r="I63" s="13"/>
      <c r="J63" s="13" t="s">
        <v>62</v>
      </c>
      <c r="K63" s="13"/>
      <c r="L63" s="600" t="str">
        <f>IF(OR(I63="Arr",J63="Arr",K63="Arr"),"Arr",IF(OR(I63="Brutt",J63="Brutt",K63="Brutt"),"Brutt",IF(OR(I63="Disk",J63="Disk",K63="Disk"),"Disk",IF(OR(I63="Løype",J63="Løype",K63="Løype"),"Løype",IF(I63&gt;0,I63/I$8,J63/J$8)))))</f>
        <v>Løype</v>
      </c>
      <c r="M63" s="594">
        <f>IF(L63="Løype",Poengsammendrag!$F$2,IF(L63="Arr",Poengsammendrag!$F$3,IF(L63="Brutt",50,IF(L63="Disk",50,ROUND(MAXA(100*(MIN(L$10:L$98)/L63),50),0)))))</f>
        <v>100</v>
      </c>
      <c r="N63" s="724" t="str">
        <f>IF(L63="Arr","Arr",IF(L63="Brutt","Brutt",IF(L63="Disk","Disk",IF(L63="Løype","Løype",L63/H63))))</f>
        <v>Løype</v>
      </c>
      <c r="O63" s="596">
        <f>IF(N63="Løype",Poengsammendrag!$F$2,IF(N63="Arr",Poengsammendrag!$F$3,IF(N63="Brutt",50,IF(N63="Disk",50,ROUND(MAXA(100*(MIN(N$10:N$98)/N63),50),0)))))</f>
        <v>100</v>
      </c>
      <c r="S63" s="961" t="s">
        <v>386</v>
      </c>
      <c r="T63" s="801" t="s">
        <v>62</v>
      </c>
      <c r="U63" s="771">
        <v>100</v>
      </c>
      <c r="V63" s="773"/>
      <c r="W63" s="784" t="s">
        <v>386</v>
      </c>
      <c r="X63" s="741">
        <v>100</v>
      </c>
    </row>
    <row r="64" spans="2:29" ht="21" thickBot="1" x14ac:dyDescent="0.3">
      <c r="B64" s="16">
        <f>B63+1</f>
        <v>55</v>
      </c>
      <c r="C64" s="106" t="s">
        <v>60</v>
      </c>
      <c r="D64" s="107" t="s">
        <v>61</v>
      </c>
      <c r="E64" s="599" t="str">
        <f>_xlfn.CONCAT(C64:D64)</f>
        <v>JosteinAlvestad</v>
      </c>
      <c r="F64" s="192">
        <f>YEAR(I$5)-_xlfn.XLOOKUP(E64,Deltakerliste!E$5:E$98,Deltakerliste!I$5:I$98)</f>
        <v>71</v>
      </c>
      <c r="G64" s="192">
        <f>_xlfn.XLOOKUP(E64,Deltakerliste!E$5:E$98,Deltakerliste!H$5:H$98)</f>
        <v>2</v>
      </c>
      <c r="H64" s="592">
        <f>VLOOKUP(F64,Deltakerliste!P$6:T$84,G64,FALSE)</f>
        <v>1.4609999999999999</v>
      </c>
      <c r="I64" s="13"/>
      <c r="J64" s="13"/>
      <c r="K64" s="17"/>
      <c r="L64" s="600"/>
      <c r="M64" s="594"/>
      <c r="N64" s="724"/>
      <c r="O64" s="596"/>
    </row>
    <row r="65" spans="2:17" ht="21" thickBot="1" x14ac:dyDescent="0.3">
      <c r="B65" s="16">
        <f>B64+1</f>
        <v>56</v>
      </c>
      <c r="C65" s="106" t="s">
        <v>414</v>
      </c>
      <c r="D65" s="107" t="s">
        <v>415</v>
      </c>
      <c r="E65" s="599" t="str">
        <f>_xlfn.CONCAT(C65:D65)</f>
        <v>HåkonArnesen</v>
      </c>
      <c r="F65" s="192">
        <f>YEAR(I$5)-_xlfn.XLOOKUP(E65,Deltakerliste!E$5:E$98,Deltakerliste!I$5:I$98)</f>
        <v>64</v>
      </c>
      <c r="G65" s="192">
        <f>_xlfn.XLOOKUP(E65,Deltakerliste!E$5:E$98,Deltakerliste!H$5:H$98)</f>
        <v>2</v>
      </c>
      <c r="H65" s="592">
        <f>VLOOKUP(F65,Deltakerliste!P$6:T$84,G65,FALSE)</f>
        <v>1.2759999999999998</v>
      </c>
      <c r="I65" s="13"/>
      <c r="J65" s="13"/>
      <c r="K65" s="17"/>
      <c r="L65" s="600"/>
      <c r="M65" s="594"/>
      <c r="N65" s="724"/>
      <c r="O65" s="596"/>
    </row>
    <row r="66" spans="2:17" ht="21" thickBot="1" x14ac:dyDescent="0.3">
      <c r="B66" s="16">
        <f>B65+1</f>
        <v>57</v>
      </c>
      <c r="C66" s="106" t="s">
        <v>364</v>
      </c>
      <c r="D66" s="107" t="s">
        <v>365</v>
      </c>
      <c r="E66" s="599" t="str">
        <f>_xlfn.CONCAT(C66:D66)</f>
        <v>GerdBjørset</v>
      </c>
      <c r="F66" s="192">
        <f>YEAR(I$5)-_xlfn.XLOOKUP(E66,Deltakerliste!E$5:E$98,Deltakerliste!I$5:I$98)</f>
        <v>72</v>
      </c>
      <c r="G66" s="192">
        <f>_xlfn.XLOOKUP(E66,Deltakerliste!E$5:E$98,Deltakerliste!H$5:H$98)</f>
        <v>4</v>
      </c>
      <c r="H66" s="592">
        <f>VLOOKUP(F66,Deltakerliste!P$6:T$84,G66,FALSE)</f>
        <v>2.0362000000000013</v>
      </c>
      <c r="I66" s="13"/>
      <c r="J66" s="13"/>
      <c r="K66" s="13"/>
      <c r="L66" s="600"/>
      <c r="M66" s="594"/>
      <c r="N66" s="724"/>
      <c r="O66" s="596"/>
    </row>
    <row r="67" spans="2:17" ht="21" thickBot="1" x14ac:dyDescent="0.3">
      <c r="B67" s="16">
        <f>B66+1</f>
        <v>58</v>
      </c>
      <c r="C67" s="106" t="s">
        <v>74</v>
      </c>
      <c r="D67" s="107" t="s">
        <v>75</v>
      </c>
      <c r="E67" s="599" t="str">
        <f>_xlfn.CONCAT(C67:D67)</f>
        <v>StinaElfving</v>
      </c>
      <c r="F67" s="192">
        <f>YEAR(I$5)-_xlfn.XLOOKUP(E67,Deltakerliste!E$5:E$98,Deltakerliste!I$5:I$98)</f>
        <v>76</v>
      </c>
      <c r="G67" s="192">
        <f>_xlfn.XLOOKUP(E67,Deltakerliste!E$5:E$98,Deltakerliste!H$5:H$98)</f>
        <v>4</v>
      </c>
      <c r="H67" s="592">
        <f>VLOOKUP(F67,Deltakerliste!P$6:T$84,G67,FALSE)</f>
        <v>2.2246000000000015</v>
      </c>
      <c r="I67" s="13"/>
      <c r="J67" s="13"/>
      <c r="K67" s="17"/>
      <c r="L67" s="600"/>
      <c r="M67" s="594"/>
      <c r="N67" s="724"/>
      <c r="O67" s="596"/>
    </row>
    <row r="68" spans="2:17" ht="21" thickBot="1" x14ac:dyDescent="0.3">
      <c r="B68" s="16">
        <f>B67+1</f>
        <v>59</v>
      </c>
      <c r="C68" s="106" t="s">
        <v>271</v>
      </c>
      <c r="D68" s="107" t="s">
        <v>272</v>
      </c>
      <c r="E68" s="599" t="str">
        <f>_xlfn.CONCAT(C68:D68)</f>
        <v>Arne KjellFoldvik</v>
      </c>
      <c r="F68" s="192">
        <f>YEAR(I$5)-_xlfn.XLOOKUP(E68,Deltakerliste!E$5:E$98,Deltakerliste!I$5:I$98)</f>
        <v>92</v>
      </c>
      <c r="G68" s="192">
        <f>_xlfn.XLOOKUP(E68,Deltakerliste!E$5:E$98,Deltakerliste!H$5:H$98)</f>
        <v>2</v>
      </c>
      <c r="H68" s="592">
        <f>VLOOKUP(F68,Deltakerliste!P$6:T$84,G68,FALSE)</f>
        <v>2.8130000000000002</v>
      </c>
      <c r="I68" s="14"/>
      <c r="J68" s="14"/>
      <c r="K68" s="13"/>
      <c r="L68" s="600"/>
      <c r="M68" s="594"/>
      <c r="N68" s="724"/>
      <c r="O68" s="596"/>
    </row>
    <row r="69" spans="2:17" ht="21" thickBot="1" x14ac:dyDescent="0.3">
      <c r="B69" s="16">
        <f>B68+1</f>
        <v>60</v>
      </c>
      <c r="C69" s="106" t="s">
        <v>82</v>
      </c>
      <c r="D69" s="107" t="s">
        <v>83</v>
      </c>
      <c r="E69" s="599" t="str">
        <f>_xlfn.CONCAT(C69:D69)</f>
        <v>RoarForbord</v>
      </c>
      <c r="F69" s="192">
        <f>YEAR(I$5)-_xlfn.XLOOKUP(E69,Deltakerliste!E$5:E$98,Deltakerliste!I$5:I$98)</f>
        <v>83</v>
      </c>
      <c r="G69" s="192">
        <f>_xlfn.XLOOKUP(E69,Deltakerliste!E$5:E$98,Deltakerliste!H$5:H$98)</f>
        <v>2</v>
      </c>
      <c r="H69" s="592">
        <f>VLOOKUP(F69,Deltakerliste!P$6:T$84,G69,FALSE)</f>
        <v>2.077</v>
      </c>
      <c r="I69" s="86"/>
      <c r="J69" s="86"/>
      <c r="K69" s="13"/>
      <c r="L69" s="600"/>
      <c r="M69" s="594"/>
      <c r="N69" s="724"/>
      <c r="O69" s="596"/>
    </row>
    <row r="70" spans="2:17" ht="21" thickBot="1" x14ac:dyDescent="0.3">
      <c r="B70" s="16">
        <f>B69+1</f>
        <v>61</v>
      </c>
      <c r="C70" s="106" t="s">
        <v>377</v>
      </c>
      <c r="D70" s="107" t="s">
        <v>83</v>
      </c>
      <c r="E70" s="599" t="str">
        <f>_xlfn.CONCAT(C70:D70)</f>
        <v>HildeForbord</v>
      </c>
      <c r="F70" s="192">
        <f>YEAR(I$5)-_xlfn.XLOOKUP(E70,Deltakerliste!E$5:E$98,Deltakerliste!I$5:I$98)</f>
        <v>60</v>
      </c>
      <c r="G70" s="192">
        <f>_xlfn.XLOOKUP(E70,Deltakerliste!E$5:E$98,Deltakerliste!H$5:H$98)</f>
        <v>4</v>
      </c>
      <c r="H70" s="592">
        <f>VLOOKUP(F70,Deltakerliste!P$6:T$84,G70,FALSE)</f>
        <v>1.6250000000000002</v>
      </c>
      <c r="I70" s="14"/>
      <c r="J70" s="14"/>
      <c r="K70" s="13"/>
      <c r="L70" s="600"/>
      <c r="M70" s="594"/>
      <c r="N70" s="724"/>
      <c r="O70" s="596"/>
    </row>
    <row r="71" spans="2:17" ht="21" thickBot="1" x14ac:dyDescent="0.3">
      <c r="B71" s="16">
        <f>B70+1</f>
        <v>62</v>
      </c>
      <c r="C71" s="106" t="s">
        <v>63</v>
      </c>
      <c r="D71" s="107" t="s">
        <v>336</v>
      </c>
      <c r="E71" s="599" t="str">
        <f>_xlfn.CONCAT(C71:D71)</f>
        <v>ToreFornes</v>
      </c>
      <c r="F71" s="192">
        <f>YEAR(I$5)-_xlfn.XLOOKUP(E71,Deltakerliste!E$5:E$98,Deltakerliste!I$5:I$98)</f>
        <v>67</v>
      </c>
      <c r="G71" s="192">
        <f>_xlfn.XLOOKUP(E71,Deltakerliste!E$5:E$98,Deltakerliste!H$5:H$98)</f>
        <v>2</v>
      </c>
      <c r="H71" s="592">
        <f>VLOOKUP(F71,Deltakerliste!P$6:T$84,G71,FALSE)</f>
        <v>1.3469999999999998</v>
      </c>
      <c r="I71" s="86"/>
      <c r="J71" s="86"/>
      <c r="K71" s="13"/>
      <c r="L71" s="600"/>
      <c r="M71" s="594"/>
      <c r="N71" s="724"/>
      <c r="O71" s="596"/>
    </row>
    <row r="72" spans="2:17" ht="21" thickBot="1" x14ac:dyDescent="0.3">
      <c r="B72" s="16">
        <f>B71+1</f>
        <v>63</v>
      </c>
      <c r="C72" s="106" t="s">
        <v>86</v>
      </c>
      <c r="D72" s="107" t="s">
        <v>87</v>
      </c>
      <c r="E72" s="599" t="str">
        <f>_xlfn.CONCAT(C72:D72)</f>
        <v>KristianFougner</v>
      </c>
      <c r="F72" s="192">
        <f>YEAR(I$5)-_xlfn.XLOOKUP(E72,Deltakerliste!E$5:E$98,Deltakerliste!I$5:I$98)</f>
        <v>76</v>
      </c>
      <c r="G72" s="192">
        <f>_xlfn.XLOOKUP(E72,Deltakerliste!E$5:E$98,Deltakerliste!H$5:H$98)</f>
        <v>2</v>
      </c>
      <c r="H72" s="592">
        <f>VLOOKUP(F72,Deltakerliste!P$6:T$84,G72,FALSE)</f>
        <v>1.655</v>
      </c>
      <c r="I72" s="86"/>
      <c r="J72" s="86"/>
      <c r="K72" s="13"/>
      <c r="L72" s="600"/>
      <c r="M72" s="594"/>
      <c r="N72" s="724"/>
      <c r="O72" s="596"/>
    </row>
    <row r="73" spans="2:17" ht="21" thickBot="1" x14ac:dyDescent="0.3">
      <c r="B73" s="16">
        <f>B72+1</f>
        <v>64</v>
      </c>
      <c r="C73" s="106" t="s">
        <v>116</v>
      </c>
      <c r="D73" s="107" t="s">
        <v>353</v>
      </c>
      <c r="E73" s="599" t="str">
        <f>_xlfn.CONCAT(C73:D73)</f>
        <v>AndersGjermo</v>
      </c>
      <c r="F73" s="192">
        <f>YEAR(I$5)-_xlfn.XLOOKUP(E73,Deltakerliste!E$5:E$98,Deltakerliste!I$5:I$98)</f>
        <v>68</v>
      </c>
      <c r="G73" s="192">
        <f>_xlfn.XLOOKUP(E73,Deltakerliste!E$5:E$98,Deltakerliste!H$5:H$98)</f>
        <v>2</v>
      </c>
      <c r="H73" s="592">
        <f>VLOOKUP(F73,Deltakerliste!P$6:T$84,G73,FALSE)</f>
        <v>1.3729999999999998</v>
      </c>
      <c r="I73" s="132"/>
      <c r="J73" s="132"/>
      <c r="K73" s="18"/>
      <c r="L73" s="600"/>
      <c r="M73" s="594"/>
      <c r="N73" s="724"/>
      <c r="O73" s="596"/>
    </row>
    <row r="74" spans="2:17" ht="21" thickBot="1" x14ac:dyDescent="0.3">
      <c r="B74" s="16">
        <f>B73+1</f>
        <v>65</v>
      </c>
      <c r="C74" s="106" t="s">
        <v>92</v>
      </c>
      <c r="D74" s="107" t="s">
        <v>93</v>
      </c>
      <c r="E74" s="599" t="str">
        <f>_xlfn.CONCAT(C74:D74)</f>
        <v>Jens ØysteinGjersvold</v>
      </c>
      <c r="F74" s="192">
        <f>YEAR(I$5)-_xlfn.XLOOKUP(E74,Deltakerliste!E$5:E$98,Deltakerliste!I$5:I$98)</f>
        <v>74</v>
      </c>
      <c r="G74" s="192">
        <f>_xlfn.XLOOKUP(E74,Deltakerliste!E$5:E$98,Deltakerliste!H$5:H$98)</f>
        <v>2</v>
      </c>
      <c r="H74" s="592">
        <f>VLOOKUP(F74,Deltakerliste!P$6:T$84,G74,FALSE)</f>
        <v>1.569</v>
      </c>
      <c r="I74" s="14"/>
      <c r="J74" s="14"/>
      <c r="K74" s="18"/>
      <c r="L74" s="600"/>
      <c r="M74" s="594"/>
      <c r="N74" s="724"/>
      <c r="O74" s="596"/>
    </row>
    <row r="75" spans="2:17" ht="21" thickBot="1" x14ac:dyDescent="0.3">
      <c r="B75" s="16">
        <f>B74+1</f>
        <v>66</v>
      </c>
      <c r="C75" s="106" t="s">
        <v>342</v>
      </c>
      <c r="D75" s="107" t="s">
        <v>343</v>
      </c>
      <c r="E75" s="599" t="str">
        <f>_xlfn.CONCAT(C75:D75)</f>
        <v>ArildHeggeset</v>
      </c>
      <c r="F75" s="192">
        <f>YEAR(I$5)-_xlfn.XLOOKUP(E75,Deltakerliste!E$5:E$98,Deltakerliste!I$5:I$98)</f>
        <v>59</v>
      </c>
      <c r="G75" s="192">
        <f>_xlfn.XLOOKUP(E75,Deltakerliste!E$5:E$98,Deltakerliste!H$5:H$98)</f>
        <v>2</v>
      </c>
      <c r="H75" s="592">
        <f>VLOOKUP(F75,Deltakerliste!P$6:T$84,G75,FALSE)</f>
        <v>1.1860000000000002</v>
      </c>
      <c r="I75" s="86"/>
      <c r="J75" s="86"/>
      <c r="K75" s="13"/>
      <c r="L75" s="600"/>
      <c r="M75" s="594"/>
      <c r="N75" s="724"/>
      <c r="O75" s="596"/>
      <c r="Q75" s="112"/>
    </row>
    <row r="76" spans="2:17" ht="21" thickBot="1" x14ac:dyDescent="0.3">
      <c r="B76" s="16">
        <f>B75+1</f>
        <v>67</v>
      </c>
      <c r="C76" s="106" t="s">
        <v>309</v>
      </c>
      <c r="D76" s="107" t="s">
        <v>310</v>
      </c>
      <c r="E76" s="599" t="str">
        <f>_xlfn.CONCAT(C76:D76)</f>
        <v>VigdisHeimly</v>
      </c>
      <c r="F76" s="192">
        <f>YEAR(I$5)-_xlfn.XLOOKUP(E76,Deltakerliste!E$5:E$98,Deltakerliste!I$5:I$98)</f>
        <v>67</v>
      </c>
      <c r="G76" s="192">
        <f>_xlfn.XLOOKUP(E76,Deltakerliste!E$5:E$98,Deltakerliste!H$5:H$98)</f>
        <v>4</v>
      </c>
      <c r="H76" s="592">
        <f>VLOOKUP(F76,Deltakerliste!P$6:T$84,G76,FALSE)</f>
        <v>1.8422000000000009</v>
      </c>
      <c r="I76" s="86"/>
      <c r="J76" s="86"/>
      <c r="K76" s="17"/>
      <c r="L76" s="600"/>
      <c r="M76" s="594"/>
      <c r="N76" s="724"/>
      <c r="O76" s="596"/>
    </row>
    <row r="77" spans="2:17" ht="21" thickBot="1" x14ac:dyDescent="0.3">
      <c r="B77" s="16">
        <f>B76+1</f>
        <v>68</v>
      </c>
      <c r="C77" s="106" t="s">
        <v>126</v>
      </c>
      <c r="D77" s="107" t="s">
        <v>383</v>
      </c>
      <c r="E77" s="599" t="str">
        <f>_xlfn.CONCAT(C77:D77)</f>
        <v>ArneHelland</v>
      </c>
      <c r="F77" s="192">
        <f>YEAR(I$5)-_xlfn.XLOOKUP(E77,Deltakerliste!E$5:E$98,Deltakerliste!I$5:I$98)</f>
        <v>61</v>
      </c>
      <c r="G77" s="192">
        <f>_xlfn.XLOOKUP(E77,Deltakerliste!E$5:E$98,Deltakerliste!H$5:H$98)</f>
        <v>2</v>
      </c>
      <c r="H77" s="592">
        <f>VLOOKUP(F77,Deltakerliste!P$6:T$84,G77,FALSE)</f>
        <v>1.2190000000000001</v>
      </c>
      <c r="I77" s="86"/>
      <c r="J77" s="86"/>
      <c r="K77" s="17"/>
      <c r="L77" s="600"/>
      <c r="M77" s="594"/>
      <c r="N77" s="724"/>
      <c r="O77" s="596"/>
    </row>
    <row r="78" spans="2:17" ht="21" thickBot="1" x14ac:dyDescent="0.3">
      <c r="B78" s="16">
        <f>B77+1</f>
        <v>69</v>
      </c>
      <c r="C78" s="106" t="s">
        <v>118</v>
      </c>
      <c r="D78" s="107" t="s">
        <v>383</v>
      </c>
      <c r="E78" s="599" t="str">
        <f>_xlfn.CONCAT(C78:D78)</f>
        <v>KnutHelland</v>
      </c>
      <c r="F78" s="192">
        <f>YEAR(I$5)-_xlfn.XLOOKUP(E78,Deltakerliste!E$5:E$98,Deltakerliste!I$5:I$98)</f>
        <v>64</v>
      </c>
      <c r="G78" s="192">
        <f>_xlfn.XLOOKUP(E78,Deltakerliste!E$5:E$98,Deltakerliste!H$5:H$98)</f>
        <v>2</v>
      </c>
      <c r="H78" s="592">
        <f>VLOOKUP(F78,Deltakerliste!P$6:T$84,G78,FALSE)</f>
        <v>1.2759999999999998</v>
      </c>
      <c r="I78" s="86"/>
      <c r="J78" s="86"/>
      <c r="K78" s="17"/>
      <c r="L78" s="600"/>
      <c r="M78" s="594"/>
      <c r="N78" s="724"/>
      <c r="O78" s="596"/>
    </row>
    <row r="79" spans="2:17" ht="21" thickBot="1" x14ac:dyDescent="0.3">
      <c r="B79" s="16">
        <f>B78+1</f>
        <v>70</v>
      </c>
      <c r="C79" s="106" t="s">
        <v>101</v>
      </c>
      <c r="D79" s="107" t="s">
        <v>102</v>
      </c>
      <c r="E79" s="599" t="str">
        <f>_xlfn.CONCAT(C79:D79)</f>
        <v>EvenHofstad</v>
      </c>
      <c r="F79" s="192">
        <f>YEAR(I$5)-_xlfn.XLOOKUP(E79,Deltakerliste!E$5:E$98,Deltakerliste!I$5:I$98)</f>
        <v>72</v>
      </c>
      <c r="G79" s="192">
        <f>_xlfn.XLOOKUP(E79,Deltakerliste!E$5:E$98,Deltakerliste!H$5:H$98)</f>
        <v>2</v>
      </c>
      <c r="H79" s="592">
        <f>VLOOKUP(F79,Deltakerliste!P$6:T$84,G79,FALSE)</f>
        <v>1.4969999999999999</v>
      </c>
      <c r="I79" s="86"/>
      <c r="J79" s="86"/>
      <c r="K79" s="13"/>
      <c r="L79" s="600"/>
      <c r="M79" s="594"/>
      <c r="N79" s="724"/>
      <c r="O79" s="596"/>
    </row>
    <row r="80" spans="2:17" ht="21" thickBot="1" x14ac:dyDescent="0.3">
      <c r="B80" s="16">
        <f>B79+1</f>
        <v>71</v>
      </c>
      <c r="C80" s="106" t="s">
        <v>63</v>
      </c>
      <c r="D80" s="107" t="s">
        <v>105</v>
      </c>
      <c r="E80" s="599" t="str">
        <f>_xlfn.CONCAT(C80:D80)</f>
        <v>ToreKiste</v>
      </c>
      <c r="F80" s="192">
        <f>YEAR(I$5)-_xlfn.XLOOKUP(E80,Deltakerliste!E$5:E$98,Deltakerliste!I$5:I$98)</f>
        <v>81</v>
      </c>
      <c r="G80" s="192">
        <f>_xlfn.XLOOKUP(E80,Deltakerliste!E$5:E$98,Deltakerliste!H$5:H$98)</f>
        <v>2</v>
      </c>
      <c r="H80" s="592">
        <f>VLOOKUP(F80,Deltakerliste!P$6:T$84,G80,FALSE)</f>
        <v>1.9290000000000003</v>
      </c>
      <c r="I80" s="86"/>
      <c r="J80" s="86"/>
      <c r="K80" s="13"/>
      <c r="L80" s="600"/>
      <c r="M80" s="594"/>
      <c r="N80" s="724"/>
      <c r="O80" s="596"/>
    </row>
    <row r="81" spans="2:15" ht="21" thickBot="1" x14ac:dyDescent="0.3">
      <c r="B81" s="16">
        <f>B80+1</f>
        <v>72</v>
      </c>
      <c r="C81" s="106" t="s">
        <v>110</v>
      </c>
      <c r="D81" s="107" t="s">
        <v>111</v>
      </c>
      <c r="E81" s="599" t="str">
        <f>_xlfn.CONCAT(C81:D81)</f>
        <v>Jan ErikKofoed</v>
      </c>
      <c r="F81" s="192">
        <f>YEAR(I$5)-_xlfn.XLOOKUP(E81,Deltakerliste!E$5:E$98,Deltakerliste!I$5:I$98)</f>
        <v>72</v>
      </c>
      <c r="G81" s="192">
        <f>_xlfn.XLOOKUP(E81,Deltakerliste!E$5:E$98,Deltakerliste!H$5:H$98)</f>
        <v>2</v>
      </c>
      <c r="H81" s="592">
        <f>VLOOKUP(F81,Deltakerliste!P$6:T$84,G81,FALSE)</f>
        <v>1.4969999999999999</v>
      </c>
      <c r="I81" s="86"/>
      <c r="J81" s="86"/>
      <c r="K81" s="13"/>
      <c r="L81" s="600"/>
      <c r="M81" s="594"/>
      <c r="N81" s="724"/>
      <c r="O81" s="596"/>
    </row>
    <row r="82" spans="2:15" ht="21" thickBot="1" x14ac:dyDescent="0.3">
      <c r="B82" s="16">
        <f>B81+1</f>
        <v>73</v>
      </c>
      <c r="C82" s="106" t="s">
        <v>299</v>
      </c>
      <c r="D82" s="107" t="s">
        <v>300</v>
      </c>
      <c r="E82" s="599" t="str">
        <f>_xlfn.CONCAT(C82:D82)</f>
        <v>OlavKvittem</v>
      </c>
      <c r="F82" s="192">
        <f>YEAR(I$5)-_xlfn.XLOOKUP(E82,Deltakerliste!E$5:E$98,Deltakerliste!I$5:I$98)</f>
        <v>71</v>
      </c>
      <c r="G82" s="192">
        <f>_xlfn.XLOOKUP(E82,Deltakerliste!E$5:E$98,Deltakerliste!H$5:H$98)</f>
        <v>2</v>
      </c>
      <c r="H82" s="592">
        <f>VLOOKUP(F82,Deltakerliste!P$6:T$84,G82,FALSE)</f>
        <v>1.4609999999999999</v>
      </c>
      <c r="I82" s="86"/>
      <c r="J82" s="86"/>
      <c r="K82" s="13"/>
      <c r="L82" s="600"/>
      <c r="M82" s="594"/>
      <c r="N82" s="724"/>
      <c r="O82" s="596"/>
    </row>
    <row r="83" spans="2:15" ht="21" thickBot="1" x14ac:dyDescent="0.3">
      <c r="B83" s="16">
        <f>B82+1</f>
        <v>74</v>
      </c>
      <c r="C83" s="106" t="s">
        <v>254</v>
      </c>
      <c r="D83" s="107" t="s">
        <v>255</v>
      </c>
      <c r="E83" s="599" t="str">
        <f>_xlfn.CONCAT(C83:D83)</f>
        <v>ArnfinnLangeland</v>
      </c>
      <c r="F83" s="192">
        <f>YEAR(I$5)-_xlfn.XLOOKUP(E83,Deltakerliste!E$5:E$98,Deltakerliste!I$5:I$98)</f>
        <v>90</v>
      </c>
      <c r="G83" s="192">
        <f>_xlfn.XLOOKUP(E83,Deltakerliste!E$5:E$98,Deltakerliste!H$5:H$98)</f>
        <v>2</v>
      </c>
      <c r="H83" s="592">
        <f>VLOOKUP(F83,Deltakerliste!P$6:T$84,G83,FALSE)</f>
        <v>2.645</v>
      </c>
      <c r="I83" s="86"/>
      <c r="J83" s="86"/>
      <c r="K83" s="13"/>
      <c r="L83" s="600"/>
      <c r="M83" s="594"/>
      <c r="N83" s="724"/>
      <c r="O83" s="596"/>
    </row>
    <row r="84" spans="2:15" ht="21" thickBot="1" x14ac:dyDescent="0.3">
      <c r="B84" s="16">
        <f>B83+1</f>
        <v>75</v>
      </c>
      <c r="C84" s="106" t="s">
        <v>118</v>
      </c>
      <c r="D84" s="107" t="s">
        <v>119</v>
      </c>
      <c r="E84" s="599" t="str">
        <f>_xlfn.CONCAT(C84:D84)</f>
        <v>KnutLillealtern</v>
      </c>
      <c r="F84" s="192">
        <f>YEAR(I$5)-_xlfn.XLOOKUP(E84,Deltakerliste!E$5:E$98,Deltakerliste!I$5:I$98)</f>
        <v>77</v>
      </c>
      <c r="G84" s="192">
        <f>_xlfn.XLOOKUP(E84,Deltakerliste!E$5:E$98,Deltakerliste!H$5:H$98)</f>
        <v>2</v>
      </c>
      <c r="H84" s="592">
        <f>VLOOKUP(F84,Deltakerliste!P$6:T$84,G84,FALSE)</f>
        <v>1.7050000000000001</v>
      </c>
      <c r="I84" s="13"/>
      <c r="J84" s="13"/>
      <c r="K84" s="17"/>
      <c r="L84" s="600"/>
      <c r="M84" s="594"/>
      <c r="N84" s="724"/>
      <c r="O84" s="596"/>
    </row>
    <row r="85" spans="2:15" ht="21" thickBot="1" x14ac:dyDescent="0.3">
      <c r="B85" s="16">
        <f>B84+1</f>
        <v>76</v>
      </c>
      <c r="C85" s="106" t="s">
        <v>248</v>
      </c>
      <c r="D85" s="107" t="s">
        <v>249</v>
      </c>
      <c r="E85" s="599" t="str">
        <f>_xlfn.CONCAT(C85:D85)</f>
        <v>ErikLund</v>
      </c>
      <c r="F85" s="192">
        <f>YEAR(I$5)-_xlfn.XLOOKUP(E85,Deltakerliste!E$5:E$98,Deltakerliste!I$5:I$98)</f>
        <v>79</v>
      </c>
      <c r="G85" s="192">
        <f>_xlfn.XLOOKUP(E85,Deltakerliste!E$5:E$98,Deltakerliste!H$5:H$98)</f>
        <v>2</v>
      </c>
      <c r="H85" s="592">
        <f>VLOOKUP(F85,Deltakerliste!P$6:T$84,G85,FALSE)</f>
        <v>1.8050000000000002</v>
      </c>
      <c r="I85" s="13"/>
      <c r="J85" s="13"/>
      <c r="K85" s="17"/>
      <c r="L85" s="600"/>
      <c r="M85" s="594"/>
      <c r="N85" s="724"/>
      <c r="O85" s="596"/>
    </row>
    <row r="86" spans="2:15" ht="21" thickBot="1" x14ac:dyDescent="0.3">
      <c r="B86" s="16">
        <f>B85+1</f>
        <v>77</v>
      </c>
      <c r="C86" s="106" t="s">
        <v>222</v>
      </c>
      <c r="D86" s="107" t="s">
        <v>221</v>
      </c>
      <c r="E86" s="599" t="str">
        <f>_xlfn.CONCAT(C86:D86)</f>
        <v>Kjell Maroni</v>
      </c>
      <c r="F86" s="192">
        <f>YEAR(I$5)-_xlfn.XLOOKUP(E86,Deltakerliste!E$5:E$98,Deltakerliste!I$5:I$98)</f>
        <v>70</v>
      </c>
      <c r="G86" s="192">
        <f>_xlfn.XLOOKUP(E86,Deltakerliste!E$5:E$98,Deltakerliste!H$5:H$98)</f>
        <v>2</v>
      </c>
      <c r="H86" s="592">
        <f>VLOOKUP(F86,Deltakerliste!P$6:T$84,G86,FALSE)</f>
        <v>1.4249999999999998</v>
      </c>
      <c r="I86" s="13"/>
      <c r="J86" s="13"/>
      <c r="K86" s="13"/>
      <c r="L86" s="600"/>
      <c r="M86" s="594"/>
      <c r="N86" s="724"/>
      <c r="O86" s="596"/>
    </row>
    <row r="87" spans="2:15" ht="21" thickBot="1" x14ac:dyDescent="0.3">
      <c r="B87" s="16">
        <f>B86+1</f>
        <v>78</v>
      </c>
      <c r="C87" s="106" t="s">
        <v>128</v>
      </c>
      <c r="D87" s="107" t="s">
        <v>129</v>
      </c>
      <c r="E87" s="599" t="str">
        <f>_xlfn.CONCAT(C87:D87)</f>
        <v>OddMusum</v>
      </c>
      <c r="F87" s="192">
        <f>YEAR(I$5)-_xlfn.XLOOKUP(E87,Deltakerliste!E$5:E$98,Deltakerliste!I$5:I$98)</f>
        <v>84</v>
      </c>
      <c r="G87" s="192">
        <f>_xlfn.XLOOKUP(E87,Deltakerliste!E$5:E$98,Deltakerliste!H$5:H$98)</f>
        <v>2</v>
      </c>
      <c r="H87" s="592">
        <f>VLOOKUP(F87,Deltakerliste!P$6:T$84,G87,FALSE)</f>
        <v>2.1509999999999998</v>
      </c>
      <c r="I87" s="13"/>
      <c r="J87" s="13"/>
      <c r="K87" s="13"/>
      <c r="L87" s="600"/>
      <c r="M87" s="594"/>
      <c r="N87" s="724"/>
      <c r="O87" s="596"/>
    </row>
    <row r="88" spans="2:15" ht="21" thickBot="1" x14ac:dyDescent="0.3">
      <c r="B88" s="16">
        <f>B87+1</f>
        <v>79</v>
      </c>
      <c r="C88" s="111" t="s">
        <v>132</v>
      </c>
      <c r="D88" s="193" t="s">
        <v>133</v>
      </c>
      <c r="E88" s="599" t="str">
        <f>_xlfn.CONCAT(C88:D88)</f>
        <v>JarleNestvold</v>
      </c>
      <c r="F88" s="192">
        <f>YEAR(I$5)-_xlfn.XLOOKUP(E88,Deltakerliste!E$5:E$98,Deltakerliste!I$5:I$98)</f>
        <v>89</v>
      </c>
      <c r="G88" s="192">
        <f>_xlfn.XLOOKUP(E88,Deltakerliste!E$5:E$98,Deltakerliste!H$5:H$98)</f>
        <v>2</v>
      </c>
      <c r="H88" s="592">
        <f>VLOOKUP(F88,Deltakerliste!P$6:T$84,G88,FALSE)</f>
        <v>2.5609999999999999</v>
      </c>
      <c r="I88" s="132"/>
      <c r="J88" s="18"/>
      <c r="K88" s="18"/>
      <c r="L88" s="600"/>
      <c r="M88" s="594"/>
      <c r="N88" s="724"/>
      <c r="O88" s="596"/>
    </row>
    <row r="89" spans="2:15" ht="21" thickBot="1" x14ac:dyDescent="0.3">
      <c r="B89" s="16">
        <f>B88+1</f>
        <v>80</v>
      </c>
      <c r="C89" s="111" t="s">
        <v>402</v>
      </c>
      <c r="D89" s="193" t="s">
        <v>403</v>
      </c>
      <c r="E89" s="599" t="str">
        <f>_xlfn.CONCAT(C89:D89)</f>
        <v>BørgeNordli</v>
      </c>
      <c r="F89" s="192">
        <f>YEAR(I$5)-_xlfn.XLOOKUP(E89,Deltakerliste!E$5:E$98,Deltakerliste!I$5:I$98)</f>
        <v>44</v>
      </c>
      <c r="G89" s="192">
        <f>_xlfn.XLOOKUP(E89,Deltakerliste!E$5:E$98,Deltakerliste!H$5:H$98)</f>
        <v>2</v>
      </c>
      <c r="H89" s="592">
        <f>VLOOKUP(F89,Deltakerliste!P$6:T$84,G89,FALSE)</f>
        <v>1.0399999999999996</v>
      </c>
      <c r="I89" s="132"/>
      <c r="J89" s="132"/>
      <c r="K89" s="18"/>
      <c r="L89" s="600"/>
      <c r="M89" s="594"/>
      <c r="N89" s="724"/>
      <c r="O89" s="596"/>
    </row>
    <row r="90" spans="2:15" ht="21" thickBot="1" x14ac:dyDescent="0.3">
      <c r="B90" s="16">
        <f>B89+1</f>
        <v>81</v>
      </c>
      <c r="C90" s="111" t="s">
        <v>72</v>
      </c>
      <c r="D90" s="108" t="s">
        <v>139</v>
      </c>
      <c r="E90" s="599" t="str">
        <f>_xlfn.CONCAT(C90:D90)</f>
        <v>KåreOnsøyen</v>
      </c>
      <c r="F90" s="192">
        <f>YEAR(I$5)-_xlfn.XLOOKUP(E90,Deltakerliste!E$5:E$98,Deltakerliste!I$5:I$98)</f>
        <v>78</v>
      </c>
      <c r="G90" s="192">
        <f>_xlfn.XLOOKUP(E90,Deltakerliste!E$5:E$98,Deltakerliste!H$5:H$98)</f>
        <v>2</v>
      </c>
      <c r="H90" s="592">
        <f>VLOOKUP(F90,Deltakerliste!P$6:T$84,G90,FALSE)</f>
        <v>1.7550000000000001</v>
      </c>
      <c r="I90" s="13"/>
      <c r="J90" s="13"/>
      <c r="K90" s="13"/>
      <c r="L90" s="600"/>
      <c r="M90" s="594"/>
      <c r="N90" s="724"/>
      <c r="O90" s="596"/>
    </row>
    <row r="91" spans="2:15" ht="21" thickBot="1" x14ac:dyDescent="0.3">
      <c r="B91" s="16">
        <f>B90+1</f>
        <v>82</v>
      </c>
      <c r="C91" s="111" t="s">
        <v>140</v>
      </c>
      <c r="D91" s="193" t="s">
        <v>141</v>
      </c>
      <c r="E91" s="599" t="str">
        <f>_xlfn.CONCAT(C91:D91)</f>
        <v>Grete BergeOwren</v>
      </c>
      <c r="F91" s="192">
        <f>YEAR(I$5)-_xlfn.XLOOKUP(E91,Deltakerliste!E$5:E$98,Deltakerliste!I$5:I$98)</f>
        <v>68</v>
      </c>
      <c r="G91" s="192">
        <f>_xlfn.XLOOKUP(E91,Deltakerliste!E$5:E$98,Deltakerliste!H$5:H$98)</f>
        <v>4</v>
      </c>
      <c r="H91" s="592">
        <f>VLOOKUP(F91,Deltakerliste!P$6:T$84,G91,FALSE)</f>
        <v>1.877800000000001</v>
      </c>
      <c r="I91" s="18"/>
      <c r="J91" s="18"/>
      <c r="K91" s="18"/>
      <c r="L91" s="600"/>
      <c r="M91" s="594"/>
      <c r="N91" s="724"/>
      <c r="O91" s="596"/>
    </row>
    <row r="92" spans="2:15" ht="21" thickBot="1" x14ac:dyDescent="0.3">
      <c r="B92" s="16">
        <f>B91+1</f>
        <v>83</v>
      </c>
      <c r="C92" s="111" t="s">
        <v>144</v>
      </c>
      <c r="D92" s="193" t="s">
        <v>145</v>
      </c>
      <c r="E92" s="599" t="str">
        <f>_xlfn.CONCAT(C92:D92)</f>
        <v>Bjørn Rindstad</v>
      </c>
      <c r="F92" s="192">
        <f>YEAR(I$5)-_xlfn.XLOOKUP(E92,Deltakerliste!E$5:E$98,Deltakerliste!I$5:I$98)</f>
        <v>75</v>
      </c>
      <c r="G92" s="192">
        <f>_xlfn.XLOOKUP(E92,Deltakerliste!E$5:E$98,Deltakerliste!H$5:H$98)</f>
        <v>2</v>
      </c>
      <c r="H92" s="592">
        <f>VLOOKUP(F92,Deltakerliste!P$6:T$84,G92,FALSE)</f>
        <v>1.605</v>
      </c>
      <c r="I92" s="18"/>
      <c r="J92" s="18"/>
      <c r="K92" s="18"/>
      <c r="L92" s="600"/>
      <c r="M92" s="594"/>
      <c r="N92" s="724"/>
      <c r="O92" s="596"/>
    </row>
    <row r="93" spans="2:15" ht="21" thickBot="1" x14ac:dyDescent="0.3">
      <c r="B93" s="16">
        <f>B92+1</f>
        <v>84</v>
      </c>
      <c r="C93" s="111" t="s">
        <v>298</v>
      </c>
      <c r="D93" s="108" t="s">
        <v>405</v>
      </c>
      <c r="E93" s="599" t="str">
        <f>_xlfn.CONCAT(C93:D93)</f>
        <v>ØyvindRogndalen</v>
      </c>
      <c r="F93" s="192">
        <f>YEAR(I$5)-_xlfn.XLOOKUP(E93,Deltakerliste!E$5:E$98,Deltakerliste!I$5:I$98)</f>
        <v>81</v>
      </c>
      <c r="G93" s="192">
        <f>_xlfn.XLOOKUP(E93,Deltakerliste!E$5:E$98,Deltakerliste!H$5:H$98)</f>
        <v>2</v>
      </c>
      <c r="H93" s="592">
        <f>VLOOKUP(F93,Deltakerliste!P$6:T$84,G93,FALSE)</f>
        <v>1.9290000000000003</v>
      </c>
      <c r="I93" s="132"/>
      <c r="J93" s="18"/>
      <c r="K93" s="18"/>
      <c r="L93" s="600"/>
      <c r="M93" s="594"/>
      <c r="N93" s="724"/>
      <c r="O93" s="596"/>
    </row>
    <row r="94" spans="2:15" ht="21" thickBot="1" x14ac:dyDescent="0.3">
      <c r="B94" s="16">
        <f>B93+1</f>
        <v>85</v>
      </c>
      <c r="C94" s="111" t="s">
        <v>228</v>
      </c>
      <c r="D94" s="108" t="s">
        <v>229</v>
      </c>
      <c r="E94" s="599" t="str">
        <f>_xlfn.CONCAT(C94:D94)</f>
        <v>May-LisRønning</v>
      </c>
      <c r="F94" s="192">
        <f>YEAR(I$5)-_xlfn.XLOOKUP(E94,Deltakerliste!E$5:E$98,Deltakerliste!I$5:I$98)</f>
        <v>56</v>
      </c>
      <c r="G94" s="192">
        <f>_xlfn.XLOOKUP(E94,Deltakerliste!E$5:E$98,Deltakerliste!H$5:H$98)</f>
        <v>4</v>
      </c>
      <c r="H94" s="592">
        <f>VLOOKUP(F94,Deltakerliste!P$6:T$84,G94,FALSE)</f>
        <v>1.5329999999999997</v>
      </c>
      <c r="I94" s="18"/>
      <c r="J94" s="18"/>
      <c r="K94" s="18"/>
      <c r="L94" s="600"/>
      <c r="M94" s="594"/>
      <c r="N94" s="724"/>
      <c r="O94" s="596"/>
    </row>
    <row r="95" spans="2:15" ht="21" thickBot="1" x14ac:dyDescent="0.3">
      <c r="B95" s="16">
        <f>B94+1</f>
        <v>86</v>
      </c>
      <c r="C95" s="193" t="s">
        <v>298</v>
      </c>
      <c r="D95" s="108" t="s">
        <v>297</v>
      </c>
      <c r="E95" s="599" t="str">
        <f>_xlfn.CONCAT(C95:D95)</f>
        <v>ØyvindSchjelderup</v>
      </c>
      <c r="F95" s="192">
        <f>YEAR(I$5)-_xlfn.XLOOKUP(E95,Deltakerliste!E$5:E$98,Deltakerliste!I$5:I$98)</f>
        <v>61</v>
      </c>
      <c r="G95" s="192">
        <f>_xlfn.XLOOKUP(E95,Deltakerliste!E$5:E$98,Deltakerliste!H$5:H$98)</f>
        <v>2</v>
      </c>
      <c r="H95" s="592">
        <f>VLOOKUP(F95,Deltakerliste!P$6:T$84,G95,FALSE)</f>
        <v>1.2190000000000001</v>
      </c>
      <c r="I95" s="18"/>
      <c r="J95" s="132"/>
      <c r="K95" s="18"/>
      <c r="L95" s="600"/>
      <c r="M95" s="594"/>
      <c r="N95" s="724"/>
      <c r="O95" s="596"/>
    </row>
    <row r="96" spans="2:15" ht="21" thickBot="1" x14ac:dyDescent="0.3">
      <c r="B96" s="16">
        <f>B95+1</f>
        <v>87</v>
      </c>
      <c r="C96" s="193" t="s">
        <v>155</v>
      </c>
      <c r="D96" s="108" t="s">
        <v>156</v>
      </c>
      <c r="E96" s="599" t="str">
        <f>_xlfn.CONCAT(C96:D96)</f>
        <v>KjellrunSporild</v>
      </c>
      <c r="F96" s="192">
        <f>YEAR(I$5)-_xlfn.XLOOKUP(E96,Deltakerliste!E$5:E$98,Deltakerliste!I$5:I$98)</f>
        <v>71</v>
      </c>
      <c r="G96" s="192">
        <f>_xlfn.XLOOKUP(E96,Deltakerliste!E$5:E$98,Deltakerliste!H$5:H$98)</f>
        <v>4</v>
      </c>
      <c r="H96" s="592">
        <f>VLOOKUP(F96,Deltakerliste!P$6:T$84,G96,FALSE)</f>
        <v>1.9926000000000013</v>
      </c>
      <c r="I96" s="18"/>
      <c r="J96" s="132"/>
      <c r="K96" s="18"/>
      <c r="L96" s="600"/>
      <c r="M96" s="594"/>
      <c r="N96" s="724"/>
      <c r="O96" s="596"/>
    </row>
    <row r="97" spans="2:15" ht="21" thickBot="1" x14ac:dyDescent="0.3">
      <c r="B97" s="16">
        <f>B96+1</f>
        <v>88</v>
      </c>
      <c r="C97" s="193" t="s">
        <v>232</v>
      </c>
      <c r="D97" s="133" t="s">
        <v>231</v>
      </c>
      <c r="E97" s="599" t="str">
        <f>_xlfn.CONCAT(C97:D97)</f>
        <v>BeritSunnset</v>
      </c>
      <c r="F97" s="192">
        <f>YEAR(I$5)-_xlfn.XLOOKUP(E97,Deltakerliste!E$5:E$98,Deltakerliste!I$5:I$98)</f>
        <v>63</v>
      </c>
      <c r="G97" s="192">
        <f>_xlfn.XLOOKUP(E97,Deltakerliste!E$5:E$98,Deltakerliste!H$5:H$98)</f>
        <v>4</v>
      </c>
      <c r="H97" s="592">
        <f>VLOOKUP(F97,Deltakerliste!P$6:T$84,G97,FALSE)</f>
        <v>1.7126000000000006</v>
      </c>
      <c r="I97" s="18"/>
      <c r="J97" s="18"/>
      <c r="K97" s="18"/>
      <c r="L97" s="952"/>
      <c r="M97" s="953"/>
      <c r="N97" s="724"/>
      <c r="O97" s="596"/>
    </row>
    <row r="98" spans="2:15" ht="21" thickBot="1" x14ac:dyDescent="0.3">
      <c r="B98" s="16">
        <f>B97+1</f>
        <v>89</v>
      </c>
      <c r="C98" s="193" t="s">
        <v>230</v>
      </c>
      <c r="D98" s="108" t="s">
        <v>231</v>
      </c>
      <c r="E98" s="599" t="str">
        <f>_xlfn.CONCAT(C98:D98)</f>
        <v>TrineSunnset</v>
      </c>
      <c r="F98" s="192">
        <f>YEAR(I$5)-_xlfn.XLOOKUP(E98,Deltakerliste!E$5:E$98,Deltakerliste!I$5:I$98)</f>
        <v>63</v>
      </c>
      <c r="G98" s="192">
        <f>_xlfn.XLOOKUP(E98,Deltakerliste!E$5:E$98,Deltakerliste!H$5:H$98)</f>
        <v>4</v>
      </c>
      <c r="H98" s="592">
        <f>VLOOKUP(F98,Deltakerliste!P$6:T$84,G98,FALSE)</f>
        <v>1.7126000000000006</v>
      </c>
      <c r="I98" s="18"/>
      <c r="J98" s="18"/>
      <c r="K98" s="18"/>
      <c r="L98" s="600"/>
      <c r="M98" s="594"/>
      <c r="N98" s="724"/>
      <c r="O98" s="596"/>
    </row>
    <row r="99" spans="2:15" ht="21" thickBot="1" x14ac:dyDescent="0.3">
      <c r="B99" s="16">
        <f>B98+1</f>
        <v>90</v>
      </c>
      <c r="C99" s="193" t="s">
        <v>307</v>
      </c>
      <c r="D99" s="108" t="s">
        <v>308</v>
      </c>
      <c r="E99" s="599" t="str">
        <f>_xlfn.CONCAT(C99:D99)</f>
        <v>RolfWærnes</v>
      </c>
      <c r="F99" s="192">
        <f>YEAR(I$5)-_xlfn.XLOOKUP(E99,Deltakerliste!E$5:E$98,Deltakerliste!I$5:I$98)</f>
        <v>75</v>
      </c>
      <c r="G99" s="192">
        <f>_xlfn.XLOOKUP(E99,Deltakerliste!E$5:E$98,Deltakerliste!H$5:H$98)</f>
        <v>2</v>
      </c>
      <c r="H99" s="592">
        <f>VLOOKUP(F99,Deltakerliste!P$6:T$84,G99,FALSE)</f>
        <v>1.605</v>
      </c>
      <c r="I99" s="18"/>
      <c r="J99" s="132"/>
      <c r="K99" s="18"/>
      <c r="L99" s="600"/>
      <c r="M99" s="594"/>
      <c r="N99" s="724"/>
      <c r="O99" s="596"/>
    </row>
    <row r="100" spans="2:15" ht="21" thickBot="1" x14ac:dyDescent="0.3">
      <c r="B100" s="16">
        <f>B99+1</f>
        <v>91</v>
      </c>
      <c r="C100" s="193" t="s">
        <v>166</v>
      </c>
      <c r="D100" s="108" t="s">
        <v>167</v>
      </c>
      <c r="E100" s="599" t="str">
        <f>_xlfn.CONCAT(C100:D100)</f>
        <v>GunnarØsterbø</v>
      </c>
      <c r="F100" s="192">
        <f>YEAR(I$5)-_xlfn.XLOOKUP(E100,Deltakerliste!E$5:E$98,Deltakerliste!I$5:I$98)</f>
        <v>87</v>
      </c>
      <c r="G100" s="192">
        <f>_xlfn.XLOOKUP(E100,Deltakerliste!E$5:E$98,Deltakerliste!H$5:H$98)</f>
        <v>2</v>
      </c>
      <c r="H100" s="592">
        <f>VLOOKUP(F100,Deltakerliste!P$6:T$84,G100,FALSE)</f>
        <v>2.3929999999999998</v>
      </c>
      <c r="I100" s="18"/>
      <c r="J100" s="132"/>
      <c r="K100" s="18"/>
      <c r="L100" s="725"/>
      <c r="M100" s="717"/>
      <c r="N100" s="726"/>
      <c r="O100" s="719"/>
    </row>
    <row r="101" spans="2:15" ht="20" thickBot="1" x14ac:dyDescent="0.3">
      <c r="B101" s="959"/>
      <c r="C101" s="946"/>
      <c r="D101" s="946"/>
      <c r="E101" s="947"/>
      <c r="F101" s="948"/>
      <c r="G101" s="948"/>
      <c r="H101" s="949"/>
      <c r="I101" s="950"/>
      <c r="J101" s="950"/>
      <c r="K101" s="951"/>
      <c r="L101" s="952"/>
      <c r="M101" s="953"/>
      <c r="N101" s="952"/>
      <c r="O101" s="953"/>
    </row>
    <row r="102" spans="2:15" ht="21" thickTop="1" thickBot="1" x14ac:dyDescent="0.3">
      <c r="B102" s="954"/>
      <c r="C102" s="954"/>
      <c r="D102" s="646" t="s">
        <v>288</v>
      </c>
      <c r="E102" s="647"/>
      <c r="F102" s="666"/>
      <c r="G102" s="666"/>
      <c r="H102" s="666"/>
      <c r="I102" s="648" t="s">
        <v>195</v>
      </c>
      <c r="J102" s="648" t="s">
        <v>196</v>
      </c>
      <c r="K102" s="649" t="s">
        <v>197</v>
      </c>
      <c r="N102" s="958"/>
      <c r="O102" s="954"/>
    </row>
    <row r="103" spans="2:15" ht="20" x14ac:dyDescent="0.25">
      <c r="B103" s="954"/>
      <c r="C103" s="954"/>
      <c r="D103" s="634" t="s">
        <v>172</v>
      </c>
      <c r="E103" s="955"/>
      <c r="F103" s="951"/>
      <c r="G103" s="951"/>
      <c r="H103" s="951"/>
      <c r="I103" s="956">
        <f>COUNT(I10:I100)+COUNTIF(I10:I100,"Brutt")+COUNTIF(I10:I100,"Disk")+COUNTIF(I10:I100,"(*)")</f>
        <v>27</v>
      </c>
      <c r="J103" s="956">
        <f>COUNT(J10:J100)+COUNTIF(J10:J100,"Brutt")+COUNTIF(J10:J100,"Disk")+COUNTIF(J10:J100,"(*)")</f>
        <v>25</v>
      </c>
      <c r="K103" s="636">
        <f>I103+J103</f>
        <v>52</v>
      </c>
      <c r="N103" s="958"/>
      <c r="O103" s="954"/>
    </row>
    <row r="104" spans="2:15" ht="19" x14ac:dyDescent="0.25">
      <c r="B104" s="954"/>
      <c r="C104" s="954"/>
      <c r="D104" s="637" t="s">
        <v>174</v>
      </c>
      <c r="E104" s="955"/>
      <c r="F104" s="951"/>
      <c r="G104" s="951"/>
      <c r="H104" s="951"/>
      <c r="I104" s="956">
        <f>COUNT(I10:I100)</f>
        <v>22</v>
      </c>
      <c r="J104" s="956">
        <f>COUNT(J10:J100)</f>
        <v>23</v>
      </c>
      <c r="K104" s="636">
        <f>I104+J104</f>
        <v>45</v>
      </c>
      <c r="N104" s="958"/>
      <c r="O104" s="954"/>
    </row>
    <row r="105" spans="2:15" ht="19" x14ac:dyDescent="0.25">
      <c r="D105" s="637" t="s">
        <v>173</v>
      </c>
      <c r="E105" s="320"/>
      <c r="F105" s="208"/>
      <c r="G105" s="208"/>
      <c r="H105" s="208"/>
      <c r="I105" s="208"/>
      <c r="J105" s="208"/>
      <c r="K105" s="636">
        <f>K103+COUNTIF(L10:L100,"Arr")+COUNTIF(L10:L100,"Løype")</f>
        <v>54</v>
      </c>
    </row>
    <row r="106" spans="2:15" ht="19" x14ac:dyDescent="0.25">
      <c r="D106" s="637" t="s">
        <v>341</v>
      </c>
      <c r="E106" s="320"/>
      <c r="F106" s="208"/>
      <c r="G106" s="208"/>
      <c r="H106" s="208"/>
      <c r="I106" s="208"/>
      <c r="J106" s="208"/>
      <c r="K106" s="638">
        <f>IF(SUM(L10:L100)=0," ",AVERAGEIF(M10:M100,"&gt;0",F10:F100))</f>
        <v>76.240740740740748</v>
      </c>
    </row>
    <row r="107" spans="2:15" ht="19" x14ac:dyDescent="0.25">
      <c r="D107" s="637" t="s">
        <v>296</v>
      </c>
      <c r="E107" s="320"/>
      <c r="F107" s="208"/>
      <c r="G107" s="208"/>
      <c r="H107" s="208"/>
      <c r="I107" s="208"/>
      <c r="J107" s="208"/>
      <c r="K107" s="638">
        <f>AVERAGE(I8:J8)</f>
        <v>2.2000000000000002</v>
      </c>
    </row>
    <row r="108" spans="2:15" ht="19" x14ac:dyDescent="0.25">
      <c r="B108" s="954"/>
      <c r="C108" s="954"/>
      <c r="D108" s="637" t="s">
        <v>176</v>
      </c>
      <c r="E108" s="955"/>
      <c r="F108" s="951"/>
      <c r="G108" s="951"/>
      <c r="H108" s="951"/>
      <c r="I108" s="957">
        <f>I8*I104</f>
        <v>35.200000000000003</v>
      </c>
      <c r="J108" s="957">
        <f>J8*J104</f>
        <v>64.399999999999991</v>
      </c>
      <c r="K108" s="638">
        <f>I108+J108</f>
        <v>99.6</v>
      </c>
      <c r="N108" s="958"/>
      <c r="O108" s="954"/>
    </row>
    <row r="109" spans="2:15" ht="19" x14ac:dyDescent="0.25">
      <c r="B109" s="954"/>
      <c r="C109" s="954"/>
      <c r="D109" s="639" t="s">
        <v>286</v>
      </c>
      <c r="E109" s="955"/>
      <c r="F109" s="951"/>
      <c r="G109" s="951"/>
      <c r="H109" s="951"/>
      <c r="I109" s="950">
        <f>IF(SUM(I10:I100)=0," ",AVERAGE(I10:I100))</f>
        <v>2.3862584175084176E-2</v>
      </c>
      <c r="J109" s="950">
        <f>IF(SUM(J10:J100)=0," ",AVERAGE(J10:J100))</f>
        <v>2.9116847826086961E-2</v>
      </c>
      <c r="K109" s="640">
        <f>IF(SUM(I10:J100)=0," ",AVERAGE(I10:J100))</f>
        <v>2.6548096707818925E-2</v>
      </c>
      <c r="N109" s="958"/>
      <c r="O109" s="954"/>
    </row>
    <row r="110" spans="2:15" ht="20" thickBot="1" x14ac:dyDescent="0.3">
      <c r="D110" s="641" t="s">
        <v>287</v>
      </c>
      <c r="E110" s="642"/>
      <c r="F110" s="644"/>
      <c r="G110" s="644"/>
      <c r="H110" s="644"/>
      <c r="I110" s="643"/>
      <c r="J110" s="644"/>
      <c r="K110" s="645">
        <f>MIN(L10:L100)</f>
        <v>7.279265873015874E-3</v>
      </c>
    </row>
    <row r="111" spans="2:15" ht="17" thickTop="1" x14ac:dyDescent="0.2"/>
  </sheetData>
  <autoFilter ref="C9:O100" xr:uid="{28A212AD-7E61-E949-B9C5-57C2B2D9BF5C}">
    <sortState xmlns:xlrd2="http://schemas.microsoft.com/office/spreadsheetml/2017/richdata2" ref="C10:O100">
      <sortCondition ref="N9:N100"/>
    </sortState>
  </autoFilter>
  <mergeCells count="3">
    <mergeCell ref="W7:X7"/>
    <mergeCell ref="S8:U8"/>
    <mergeCell ref="W8:X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C2855-DA55-0E45-B44B-701862E37F2B}">
  <sheetPr>
    <tabColor theme="7" tint="0.59999389629810485"/>
    <pageSetUpPr fitToPage="1"/>
  </sheetPr>
  <dimension ref="B2:AT92"/>
  <sheetViews>
    <sheetView zoomScale="98" zoomScaleNormal="98" workbookViewId="0">
      <selection activeCell="AF98" sqref="AF98"/>
    </sheetView>
  </sheetViews>
  <sheetFormatPr baseColWidth="10" defaultColWidth="10.83203125" defaultRowHeight="16" x14ac:dyDescent="0.2"/>
  <cols>
    <col min="2" max="2" width="10.83203125" customWidth="1"/>
    <col min="3" max="3" width="17.83203125" customWidth="1"/>
    <col min="4" max="4" width="21.33203125" customWidth="1"/>
    <col min="5" max="5" width="30.6640625" hidden="1" customWidth="1"/>
    <col min="6" max="6" width="12" customWidth="1"/>
    <col min="7" max="9" width="12" style="15" hidden="1" customWidth="1"/>
    <col min="10" max="10" width="12" style="15" customWidth="1"/>
    <col min="11" max="11" width="12" hidden="1" customWidth="1"/>
    <col min="12" max="12" width="32.5" customWidth="1"/>
    <col min="13" max="14" width="32.5" hidden="1" customWidth="1"/>
    <col min="16" max="16" width="0" hidden="1" customWidth="1"/>
    <col min="17" max="17" width="11.83203125" hidden="1" customWidth="1"/>
    <col min="18" max="18" width="0" hidden="1" customWidth="1"/>
    <col min="19" max="19" width="11.83203125" hidden="1" customWidth="1"/>
    <col min="20" max="31" width="0" hidden="1" customWidth="1"/>
    <col min="32" max="32" width="17.83203125" customWidth="1"/>
    <col min="33" max="33" width="21.33203125" customWidth="1"/>
    <col min="34" max="34" width="0" hidden="1" customWidth="1"/>
    <col min="35" max="35" width="12" customWidth="1"/>
    <col min="36" max="38" width="0" hidden="1" customWidth="1"/>
    <col min="39" max="39" width="12" customWidth="1"/>
    <col min="40" max="40" width="0" hidden="1" customWidth="1"/>
    <col min="41" max="41" width="32.5" customWidth="1"/>
  </cols>
  <sheetData>
    <row r="2" spans="2:41" ht="7" customHeight="1" thickBot="1" x14ac:dyDescent="0.25"/>
    <row r="3" spans="2:41" ht="35" customHeight="1" thickTop="1" thickBot="1" x14ac:dyDescent="0.35">
      <c r="B3" s="115" t="s">
        <v>188</v>
      </c>
      <c r="C3" s="115" t="s">
        <v>188</v>
      </c>
      <c r="D3" s="114"/>
      <c r="E3" s="113"/>
      <c r="F3" s="116" t="s">
        <v>189</v>
      </c>
      <c r="G3" s="582"/>
      <c r="H3" s="582"/>
      <c r="I3" s="582"/>
      <c r="J3" s="582"/>
      <c r="K3" s="116"/>
      <c r="L3" s="805"/>
      <c r="M3" s="129"/>
      <c r="N3" s="130"/>
      <c r="P3" s="382" t="s">
        <v>291</v>
      </c>
      <c r="R3" s="383"/>
      <c r="S3" s="388">
        <f ca="1">TODAY()</f>
        <v>46133</v>
      </c>
      <c r="T3" s="383"/>
      <c r="AF3" s="860"/>
    </row>
    <row r="4" spans="2:41" ht="48" customHeight="1" thickTop="1" thickBot="1" x14ac:dyDescent="0.35">
      <c r="B4" s="808"/>
      <c r="C4" s="128" t="s">
        <v>57</v>
      </c>
      <c r="D4" s="118" t="s">
        <v>58</v>
      </c>
      <c r="E4" s="127"/>
      <c r="F4" s="806" t="s">
        <v>59</v>
      </c>
      <c r="G4" s="127" t="s">
        <v>281</v>
      </c>
      <c r="H4" s="127"/>
      <c r="I4" s="127" t="s">
        <v>233</v>
      </c>
      <c r="J4" s="127" t="s">
        <v>234</v>
      </c>
      <c r="K4" s="380" t="s">
        <v>235</v>
      </c>
      <c r="L4" s="128" t="s">
        <v>359</v>
      </c>
      <c r="M4" s="118" t="s">
        <v>191</v>
      </c>
      <c r="N4" s="131" t="s">
        <v>192</v>
      </c>
      <c r="P4" s="382" t="s">
        <v>236</v>
      </c>
      <c r="Q4" s="384"/>
      <c r="R4" s="384"/>
      <c r="S4" s="384"/>
      <c r="T4" s="385"/>
      <c r="AE4" s="861"/>
      <c r="AF4" s="128" t="s">
        <v>57</v>
      </c>
      <c r="AG4" s="822" t="s">
        <v>58</v>
      </c>
      <c r="AH4" s="823"/>
      <c r="AI4" s="824" t="s">
        <v>59</v>
      </c>
      <c r="AJ4" s="823" t="s">
        <v>281</v>
      </c>
      <c r="AK4" s="823"/>
      <c r="AL4" s="823" t="s">
        <v>233</v>
      </c>
      <c r="AM4" s="823" t="s">
        <v>234</v>
      </c>
      <c r="AN4" s="825" t="s">
        <v>235</v>
      </c>
      <c r="AO4" s="826" t="s">
        <v>359</v>
      </c>
    </row>
    <row r="5" spans="2:41" ht="28" hidden="1" customHeight="1" thickBot="1" x14ac:dyDescent="0.35">
      <c r="B5" s="807">
        <v>1</v>
      </c>
      <c r="C5" s="859" t="str">
        <f>Deltakerliste!C5</f>
        <v>Jostein</v>
      </c>
      <c r="D5" s="859" t="str">
        <f>Deltakerliste!D5</f>
        <v>Alvestad</v>
      </c>
      <c r="E5" s="120" t="str">
        <f t="shared" ref="E5:E39" si="0">_xlfn.CONCAT(C5:D5)</f>
        <v>JosteinAlvestad</v>
      </c>
      <c r="F5" s="859">
        <f>_xlfn.XLOOKUP(E5,Deltakerliste!E$5:E$98,Deltakerliste!F$5:F$98)</f>
        <v>527355</v>
      </c>
      <c r="G5" s="858" t="str">
        <f>_xlfn.XLOOKUP(E5,Deltakerliste!E$5:E$98,Deltakerliste!G$5:G$98)</f>
        <v>H</v>
      </c>
      <c r="H5" s="856">
        <f>_xlfn.XLOOKUP(E5,Deltakerliste!E$5:E$98,Deltakerliste!H$5:H$98)</f>
        <v>2</v>
      </c>
      <c r="I5" s="857">
        <f>_xlfn.XLOOKUP(E5,Deltakerliste!E$5:E$98,Deltakerliste!I$5:I$98)</f>
        <v>1955</v>
      </c>
      <c r="J5" s="590">
        <f t="shared" ref="J5" ca="1" si="1">YEAR(S$3)-I5</f>
        <v>71</v>
      </c>
      <c r="K5" s="589">
        <f t="shared" ref="K5:K36" ca="1" si="2">VLOOKUP(J5,P$6:T$91,H5,FALSE)</f>
        <v>1.4609999999999999</v>
      </c>
      <c r="L5" s="588"/>
      <c r="M5" s="121"/>
      <c r="N5" s="11"/>
      <c r="P5" s="386"/>
      <c r="Q5" s="383" t="s">
        <v>237</v>
      </c>
      <c r="R5" s="383" t="s">
        <v>238</v>
      </c>
      <c r="S5" s="383" t="s">
        <v>239</v>
      </c>
      <c r="T5" s="387" t="s">
        <v>238</v>
      </c>
      <c r="AF5" s="119"/>
    </row>
    <row r="6" spans="2:41" ht="28" customHeight="1" thickBot="1" x14ac:dyDescent="0.35">
      <c r="B6" s="807">
        <f t="shared" ref="B6" si="3">B5+1</f>
        <v>2</v>
      </c>
      <c r="C6" s="859" t="str">
        <f>Deltakerliste!C7</f>
        <v>Bjørn</v>
      </c>
      <c r="D6" s="859" t="str">
        <f>Deltakerliste!D7</f>
        <v>Berger</v>
      </c>
      <c r="E6" s="120" t="str">
        <f t="shared" si="0"/>
        <v>BjørnBerger</v>
      </c>
      <c r="F6" s="859">
        <f>_xlfn.XLOOKUP(E6,Deltakerliste!E$5:E$98,Deltakerliste!F$5:F$98)</f>
        <v>538717</v>
      </c>
      <c r="G6" s="858" t="str">
        <f>_xlfn.XLOOKUP(E6,Deltakerliste!E$5:E$98,Deltakerliste!G$5:G$98)</f>
        <v>H</v>
      </c>
      <c r="H6" s="856">
        <f>_xlfn.XLOOKUP(E6,Deltakerliste!E$5:E$98,Deltakerliste!H$5:H$98)</f>
        <v>2</v>
      </c>
      <c r="I6" s="857">
        <f>_xlfn.XLOOKUP(E6,Deltakerliste!E$5:E$98,Deltakerliste!I$5:I$98)</f>
        <v>1951</v>
      </c>
      <c r="J6" s="590">
        <f t="shared" ref="J6:J40" ca="1" si="4">YEAR(S$3)-I6</f>
        <v>75</v>
      </c>
      <c r="K6" s="589">
        <f t="shared" ca="1" si="2"/>
        <v>1.605</v>
      </c>
      <c r="L6" s="440"/>
      <c r="M6" s="121"/>
      <c r="N6" s="11"/>
      <c r="P6" s="570">
        <v>16</v>
      </c>
      <c r="Q6" s="571">
        <v>1.0201999591920017</v>
      </c>
      <c r="R6" s="572">
        <v>-1.2338640909397292E-2</v>
      </c>
      <c r="S6" s="571">
        <v>1.3080578512396694</v>
      </c>
      <c r="T6" s="574">
        <v>-1.6797688638043429E-2</v>
      </c>
      <c r="AE6" s="811"/>
      <c r="AG6" s="812"/>
      <c r="AH6" s="812"/>
      <c r="AI6" s="812"/>
      <c r="AJ6" s="813"/>
      <c r="AK6" s="814"/>
      <c r="AL6" s="815"/>
      <c r="AM6" s="816"/>
      <c r="AN6" s="817"/>
      <c r="AO6" s="812"/>
    </row>
    <row r="7" spans="2:41" ht="28" hidden="1" customHeight="1" thickBot="1" x14ac:dyDescent="0.35">
      <c r="B7" s="807">
        <f t="shared" ref="B7:B9" si="5">B6+1</f>
        <v>3</v>
      </c>
      <c r="C7" s="859" t="str">
        <f>Deltakerliste!C8</f>
        <v>Frank</v>
      </c>
      <c r="D7" s="859" t="str">
        <f>Deltakerliste!D8</f>
        <v>Bjarkø</v>
      </c>
      <c r="E7" s="120" t="str">
        <f t="shared" si="0"/>
        <v>FrankBjarkø</v>
      </c>
      <c r="F7" s="859">
        <f>_xlfn.XLOOKUP(E7,Deltakerliste!E$5:E$98,Deltakerliste!F$5:F$98)</f>
        <v>245284</v>
      </c>
      <c r="G7" s="858" t="str">
        <f>_xlfn.XLOOKUP(E7,Deltakerliste!E$5:E$98,Deltakerliste!G$5:G$98)</f>
        <v>H</v>
      </c>
      <c r="H7" s="856">
        <f>_xlfn.XLOOKUP(E7,Deltakerliste!E$5:E$98,Deltakerliste!H$5:H$98)</f>
        <v>2</v>
      </c>
      <c r="I7" s="857">
        <f>_xlfn.XLOOKUP(E7,Deltakerliste!E$5:E$98,Deltakerliste!I$5:I$98)</f>
        <v>1952</v>
      </c>
      <c r="J7" s="590">
        <f t="shared" ca="1" si="4"/>
        <v>74</v>
      </c>
      <c r="K7" s="589">
        <f t="shared" ca="1" si="2"/>
        <v>1.569</v>
      </c>
      <c r="L7" s="441"/>
      <c r="M7" s="122"/>
      <c r="N7" s="11"/>
      <c r="P7" s="570">
        <v>17</v>
      </c>
      <c r="Q7" s="571">
        <v>1.0078613182826044</v>
      </c>
      <c r="R7" s="572">
        <v>-7.461158218578845E-3</v>
      </c>
      <c r="S7" s="571">
        <v>1.291260162601626</v>
      </c>
      <c r="T7" s="574">
        <v>-1.2244098344597942E-2</v>
      </c>
      <c r="AE7" s="811"/>
      <c r="AG7" s="812"/>
      <c r="AH7" s="812"/>
      <c r="AI7" s="812"/>
      <c r="AJ7" s="813"/>
      <c r="AK7" s="814"/>
      <c r="AL7" s="815"/>
      <c r="AM7" s="816"/>
      <c r="AN7" s="817"/>
      <c r="AO7" s="812"/>
    </row>
    <row r="8" spans="2:41" ht="28" hidden="1" customHeight="1" thickBot="1" x14ac:dyDescent="0.35">
      <c r="B8" s="807">
        <f t="shared" si="5"/>
        <v>4</v>
      </c>
      <c r="C8" s="859" t="str">
        <f>Deltakerliste!C9</f>
        <v>Gerd</v>
      </c>
      <c r="D8" s="859" t="str">
        <f>Deltakerliste!D9</f>
        <v>Bjørset</v>
      </c>
      <c r="E8" s="120" t="str">
        <f t="shared" si="0"/>
        <v>GerdBjørset</v>
      </c>
      <c r="F8" s="859">
        <f>_xlfn.XLOOKUP(E8,Deltakerliste!E$5:E$98,Deltakerliste!F$5:F$98)</f>
        <v>528322</v>
      </c>
      <c r="G8" s="858" t="str">
        <f>_xlfn.XLOOKUP(E8,Deltakerliste!E$5:E$98,Deltakerliste!G$5:G$98)</f>
        <v>D</v>
      </c>
      <c r="H8" s="856">
        <f>_xlfn.XLOOKUP(E8,Deltakerliste!E$5:E$98,Deltakerliste!H$5:H$98)</f>
        <v>4</v>
      </c>
      <c r="I8" s="857">
        <f>_xlfn.XLOOKUP(E8,Deltakerliste!E$5:E$98,Deltakerliste!I$5:I$98)</f>
        <v>1954</v>
      </c>
      <c r="J8" s="590">
        <f t="shared" ca="1" si="4"/>
        <v>72</v>
      </c>
      <c r="K8" s="589">
        <f t="shared" ca="1" si="2"/>
        <v>2.0362000000000013</v>
      </c>
      <c r="L8" s="441"/>
      <c r="M8" s="122"/>
      <c r="N8" s="11"/>
      <c r="P8" s="570">
        <v>18</v>
      </c>
      <c r="Q8" s="571">
        <v>1.0004001600640255</v>
      </c>
      <c r="R8" s="572">
        <v>-4.0016006402554538E-4</v>
      </c>
      <c r="S8" s="571">
        <v>1.2790160642570281</v>
      </c>
      <c r="T8" s="574">
        <v>-4.0160642570281624E-3</v>
      </c>
      <c r="AE8" s="811"/>
      <c r="AG8" s="812"/>
      <c r="AH8" s="812"/>
      <c r="AI8" s="812"/>
      <c r="AJ8" s="813"/>
      <c r="AK8" s="814"/>
      <c r="AL8" s="815"/>
      <c r="AM8" s="816"/>
      <c r="AN8" s="817"/>
      <c r="AO8" s="812"/>
    </row>
    <row r="9" spans="2:41" ht="28" hidden="1" customHeight="1" thickBot="1" x14ac:dyDescent="0.35">
      <c r="B9" s="807">
        <f t="shared" si="5"/>
        <v>5</v>
      </c>
      <c r="C9" s="859" t="str">
        <f>Deltakerliste!C11</f>
        <v>Bjørn</v>
      </c>
      <c r="D9" s="859" t="str">
        <f>Deltakerliste!D11</f>
        <v>Brenne</v>
      </c>
      <c r="E9" s="120" t="str">
        <f t="shared" si="0"/>
        <v>BjørnBrenne</v>
      </c>
      <c r="F9" s="859">
        <f>_xlfn.XLOOKUP(E9,Deltakerliste!E$5:E$98,Deltakerliste!F$5:F$98)</f>
        <v>533301</v>
      </c>
      <c r="G9" s="858" t="str">
        <f>_xlfn.XLOOKUP(E9,Deltakerliste!E$5:E$98,Deltakerliste!G$5:G$98)</f>
        <v>H</v>
      </c>
      <c r="H9" s="856">
        <f>_xlfn.XLOOKUP(E9,Deltakerliste!E$5:E$98,Deltakerliste!H$5:H$98)</f>
        <v>2</v>
      </c>
      <c r="I9" s="857">
        <f>_xlfn.XLOOKUP(E9,Deltakerliste!E$5:E$98,Deltakerliste!I$5:I$98)</f>
        <v>1945</v>
      </c>
      <c r="J9" s="590">
        <f t="shared" ca="1" si="4"/>
        <v>81</v>
      </c>
      <c r="K9" s="589">
        <f t="shared" ca="1" si="2"/>
        <v>1.9290000000000003</v>
      </c>
      <c r="L9" s="441"/>
      <c r="M9" s="122"/>
      <c r="N9" s="11"/>
      <c r="P9" s="570">
        <v>19</v>
      </c>
      <c r="Q9" s="571">
        <v>1</v>
      </c>
      <c r="R9" s="572">
        <v>0</v>
      </c>
      <c r="S9" s="572">
        <v>1.2749999999999999</v>
      </c>
      <c r="T9" s="574">
        <v>0</v>
      </c>
      <c r="AE9" s="811"/>
      <c r="AG9" s="812"/>
      <c r="AH9" s="812"/>
      <c r="AI9" s="812"/>
      <c r="AJ9" s="813"/>
      <c r="AK9" s="814"/>
      <c r="AL9" s="815"/>
      <c r="AM9" s="816"/>
      <c r="AN9" s="817"/>
      <c r="AO9" s="812"/>
    </row>
    <row r="10" spans="2:41" ht="28" customHeight="1" thickBot="1" x14ac:dyDescent="0.35">
      <c r="B10" s="807">
        <f>B9+1</f>
        <v>6</v>
      </c>
      <c r="C10" s="859" t="str">
        <f>Deltakerliste!C12</f>
        <v>Jan</v>
      </c>
      <c r="D10" s="859" t="str">
        <f>Deltakerliste!D12</f>
        <v>Bøhle</v>
      </c>
      <c r="E10" s="120" t="str">
        <f t="shared" si="0"/>
        <v>JanBøhle</v>
      </c>
      <c r="F10" s="859">
        <f>_xlfn.XLOOKUP(E10,Deltakerliste!E$5:E$98,Deltakerliste!F$5:F$98)</f>
        <v>520741</v>
      </c>
      <c r="G10" s="858" t="str">
        <f>_xlfn.XLOOKUP(E10,Deltakerliste!E$5:E$98,Deltakerliste!G$5:G$98)</f>
        <v>H</v>
      </c>
      <c r="H10" s="856">
        <f>_xlfn.XLOOKUP(E10,Deltakerliste!E$5:E$98,Deltakerliste!H$5:H$98)</f>
        <v>2</v>
      </c>
      <c r="I10" s="857">
        <f>_xlfn.XLOOKUP(E10,Deltakerliste!E$5:E$98,Deltakerliste!I$5:I$98)</f>
        <v>1952</v>
      </c>
      <c r="J10" s="590">
        <f t="shared" ca="1" si="4"/>
        <v>74</v>
      </c>
      <c r="K10" s="589">
        <f t="shared" ca="1" si="2"/>
        <v>1.569</v>
      </c>
      <c r="L10" s="441"/>
      <c r="M10" s="122"/>
      <c r="N10" s="11"/>
      <c r="P10" s="570">
        <v>20</v>
      </c>
      <c r="Q10" s="571">
        <v>1</v>
      </c>
      <c r="R10" s="572">
        <v>0</v>
      </c>
      <c r="S10" s="572">
        <v>1.2749999999999999</v>
      </c>
      <c r="T10" s="574">
        <v>0</v>
      </c>
      <c r="AE10" s="811"/>
      <c r="AG10" s="812"/>
      <c r="AH10" s="812"/>
      <c r="AI10" s="812"/>
      <c r="AJ10" s="813"/>
      <c r="AK10" s="814"/>
      <c r="AL10" s="815"/>
      <c r="AM10" s="816"/>
      <c r="AN10" s="817"/>
      <c r="AO10" s="812"/>
    </row>
    <row r="11" spans="2:41" ht="28" hidden="1" customHeight="1" thickBot="1" x14ac:dyDescent="0.35">
      <c r="B11" s="807">
        <f t="shared" ref="B11:B74" si="6">B10+1</f>
        <v>7</v>
      </c>
      <c r="C11" s="859" t="str">
        <f>Deltakerliste!C13</f>
        <v>Arild</v>
      </c>
      <c r="D11" s="859" t="str">
        <f>Deltakerliste!D13</f>
        <v>Clausen</v>
      </c>
      <c r="E11" s="120" t="str">
        <f t="shared" si="0"/>
        <v>ArildClausen</v>
      </c>
      <c r="F11" s="859">
        <f>_xlfn.XLOOKUP(E11,Deltakerliste!E$5:E$98,Deltakerliste!F$5:F$98)</f>
        <v>274127</v>
      </c>
      <c r="G11" s="858" t="str">
        <f>_xlfn.XLOOKUP(E11,Deltakerliste!E$5:E$98,Deltakerliste!G$5:G$98)</f>
        <v>H</v>
      </c>
      <c r="H11" s="856">
        <f>_xlfn.XLOOKUP(E11,Deltakerliste!E$5:E$98,Deltakerliste!H$5:H$98)</f>
        <v>2</v>
      </c>
      <c r="I11" s="857">
        <f>_xlfn.XLOOKUP(E11,Deltakerliste!E$5:E$98,Deltakerliste!I$5:I$98)</f>
        <v>1968</v>
      </c>
      <c r="J11" s="590">
        <f t="shared" ref="J11" ca="1" si="7">YEAR(S$3)-I11</f>
        <v>58</v>
      </c>
      <c r="K11" s="589">
        <f t="shared" ca="1" si="2"/>
        <v>1.1720000000000002</v>
      </c>
      <c r="L11" s="441"/>
      <c r="M11" s="122"/>
      <c r="N11" s="11"/>
      <c r="P11" s="570">
        <f>P10+1</f>
        <v>21</v>
      </c>
      <c r="Q11" s="571">
        <v>1</v>
      </c>
      <c r="R11" s="572">
        <v>0</v>
      </c>
      <c r="S11" s="572">
        <v>1.2749999999999999</v>
      </c>
      <c r="T11" s="574">
        <v>0</v>
      </c>
      <c r="AE11" s="811"/>
      <c r="AG11" s="812"/>
      <c r="AH11" s="812"/>
      <c r="AI11" s="812"/>
      <c r="AJ11" s="813"/>
      <c r="AK11" s="814"/>
      <c r="AL11" s="815"/>
      <c r="AM11" s="816"/>
      <c r="AN11" s="817"/>
      <c r="AO11" s="812"/>
    </row>
    <row r="12" spans="2:41" ht="28" hidden="1" customHeight="1" thickBot="1" x14ac:dyDescent="0.35">
      <c r="B12" s="807">
        <f t="shared" si="6"/>
        <v>8</v>
      </c>
      <c r="C12" s="859" t="str">
        <f>Deltakerliste!C14</f>
        <v>Trond</v>
      </c>
      <c r="D12" s="859" t="str">
        <f>Deltakerliste!D14</f>
        <v>Damås</v>
      </c>
      <c r="E12" s="120" t="str">
        <f t="shared" si="0"/>
        <v>TrondDamås</v>
      </c>
      <c r="F12" s="859">
        <f>_xlfn.XLOOKUP(E12,Deltakerliste!E$5:E$98,Deltakerliste!F$5:F$98)</f>
        <v>520732</v>
      </c>
      <c r="G12" s="858" t="str">
        <f>_xlfn.XLOOKUP(E12,Deltakerliste!E$5:E$98,Deltakerliste!G$5:G$98)</f>
        <v>H</v>
      </c>
      <c r="H12" s="856">
        <f>_xlfn.XLOOKUP(E12,Deltakerliste!E$5:E$98,Deltakerliste!H$5:H$98)</f>
        <v>2</v>
      </c>
      <c r="I12" s="857">
        <f>_xlfn.XLOOKUP(E12,Deltakerliste!E$5:E$98,Deltakerliste!I$5:I$98)</f>
        <v>1950</v>
      </c>
      <c r="J12" s="590">
        <f t="shared" ca="1" si="4"/>
        <v>76</v>
      </c>
      <c r="K12" s="589">
        <f t="shared" ca="1" si="2"/>
        <v>1.655</v>
      </c>
      <c r="L12" s="441"/>
      <c r="M12" s="122"/>
      <c r="N12" s="11"/>
      <c r="P12" s="570">
        <f t="shared" ref="P12:P77" si="8">P11+1</f>
        <v>22</v>
      </c>
      <c r="Q12" s="571">
        <v>1</v>
      </c>
      <c r="R12" s="572">
        <v>0</v>
      </c>
      <c r="S12" s="572">
        <v>1.2749999999999999</v>
      </c>
      <c r="T12" s="574">
        <v>0</v>
      </c>
      <c r="AE12" s="811"/>
      <c r="AG12" s="812"/>
      <c r="AH12" s="812"/>
      <c r="AI12" s="812"/>
      <c r="AJ12" s="813"/>
      <c r="AK12" s="814"/>
      <c r="AL12" s="815"/>
      <c r="AM12" s="816"/>
      <c r="AN12" s="817"/>
      <c r="AO12" s="818"/>
    </row>
    <row r="13" spans="2:41" ht="28" customHeight="1" thickBot="1" x14ac:dyDescent="0.35">
      <c r="B13" s="807">
        <f t="shared" si="6"/>
        <v>9</v>
      </c>
      <c r="C13" s="859" t="str">
        <f>Deltakerliste!C15</f>
        <v>Kåre</v>
      </c>
      <c r="D13" s="859" t="str">
        <f>Deltakerliste!D15</f>
        <v>Eggereide</v>
      </c>
      <c r="E13" s="120" t="str">
        <f t="shared" si="0"/>
        <v>KåreEggereide</v>
      </c>
      <c r="F13" s="859">
        <f>_xlfn.XLOOKUP(E13,Deltakerliste!E$5:E$98,Deltakerliste!F$5:F$98)</f>
        <v>531342</v>
      </c>
      <c r="G13" s="858" t="str">
        <f>_xlfn.XLOOKUP(E13,Deltakerliste!E$5:E$98,Deltakerliste!G$5:G$98)</f>
        <v>H</v>
      </c>
      <c r="H13" s="856">
        <f>_xlfn.XLOOKUP(E13,Deltakerliste!E$5:E$98,Deltakerliste!H$5:H$98)</f>
        <v>2</v>
      </c>
      <c r="I13" s="857">
        <f>_xlfn.XLOOKUP(E13,Deltakerliste!E$5:E$98,Deltakerliste!I$5:I$98)</f>
        <v>1951</v>
      </c>
      <c r="J13" s="590">
        <f t="shared" ca="1" si="4"/>
        <v>75</v>
      </c>
      <c r="K13" s="589">
        <f t="shared" ca="1" si="2"/>
        <v>1.605</v>
      </c>
      <c r="L13" s="441"/>
      <c r="M13" s="122"/>
      <c r="N13" s="11"/>
      <c r="P13" s="570">
        <f t="shared" si="8"/>
        <v>23</v>
      </c>
      <c r="Q13" s="571">
        <v>1</v>
      </c>
      <c r="R13" s="572">
        <v>0</v>
      </c>
      <c r="S13" s="572">
        <v>1.2749999999999999</v>
      </c>
      <c r="T13" s="574">
        <v>0</v>
      </c>
      <c r="AE13" s="811"/>
      <c r="AG13" s="812"/>
      <c r="AH13" s="812"/>
      <c r="AI13" s="812"/>
      <c r="AJ13" s="813"/>
      <c r="AK13" s="814"/>
      <c r="AL13" s="815"/>
      <c r="AM13" s="816"/>
      <c r="AN13" s="817"/>
      <c r="AO13" s="818"/>
    </row>
    <row r="14" spans="2:41" ht="28" hidden="1" customHeight="1" thickBot="1" x14ac:dyDescent="0.35">
      <c r="B14" s="807">
        <f t="shared" si="6"/>
        <v>10</v>
      </c>
      <c r="C14" s="859" t="str">
        <f>Deltakerliste!C16</f>
        <v>Stina</v>
      </c>
      <c r="D14" s="859" t="str">
        <f>Deltakerliste!D16</f>
        <v>Elfving</v>
      </c>
      <c r="E14" s="120" t="str">
        <f t="shared" si="0"/>
        <v>StinaElfving</v>
      </c>
      <c r="F14" s="859">
        <f>_xlfn.XLOOKUP(E14,Deltakerliste!E$5:E$98,Deltakerliste!F$5:F$98)</f>
        <v>269212</v>
      </c>
      <c r="G14" s="858" t="str">
        <f>_xlfn.XLOOKUP(E14,Deltakerliste!E$5:E$98,Deltakerliste!G$5:G$98)</f>
        <v>D</v>
      </c>
      <c r="H14" s="856">
        <f>_xlfn.XLOOKUP(E14,Deltakerliste!E$5:E$98,Deltakerliste!H$5:H$98)</f>
        <v>4</v>
      </c>
      <c r="I14" s="857">
        <f>_xlfn.XLOOKUP(E14,Deltakerliste!E$5:E$98,Deltakerliste!I$5:I$98)</f>
        <v>1950</v>
      </c>
      <c r="J14" s="590">
        <f t="shared" ca="1" si="4"/>
        <v>76</v>
      </c>
      <c r="K14" s="589">
        <f t="shared" ca="1" si="2"/>
        <v>2.2246000000000015</v>
      </c>
      <c r="L14" s="441"/>
      <c r="M14" s="122"/>
      <c r="N14" s="11"/>
      <c r="P14" s="570">
        <f t="shared" si="8"/>
        <v>24</v>
      </c>
      <c r="Q14" s="571">
        <v>1</v>
      </c>
      <c r="R14" s="572">
        <v>0</v>
      </c>
      <c r="S14" s="572">
        <v>1.2749999999999999</v>
      </c>
      <c r="T14" s="574">
        <v>0</v>
      </c>
      <c r="AE14" s="811"/>
      <c r="AG14" s="812"/>
      <c r="AH14" s="812"/>
      <c r="AI14" s="812"/>
      <c r="AJ14" s="813"/>
      <c r="AK14" s="814"/>
      <c r="AL14" s="815"/>
      <c r="AM14" s="816"/>
      <c r="AN14" s="817"/>
      <c r="AO14" s="812"/>
    </row>
    <row r="15" spans="2:41" ht="28" customHeight="1" thickBot="1" x14ac:dyDescent="0.35">
      <c r="B15" s="807">
        <f t="shared" si="6"/>
        <v>11</v>
      </c>
      <c r="C15" s="859" t="str">
        <f>Deltakerliste!C17</f>
        <v>Reinold</v>
      </c>
      <c r="D15" s="859" t="str">
        <f>Deltakerliste!D17</f>
        <v>Ellingsen</v>
      </c>
      <c r="E15" s="120" t="str">
        <f t="shared" si="0"/>
        <v>ReinoldEllingsen</v>
      </c>
      <c r="F15" s="859">
        <f>_xlfn.XLOOKUP(E15,Deltakerliste!E$5:E$98,Deltakerliste!F$5:F$98)</f>
        <v>538678</v>
      </c>
      <c r="G15" s="858" t="str">
        <f>_xlfn.XLOOKUP(E15,Deltakerliste!E$5:E$98,Deltakerliste!G$5:G$98)</f>
        <v>H</v>
      </c>
      <c r="H15" s="856">
        <f>_xlfn.XLOOKUP(E15,Deltakerliste!E$5:E$98,Deltakerliste!H$5:H$98)</f>
        <v>2</v>
      </c>
      <c r="I15" s="857">
        <f>_xlfn.XLOOKUP(E15,Deltakerliste!E$5:E$98,Deltakerliste!I$5:I$98)</f>
        <v>1951</v>
      </c>
      <c r="J15" s="590">
        <f t="shared" ca="1" si="4"/>
        <v>75</v>
      </c>
      <c r="K15" s="589">
        <f t="shared" ca="1" si="2"/>
        <v>1.605</v>
      </c>
      <c r="L15" s="441"/>
      <c r="M15" s="122"/>
      <c r="N15" s="11"/>
      <c r="P15" s="570">
        <f t="shared" si="8"/>
        <v>25</v>
      </c>
      <c r="Q15" s="571">
        <v>1</v>
      </c>
      <c r="R15" s="572">
        <v>0</v>
      </c>
      <c r="S15" s="572">
        <v>1.2749999999999999</v>
      </c>
      <c r="T15" s="574">
        <v>0</v>
      </c>
      <c r="AE15" s="811"/>
      <c r="AG15" s="812"/>
      <c r="AH15" s="812"/>
      <c r="AI15" s="818"/>
      <c r="AJ15" s="813"/>
      <c r="AK15" s="814"/>
      <c r="AL15" s="819"/>
      <c r="AM15" s="816"/>
      <c r="AN15" s="817"/>
      <c r="AO15" s="812"/>
    </row>
    <row r="16" spans="2:41" ht="28" hidden="1" customHeight="1" thickBot="1" x14ac:dyDescent="0.35">
      <c r="B16" s="807">
        <f t="shared" si="6"/>
        <v>12</v>
      </c>
      <c r="C16" s="859" t="str">
        <f>Deltakerliste!C18</f>
        <v>Åse Rita</v>
      </c>
      <c r="D16" s="859" t="str">
        <f>Deltakerliste!D18</f>
        <v>Ellingsen</v>
      </c>
      <c r="E16" s="120" t="str">
        <f>_xlfn.CONCAT(C16:D16)</f>
        <v>Åse RitaEllingsen</v>
      </c>
      <c r="F16" s="859">
        <f>_xlfn.XLOOKUP(E16,Deltakerliste!E$5:E$98,Deltakerliste!F$5:F$98)</f>
        <v>533107</v>
      </c>
      <c r="G16" s="858" t="str">
        <f>_xlfn.XLOOKUP(E16,Deltakerliste!E$5:E$98,Deltakerliste!G$5:G$98)</f>
        <v>D</v>
      </c>
      <c r="H16" s="856">
        <f>_xlfn.XLOOKUP(E16,Deltakerliste!E$5:E$98,Deltakerliste!H$5:H$98)</f>
        <v>4</v>
      </c>
      <c r="I16" s="857">
        <f>_xlfn.XLOOKUP(E16,Deltakerliste!E$5:E$98,Deltakerliste!I$5:I$98)</f>
        <v>1964</v>
      </c>
      <c r="J16" s="590">
        <f t="shared" ca="1" si="4"/>
        <v>62</v>
      </c>
      <c r="K16" s="589">
        <f t="shared" ca="1" si="2"/>
        <v>1.6834000000000005</v>
      </c>
      <c r="L16" s="441"/>
      <c r="M16" s="122"/>
      <c r="N16" s="11"/>
      <c r="P16" s="570">
        <f t="shared" si="8"/>
        <v>26</v>
      </c>
      <c r="Q16" s="571">
        <v>1</v>
      </c>
      <c r="R16" s="572">
        <v>0</v>
      </c>
      <c r="S16" s="572">
        <v>1.2749999999999999</v>
      </c>
      <c r="T16" s="574">
        <v>0</v>
      </c>
      <c r="AE16" s="811"/>
      <c r="AG16" s="812"/>
      <c r="AH16" s="812"/>
      <c r="AI16" s="812"/>
      <c r="AJ16" s="813"/>
      <c r="AK16" s="814"/>
      <c r="AL16" s="815"/>
      <c r="AM16" s="816"/>
      <c r="AN16" s="817"/>
      <c r="AO16" s="812"/>
    </row>
    <row r="17" spans="2:46" ht="28" customHeight="1" thickBot="1" x14ac:dyDescent="0.35">
      <c r="B17" s="807">
        <f t="shared" si="6"/>
        <v>13</v>
      </c>
      <c r="C17" s="859" t="str">
        <f>Deltakerliste!C19</f>
        <v>Leif</v>
      </c>
      <c r="D17" s="859" t="str">
        <f>Deltakerliste!D19</f>
        <v>Engen</v>
      </c>
      <c r="E17" s="120" t="str">
        <f t="shared" si="0"/>
        <v>LeifEngen</v>
      </c>
      <c r="F17" s="859">
        <f>_xlfn.XLOOKUP(E17,Deltakerliste!E$5:E$98,Deltakerliste!F$5:F$98)</f>
        <v>527356</v>
      </c>
      <c r="G17" s="858" t="str">
        <f>_xlfn.XLOOKUP(E17,Deltakerliste!E$5:E$98,Deltakerliste!G$5:G$98)</f>
        <v>H</v>
      </c>
      <c r="H17" s="856">
        <f>_xlfn.XLOOKUP(E17,Deltakerliste!E$5:E$98,Deltakerliste!H$5:H$98)</f>
        <v>2</v>
      </c>
      <c r="I17" s="857">
        <f>_xlfn.XLOOKUP(E17,Deltakerliste!E$5:E$98,Deltakerliste!I$5:I$98)</f>
        <v>1941</v>
      </c>
      <c r="J17" s="590">
        <f t="shared" ca="1" si="4"/>
        <v>85</v>
      </c>
      <c r="K17" s="589">
        <f t="shared" ca="1" si="2"/>
        <v>2.2249999999999996</v>
      </c>
      <c r="L17" s="441"/>
      <c r="M17" s="122"/>
      <c r="N17" s="11"/>
      <c r="P17" s="570">
        <f t="shared" si="8"/>
        <v>27</v>
      </c>
      <c r="Q17" s="571">
        <v>1</v>
      </c>
      <c r="R17" s="572">
        <v>0</v>
      </c>
      <c r="S17" s="572">
        <v>1.2749999999999999</v>
      </c>
      <c r="T17" s="574">
        <v>0</v>
      </c>
      <c r="AE17" s="811"/>
      <c r="AG17" s="812"/>
      <c r="AH17" s="812"/>
      <c r="AI17" s="812"/>
      <c r="AJ17" s="813"/>
      <c r="AK17" s="814"/>
      <c r="AL17" s="815"/>
      <c r="AM17" s="816"/>
      <c r="AN17" s="817"/>
      <c r="AO17" s="812"/>
    </row>
    <row r="18" spans="2:46" ht="28" customHeight="1" thickBot="1" x14ac:dyDescent="0.35">
      <c r="B18" s="807">
        <f t="shared" si="6"/>
        <v>14</v>
      </c>
      <c r="C18" s="859" t="str">
        <f>Deltakerliste!C20</f>
        <v>Halvor</v>
      </c>
      <c r="D18" s="859" t="str">
        <f>Deltakerliste!D20</f>
        <v>Flatberg</v>
      </c>
      <c r="E18" s="120" t="str">
        <f t="shared" si="0"/>
        <v>HalvorFlatberg</v>
      </c>
      <c r="F18" s="859">
        <f>_xlfn.XLOOKUP(E18,Deltakerliste!E$5:E$98,Deltakerliste!F$5:F$98)</f>
        <v>269733</v>
      </c>
      <c r="G18" s="858" t="str">
        <f>_xlfn.XLOOKUP(E18,Deltakerliste!E$5:E$98,Deltakerliste!G$5:G$98)</f>
        <v>H</v>
      </c>
      <c r="H18" s="856">
        <f>_xlfn.XLOOKUP(E18,Deltakerliste!E$5:E$98,Deltakerliste!H$5:H$98)</f>
        <v>2</v>
      </c>
      <c r="I18" s="857">
        <f>_xlfn.XLOOKUP(E18,Deltakerliste!E$5:E$98,Deltakerliste!I$5:I$98)</f>
        <v>1946</v>
      </c>
      <c r="J18" s="590">
        <f t="shared" ca="1" si="4"/>
        <v>80</v>
      </c>
      <c r="K18" s="589">
        <f t="shared" ca="1" si="2"/>
        <v>1.8550000000000002</v>
      </c>
      <c r="L18" s="441"/>
      <c r="M18" s="122"/>
      <c r="N18" s="11"/>
      <c r="P18" s="570">
        <f t="shared" si="8"/>
        <v>28</v>
      </c>
      <c r="Q18" s="571">
        <v>1</v>
      </c>
      <c r="R18" s="572">
        <v>0</v>
      </c>
      <c r="S18" s="572">
        <v>1.2749999999999999</v>
      </c>
      <c r="T18" s="574">
        <v>0</v>
      </c>
      <c r="AE18" s="811"/>
      <c r="AG18" s="812"/>
      <c r="AH18" s="812"/>
      <c r="AI18" s="812"/>
      <c r="AJ18" s="813"/>
      <c r="AK18" s="814"/>
      <c r="AL18" s="815"/>
      <c r="AM18" s="816"/>
      <c r="AN18" s="817"/>
      <c r="AO18" s="812"/>
    </row>
    <row r="19" spans="2:46" ht="28" hidden="1" customHeight="1" thickBot="1" x14ac:dyDescent="0.35">
      <c r="B19" s="807">
        <f t="shared" si="6"/>
        <v>15</v>
      </c>
      <c r="C19" s="859" t="str">
        <f>Deltakerliste!C21</f>
        <v>Arne Kjell</v>
      </c>
      <c r="D19" s="859" t="str">
        <f>Deltakerliste!D21</f>
        <v>Foldvik</v>
      </c>
      <c r="E19" s="120" t="str">
        <f t="shared" si="0"/>
        <v>Arne KjellFoldvik</v>
      </c>
      <c r="F19" s="859">
        <f>_xlfn.XLOOKUP(E19,Deltakerliste!E$5:E$98,Deltakerliste!F$5:F$98)</f>
        <v>0</v>
      </c>
      <c r="G19" s="858" t="str">
        <f>_xlfn.XLOOKUP(E19,Deltakerliste!E$5:E$98,Deltakerliste!G$5:G$98)</f>
        <v>H</v>
      </c>
      <c r="H19" s="856">
        <f>_xlfn.XLOOKUP(E19,Deltakerliste!E$5:E$98,Deltakerliste!H$5:H$98)</f>
        <v>2</v>
      </c>
      <c r="I19" s="857">
        <f>_xlfn.XLOOKUP(E19,Deltakerliste!E$5:E$98,Deltakerliste!I$5:I$98)</f>
        <v>1934</v>
      </c>
      <c r="J19" s="590">
        <f t="shared" ca="1" si="4"/>
        <v>92</v>
      </c>
      <c r="K19" s="589">
        <f t="shared" ca="1" si="2"/>
        <v>2.8130000000000002</v>
      </c>
      <c r="L19" s="441"/>
      <c r="M19" s="122"/>
      <c r="N19" s="11"/>
      <c r="P19" s="570"/>
      <c r="Q19" s="571"/>
      <c r="R19" s="572"/>
      <c r="S19" s="572"/>
      <c r="T19" s="574"/>
      <c r="AE19" s="811"/>
      <c r="AG19" s="812"/>
      <c r="AH19" s="812"/>
      <c r="AI19" s="812"/>
      <c r="AJ19" s="813"/>
      <c r="AK19" s="814"/>
      <c r="AL19" s="815"/>
      <c r="AM19" s="816"/>
      <c r="AN19" s="817"/>
      <c r="AO19" s="812"/>
    </row>
    <row r="20" spans="2:46" ht="28" customHeight="1" thickBot="1" x14ac:dyDescent="0.35">
      <c r="B20" s="807">
        <f t="shared" si="6"/>
        <v>16</v>
      </c>
      <c r="C20" s="859" t="str">
        <f>Deltakerliste!C22</f>
        <v>Hilde</v>
      </c>
      <c r="D20" s="859" t="str">
        <f>Deltakerliste!D22</f>
        <v>Forbord</v>
      </c>
      <c r="E20" s="120" t="str">
        <f t="shared" si="0"/>
        <v>HildeForbord</v>
      </c>
      <c r="F20" s="859">
        <f>_xlfn.XLOOKUP(E20,Deltakerliste!E$5:E$98,Deltakerliste!F$5:F$98)</f>
        <v>533177</v>
      </c>
      <c r="G20" s="858" t="str">
        <f>_xlfn.XLOOKUP(E20,Deltakerliste!E$5:E$98,Deltakerliste!G$5:G$98)</f>
        <v>D</v>
      </c>
      <c r="H20" s="856">
        <f>_xlfn.XLOOKUP(E20,Deltakerliste!E$5:E$98,Deltakerliste!H$5:H$98)</f>
        <v>4</v>
      </c>
      <c r="I20" s="857">
        <f>_xlfn.XLOOKUP(E20,Deltakerliste!E$5:E$98,Deltakerliste!I$5:I$98)</f>
        <v>1966</v>
      </c>
      <c r="J20" s="590">
        <f t="shared" ca="1" si="4"/>
        <v>60</v>
      </c>
      <c r="K20" s="589">
        <f t="shared" ca="1" si="2"/>
        <v>1.6250000000000002</v>
      </c>
      <c r="L20" s="441"/>
      <c r="M20" s="122"/>
      <c r="N20" s="11"/>
      <c r="P20" s="570">
        <f>P18+1</f>
        <v>29</v>
      </c>
      <c r="Q20" s="571">
        <v>1</v>
      </c>
      <c r="R20" s="572">
        <v>0</v>
      </c>
      <c r="S20" s="572">
        <v>1.2749999999999999</v>
      </c>
      <c r="T20" s="574">
        <v>0</v>
      </c>
      <c r="AE20" s="811"/>
      <c r="AG20" s="812"/>
      <c r="AH20" s="812"/>
      <c r="AI20" s="812"/>
      <c r="AJ20" s="813"/>
      <c r="AK20" s="814"/>
      <c r="AL20" s="815"/>
      <c r="AM20" s="816"/>
      <c r="AN20" s="817"/>
      <c r="AO20" s="812"/>
    </row>
    <row r="21" spans="2:46" ht="28" customHeight="1" thickBot="1" x14ac:dyDescent="0.35">
      <c r="B21" s="807">
        <f t="shared" si="6"/>
        <v>17</v>
      </c>
      <c r="C21" s="859" t="str">
        <f>Deltakerliste!C23</f>
        <v>Roar</v>
      </c>
      <c r="D21" s="859" t="str">
        <f>Deltakerliste!D23</f>
        <v>Forbord</v>
      </c>
      <c r="E21" s="120" t="str">
        <f t="shared" si="0"/>
        <v>RoarForbord</v>
      </c>
      <c r="F21" s="859">
        <f>_xlfn.XLOOKUP(E21,Deltakerliste!E$5:E$98,Deltakerliste!F$5:F$98)</f>
        <v>517474</v>
      </c>
      <c r="G21" s="858" t="str">
        <f>_xlfn.XLOOKUP(E21,Deltakerliste!E$5:E$98,Deltakerliste!G$5:G$98)</f>
        <v>H</v>
      </c>
      <c r="H21" s="856">
        <f>_xlfn.XLOOKUP(E21,Deltakerliste!E$5:E$98,Deltakerliste!H$5:H$98)</f>
        <v>2</v>
      </c>
      <c r="I21" s="857">
        <f>_xlfn.XLOOKUP(E21,Deltakerliste!E$5:E$98,Deltakerliste!I$5:I$98)</f>
        <v>1943</v>
      </c>
      <c r="J21" s="590">
        <f t="shared" ca="1" si="4"/>
        <v>83</v>
      </c>
      <c r="K21" s="589">
        <f t="shared" ca="1" si="2"/>
        <v>2.077</v>
      </c>
      <c r="L21" s="441"/>
      <c r="M21" s="122"/>
      <c r="N21" s="11"/>
      <c r="P21" s="570">
        <f t="shared" si="8"/>
        <v>30</v>
      </c>
      <c r="Q21" s="571">
        <v>1</v>
      </c>
      <c r="R21" s="572">
        <v>9.9999999999997877E-4</v>
      </c>
      <c r="S21" s="572">
        <v>1.2749999999999999</v>
      </c>
      <c r="T21" s="574">
        <v>4.0000000000000036E-3</v>
      </c>
      <c r="AE21" s="811"/>
      <c r="AG21" s="812"/>
      <c r="AH21" s="812"/>
      <c r="AI21" s="812"/>
      <c r="AJ21" s="813"/>
      <c r="AK21" s="814"/>
      <c r="AL21" s="815"/>
      <c r="AM21" s="816"/>
      <c r="AN21" s="817"/>
      <c r="AO21" s="812"/>
      <c r="AR21" s="809"/>
      <c r="AS21" s="809"/>
      <c r="AT21" s="809"/>
    </row>
    <row r="22" spans="2:46" ht="28" customHeight="1" thickBot="1" x14ac:dyDescent="0.35">
      <c r="B22" s="807">
        <f t="shared" si="6"/>
        <v>18</v>
      </c>
      <c r="C22" s="859" t="str">
        <f>Deltakerliste!C24</f>
        <v>Tore</v>
      </c>
      <c r="D22" s="859" t="str">
        <f>Deltakerliste!D24</f>
        <v>Fornes</v>
      </c>
      <c r="E22" s="120" t="str">
        <f t="shared" si="0"/>
        <v>ToreFornes</v>
      </c>
      <c r="F22" s="859">
        <f>_xlfn.XLOOKUP(E22,Deltakerliste!E$5:E$98,Deltakerliste!F$5:F$98)</f>
        <v>529291</v>
      </c>
      <c r="G22" s="858" t="str">
        <f>_xlfn.XLOOKUP(E22,Deltakerliste!E$5:E$98,Deltakerliste!G$5:G$98)</f>
        <v>H</v>
      </c>
      <c r="H22" s="856">
        <f>_xlfn.XLOOKUP(E22,Deltakerliste!E$5:E$98,Deltakerliste!H$5:H$98)</f>
        <v>2</v>
      </c>
      <c r="I22" s="857">
        <f>_xlfn.XLOOKUP(E22,Deltakerliste!E$5:E$98,Deltakerliste!I$5:I$98)</f>
        <v>1959</v>
      </c>
      <c r="J22" s="590">
        <f t="shared" ca="1" si="4"/>
        <v>67</v>
      </c>
      <c r="K22" s="589">
        <f t="shared" ca="1" si="2"/>
        <v>1.3469999999999998</v>
      </c>
      <c r="L22" s="441"/>
      <c r="M22" s="122"/>
      <c r="N22" s="11"/>
      <c r="P22" s="570">
        <f t="shared" si="8"/>
        <v>31</v>
      </c>
      <c r="Q22" s="571">
        <f>Q21+R21</f>
        <v>1.0009999999999999</v>
      </c>
      <c r="R22" s="572">
        <v>9.9999999999997877E-4</v>
      </c>
      <c r="S22" s="571">
        <f>S21+T21</f>
        <v>1.2789999999999999</v>
      </c>
      <c r="T22" s="574">
        <v>4.0000000000000036E-3</v>
      </c>
      <c r="AE22" s="811"/>
      <c r="AG22" s="812"/>
      <c r="AH22" s="812"/>
      <c r="AI22" s="812"/>
      <c r="AJ22" s="813"/>
      <c r="AK22" s="814"/>
      <c r="AL22" s="815"/>
      <c r="AM22" s="816"/>
      <c r="AN22" s="817"/>
      <c r="AO22" s="812"/>
      <c r="AR22" s="810"/>
      <c r="AS22" s="810"/>
      <c r="AT22" s="810"/>
    </row>
    <row r="23" spans="2:46" ht="28" hidden="1" customHeight="1" thickBot="1" x14ac:dyDescent="0.35">
      <c r="B23" s="807">
        <f t="shared" si="6"/>
        <v>19</v>
      </c>
      <c r="C23" s="859" t="str">
        <f>Deltakerliste!C25</f>
        <v>Paul</v>
      </c>
      <c r="D23" s="859" t="str">
        <f>Deltakerliste!D25</f>
        <v>Forseth</v>
      </c>
      <c r="E23" s="120" t="str">
        <f t="shared" si="0"/>
        <v>PaulForseth</v>
      </c>
      <c r="F23" s="859">
        <f>_xlfn.XLOOKUP(E23,Deltakerliste!E$5:E$98,Deltakerliste!F$5:F$98)</f>
        <v>269764</v>
      </c>
      <c r="G23" s="858" t="str">
        <f>_xlfn.XLOOKUP(E23,Deltakerliste!E$5:E$98,Deltakerliste!G$5:G$98)</f>
        <v>H</v>
      </c>
      <c r="H23" s="856">
        <f>_xlfn.XLOOKUP(E23,Deltakerliste!E$5:E$98,Deltakerliste!H$5:H$98)</f>
        <v>2</v>
      </c>
      <c r="I23" s="857">
        <f>_xlfn.XLOOKUP(E23,Deltakerliste!E$5:E$98,Deltakerliste!I$5:I$98)</f>
        <v>1932</v>
      </c>
      <c r="J23" s="590">
        <f t="shared" ca="1" si="4"/>
        <v>94</v>
      </c>
      <c r="K23" s="589">
        <f t="shared" ca="1" si="2"/>
        <v>2.9810000000000003</v>
      </c>
      <c r="L23" s="441"/>
      <c r="M23" s="122"/>
      <c r="N23" s="11"/>
      <c r="P23" s="570">
        <f t="shared" si="8"/>
        <v>32</v>
      </c>
      <c r="Q23" s="571">
        <f t="shared" ref="Q23:Q90" si="9">Q22+R22</f>
        <v>1.0019999999999998</v>
      </c>
      <c r="R23" s="572">
        <v>9.9999999999997877E-4</v>
      </c>
      <c r="S23" s="571">
        <f t="shared" ref="S23:S87" si="10">S22+T22</f>
        <v>1.2829999999999999</v>
      </c>
      <c r="T23" s="574">
        <v>4.0000000000000036E-3</v>
      </c>
      <c r="AE23" s="811"/>
      <c r="AG23" s="812"/>
      <c r="AH23" s="812"/>
      <c r="AI23" s="818"/>
      <c r="AJ23" s="813"/>
      <c r="AK23" s="814"/>
      <c r="AL23" s="815"/>
      <c r="AM23" s="816"/>
      <c r="AN23" s="817"/>
      <c r="AO23" s="812"/>
      <c r="AR23" s="810"/>
      <c r="AS23" s="810"/>
      <c r="AT23" s="810"/>
    </row>
    <row r="24" spans="2:46" ht="28" hidden="1" customHeight="1" thickBot="1" x14ac:dyDescent="0.35">
      <c r="B24" s="807">
        <f t="shared" si="6"/>
        <v>20</v>
      </c>
      <c r="C24" s="859" t="str">
        <f>Deltakerliste!C26</f>
        <v>Kristian</v>
      </c>
      <c r="D24" s="859" t="str">
        <f>Deltakerliste!D26</f>
        <v>Fougner</v>
      </c>
      <c r="E24" s="120" t="str">
        <f t="shared" si="0"/>
        <v>KristianFougner</v>
      </c>
      <c r="F24" s="859">
        <f>_xlfn.XLOOKUP(E24,Deltakerliste!E$5:E$98,Deltakerliste!F$5:F$98)</f>
        <v>527358</v>
      </c>
      <c r="G24" s="858" t="str">
        <f>_xlfn.XLOOKUP(E24,Deltakerliste!E$5:E$98,Deltakerliste!G$5:G$98)</f>
        <v>H</v>
      </c>
      <c r="H24" s="856">
        <f>_xlfn.XLOOKUP(E24,Deltakerliste!E$5:E$98,Deltakerliste!H$5:H$98)</f>
        <v>2</v>
      </c>
      <c r="I24" s="857">
        <f>_xlfn.XLOOKUP(E24,Deltakerliste!E$5:E$98,Deltakerliste!I$5:I$98)</f>
        <v>1950</v>
      </c>
      <c r="J24" s="590">
        <f t="shared" ca="1" si="4"/>
        <v>76</v>
      </c>
      <c r="K24" s="589">
        <f t="shared" ca="1" si="2"/>
        <v>1.655</v>
      </c>
      <c r="L24" s="441"/>
      <c r="M24" s="122"/>
      <c r="N24" s="11"/>
      <c r="P24" s="570">
        <f t="shared" si="8"/>
        <v>33</v>
      </c>
      <c r="Q24" s="571">
        <f t="shared" si="9"/>
        <v>1.0029999999999997</v>
      </c>
      <c r="R24" s="572">
        <v>9.9999999999997877E-4</v>
      </c>
      <c r="S24" s="571">
        <f t="shared" si="10"/>
        <v>1.2869999999999999</v>
      </c>
      <c r="T24" s="574">
        <v>4.0000000000000036E-3</v>
      </c>
      <c r="AE24" s="811"/>
      <c r="AG24" s="812"/>
      <c r="AH24" s="812"/>
      <c r="AI24" s="812"/>
      <c r="AJ24" s="813"/>
      <c r="AK24" s="814"/>
      <c r="AL24" s="815"/>
      <c r="AM24" s="816"/>
      <c r="AN24" s="817"/>
      <c r="AO24" s="812"/>
      <c r="AR24" s="810"/>
      <c r="AS24" s="810"/>
      <c r="AT24" s="810"/>
    </row>
    <row r="25" spans="2:46" ht="28" hidden="1" customHeight="1" thickBot="1" x14ac:dyDescent="0.35">
      <c r="B25" s="807">
        <f t="shared" si="6"/>
        <v>21</v>
      </c>
      <c r="C25" s="859" t="str">
        <f>Deltakerliste!C27</f>
        <v>Anne</v>
      </c>
      <c r="D25" s="859" t="str">
        <f>Deltakerliste!D27</f>
        <v>Furuholt</v>
      </c>
      <c r="E25" s="120" t="str">
        <f t="shared" si="0"/>
        <v>AnneFuruholt</v>
      </c>
      <c r="F25" s="859">
        <f>_xlfn.XLOOKUP(E25,Deltakerliste!E$5:E$98,Deltakerliste!F$5:F$98)</f>
        <v>533317</v>
      </c>
      <c r="G25" s="858" t="str">
        <f>_xlfn.XLOOKUP(E25,Deltakerliste!E$5:E$98,Deltakerliste!G$5:G$98)</f>
        <v>D</v>
      </c>
      <c r="H25" s="856">
        <f>_xlfn.XLOOKUP(E25,Deltakerliste!E$5:E$98,Deltakerliste!H$5:H$98)</f>
        <v>4</v>
      </c>
      <c r="I25" s="857">
        <f>_xlfn.XLOOKUP(E25,Deltakerliste!E$5:E$98,Deltakerliste!I$5:I$98)</f>
        <v>1947</v>
      </c>
      <c r="J25" s="590">
        <f t="shared" ca="1" si="4"/>
        <v>79</v>
      </c>
      <c r="K25" s="589">
        <f t="shared" ca="1" si="2"/>
        <v>2.3974000000000011</v>
      </c>
      <c r="L25" s="441"/>
      <c r="M25" s="122"/>
      <c r="N25" s="11"/>
      <c r="P25" s="570">
        <f t="shared" si="8"/>
        <v>34</v>
      </c>
      <c r="Q25" s="571">
        <f t="shared" si="9"/>
        <v>1.0039999999999996</v>
      </c>
      <c r="R25" s="572">
        <v>9.9999999999997877E-4</v>
      </c>
      <c r="S25" s="571">
        <f t="shared" si="10"/>
        <v>1.2909999999999999</v>
      </c>
      <c r="T25" s="574">
        <v>4.0000000000000036E-3</v>
      </c>
      <c r="AE25" s="811"/>
      <c r="AG25" s="812"/>
      <c r="AH25" s="812"/>
      <c r="AI25" s="818"/>
      <c r="AJ25" s="813"/>
      <c r="AK25" s="814"/>
      <c r="AL25" s="815"/>
      <c r="AM25" s="816"/>
      <c r="AN25" s="817"/>
      <c r="AO25" s="812"/>
    </row>
    <row r="26" spans="2:46" ht="28" customHeight="1" thickBot="1" x14ac:dyDescent="0.35">
      <c r="B26" s="807">
        <f t="shared" si="6"/>
        <v>22</v>
      </c>
      <c r="C26" s="859" t="str">
        <f>Deltakerliste!C28</f>
        <v>Edgar</v>
      </c>
      <c r="D26" s="859" t="str">
        <f>Deltakerliste!D28</f>
        <v>Furuholt</v>
      </c>
      <c r="E26" s="120" t="str">
        <f t="shared" si="0"/>
        <v>EdgarFuruholt</v>
      </c>
      <c r="F26" s="859">
        <f>_xlfn.XLOOKUP(E26,Deltakerliste!E$5:E$98,Deltakerliste!F$5:F$98)</f>
        <v>541522</v>
      </c>
      <c r="G26" s="858" t="str">
        <f>_xlfn.XLOOKUP(E26,Deltakerliste!E$5:E$98,Deltakerliste!G$5:G$98)</f>
        <v>H</v>
      </c>
      <c r="H26" s="856">
        <f>_xlfn.XLOOKUP(E26,Deltakerliste!E$5:E$98,Deltakerliste!H$5:H$98)</f>
        <v>2</v>
      </c>
      <c r="I26" s="857">
        <f>_xlfn.XLOOKUP(E26,Deltakerliste!E$5:E$98,Deltakerliste!I$5:I$98)</f>
        <v>1947</v>
      </c>
      <c r="J26" s="590">
        <f t="shared" ca="1" si="4"/>
        <v>79</v>
      </c>
      <c r="K26" s="589">
        <f t="shared" ca="1" si="2"/>
        <v>1.8050000000000002</v>
      </c>
      <c r="L26" s="441"/>
      <c r="M26" s="122"/>
      <c r="N26" s="11"/>
      <c r="P26" s="570">
        <f t="shared" si="8"/>
        <v>35</v>
      </c>
      <c r="Q26" s="571">
        <f t="shared" si="9"/>
        <v>1.0049999999999994</v>
      </c>
      <c r="R26" s="572">
        <v>3.0000000000000248E-3</v>
      </c>
      <c r="S26" s="571">
        <f t="shared" si="10"/>
        <v>1.2949999999999999</v>
      </c>
      <c r="T26" s="574">
        <v>6.0000000000000053E-3</v>
      </c>
      <c r="AE26" s="811"/>
      <c r="AG26" s="812"/>
      <c r="AH26" s="812"/>
      <c r="AI26" s="818"/>
      <c r="AJ26" s="813"/>
      <c r="AK26" s="814"/>
      <c r="AL26" s="815"/>
      <c r="AM26" s="816"/>
      <c r="AN26" s="817"/>
      <c r="AO26" s="812"/>
    </row>
    <row r="27" spans="2:46" ht="28" hidden="1" customHeight="1" thickBot="1" x14ac:dyDescent="0.35">
      <c r="B27" s="807">
        <f t="shared" si="6"/>
        <v>23</v>
      </c>
      <c r="C27" s="859" t="str">
        <f>Deltakerliste!C29</f>
        <v>Anders</v>
      </c>
      <c r="D27" s="859" t="str">
        <f>Deltakerliste!D29</f>
        <v>Gjermo</v>
      </c>
      <c r="E27" s="120" t="str">
        <f t="shared" si="0"/>
        <v>AndersGjermo</v>
      </c>
      <c r="F27" s="859">
        <f>_xlfn.XLOOKUP(E27,Deltakerliste!E$5:E$98,Deltakerliste!F$5:F$98)</f>
        <v>538587</v>
      </c>
      <c r="G27" s="858" t="str">
        <f>_xlfn.XLOOKUP(E27,Deltakerliste!E$5:E$98,Deltakerliste!G$5:G$98)</f>
        <v>H</v>
      </c>
      <c r="H27" s="856">
        <f>_xlfn.XLOOKUP(E27,Deltakerliste!E$5:E$98,Deltakerliste!H$5:H$98)</f>
        <v>2</v>
      </c>
      <c r="I27" s="857">
        <f>_xlfn.XLOOKUP(E27,Deltakerliste!E$5:E$98,Deltakerliste!I$5:I$98)</f>
        <v>1958</v>
      </c>
      <c r="J27" s="590">
        <f t="shared" ca="1" si="4"/>
        <v>68</v>
      </c>
      <c r="K27" s="589">
        <f t="shared" ca="1" si="2"/>
        <v>1.3729999999999998</v>
      </c>
      <c r="L27" s="441"/>
      <c r="M27" s="122"/>
      <c r="N27" s="11"/>
      <c r="P27" s="570">
        <f t="shared" si="8"/>
        <v>36</v>
      </c>
      <c r="Q27" s="571">
        <f t="shared" si="9"/>
        <v>1.0079999999999996</v>
      </c>
      <c r="R27" s="572">
        <v>3.0000000000000248E-3</v>
      </c>
      <c r="S27" s="571">
        <f t="shared" si="10"/>
        <v>1.3009999999999999</v>
      </c>
      <c r="T27" s="574">
        <v>6.0000000000000053E-3</v>
      </c>
      <c r="AE27" s="811"/>
      <c r="AG27" s="812"/>
      <c r="AH27" s="812"/>
      <c r="AI27" s="812"/>
      <c r="AJ27" s="813"/>
      <c r="AK27" s="814"/>
      <c r="AL27" s="815"/>
      <c r="AM27" s="816"/>
      <c r="AN27" s="817"/>
      <c r="AO27" s="812"/>
    </row>
    <row r="28" spans="2:46" ht="28" customHeight="1" thickBot="1" x14ac:dyDescent="0.35">
      <c r="B28" s="807">
        <f t="shared" si="6"/>
        <v>24</v>
      </c>
      <c r="C28" s="859" t="str">
        <f>Deltakerliste!C30</f>
        <v>Tor</v>
      </c>
      <c r="D28" s="859" t="str">
        <f>Deltakerliste!D30</f>
        <v>Gjermstad</v>
      </c>
      <c r="E28" s="120" t="str">
        <f t="shared" si="0"/>
        <v>TorGjermstad</v>
      </c>
      <c r="F28" s="859">
        <f>_xlfn.XLOOKUP(E28,Deltakerliste!E$5:E$98,Deltakerliste!F$5:F$98)</f>
        <v>266676</v>
      </c>
      <c r="G28" s="858" t="str">
        <f>_xlfn.XLOOKUP(E28,Deltakerliste!E$5:E$98,Deltakerliste!G$5:G$98)</f>
        <v>H</v>
      </c>
      <c r="H28" s="856">
        <f>_xlfn.XLOOKUP(E28,Deltakerliste!E$5:E$98,Deltakerliste!H$5:H$98)</f>
        <v>2</v>
      </c>
      <c r="I28" s="857">
        <f>_xlfn.XLOOKUP(E28,Deltakerliste!E$5:E$98,Deltakerliste!I$5:I$98)</f>
        <v>1950</v>
      </c>
      <c r="J28" s="590">
        <f t="shared" ca="1" si="4"/>
        <v>76</v>
      </c>
      <c r="K28" s="589">
        <f t="shared" ca="1" si="2"/>
        <v>1.655</v>
      </c>
      <c r="L28" s="441"/>
      <c r="M28" s="122"/>
      <c r="N28" s="11"/>
      <c r="P28" s="570">
        <f t="shared" si="8"/>
        <v>37</v>
      </c>
      <c r="Q28" s="571">
        <f t="shared" si="9"/>
        <v>1.0109999999999997</v>
      </c>
      <c r="R28" s="572">
        <v>3.0000000000000248E-3</v>
      </c>
      <c r="S28" s="571">
        <f t="shared" si="10"/>
        <v>1.3069999999999999</v>
      </c>
      <c r="T28" s="574">
        <v>6.0000000000000053E-3</v>
      </c>
      <c r="AE28" s="811"/>
      <c r="AG28" s="812"/>
      <c r="AH28" s="812"/>
      <c r="AI28" s="812"/>
      <c r="AJ28" s="813"/>
      <c r="AK28" s="814"/>
      <c r="AL28" s="815"/>
      <c r="AM28" s="816"/>
      <c r="AN28" s="817"/>
      <c r="AO28" s="812"/>
    </row>
    <row r="29" spans="2:46" ht="28" hidden="1" customHeight="1" thickBot="1" x14ac:dyDescent="0.35">
      <c r="B29" s="807">
        <f t="shared" si="6"/>
        <v>25</v>
      </c>
      <c r="C29" s="859" t="str">
        <f>Deltakerliste!C31</f>
        <v>Jens Øystein</v>
      </c>
      <c r="D29" s="859" t="str">
        <f>Deltakerliste!D31</f>
        <v>Gjersvold</v>
      </c>
      <c r="E29" s="120" t="str">
        <f t="shared" si="0"/>
        <v>Jens ØysteinGjersvold</v>
      </c>
      <c r="F29" s="859">
        <f>_xlfn.XLOOKUP(E29,Deltakerliste!E$5:E$98,Deltakerliste!F$5:F$98)</f>
        <v>268651</v>
      </c>
      <c r="G29" s="858" t="str">
        <f>_xlfn.XLOOKUP(E29,Deltakerliste!E$5:E$98,Deltakerliste!G$5:G$98)</f>
        <v>H</v>
      </c>
      <c r="H29" s="856">
        <f>_xlfn.XLOOKUP(E29,Deltakerliste!E$5:E$98,Deltakerliste!H$5:H$98)</f>
        <v>2</v>
      </c>
      <c r="I29" s="857">
        <f>_xlfn.XLOOKUP(E29,Deltakerliste!E$5:E$98,Deltakerliste!I$5:I$98)</f>
        <v>1952</v>
      </c>
      <c r="J29" s="590">
        <f t="shared" ca="1" si="4"/>
        <v>74</v>
      </c>
      <c r="K29" s="589">
        <f t="shared" ca="1" si="2"/>
        <v>1.569</v>
      </c>
      <c r="L29" s="441"/>
      <c r="M29" s="122"/>
      <c r="N29" s="11"/>
      <c r="P29" s="570"/>
      <c r="Q29" s="571"/>
      <c r="R29" s="572"/>
      <c r="S29" s="571"/>
      <c r="T29" s="574"/>
      <c r="AE29" s="811"/>
      <c r="AG29" s="812"/>
      <c r="AH29" s="812"/>
      <c r="AI29" s="812"/>
      <c r="AJ29" s="813"/>
      <c r="AK29" s="814"/>
      <c r="AL29" s="815"/>
      <c r="AM29" s="816"/>
      <c r="AN29" s="817"/>
      <c r="AO29" s="812"/>
    </row>
    <row r="30" spans="2:46" ht="28" customHeight="1" thickBot="1" x14ac:dyDescent="0.35">
      <c r="B30" s="807">
        <f t="shared" si="6"/>
        <v>26</v>
      </c>
      <c r="C30" s="859" t="str">
        <f>Deltakerliste!C32</f>
        <v>Jostein</v>
      </c>
      <c r="D30" s="859" t="str">
        <f>Deltakerliste!D32</f>
        <v>Grepstad</v>
      </c>
      <c r="E30" s="120" t="str">
        <f t="shared" si="0"/>
        <v>JosteinGrepstad</v>
      </c>
      <c r="F30" s="859">
        <f>_xlfn.XLOOKUP(E30,Deltakerliste!E$5:E$98,Deltakerliste!F$5:F$98)</f>
        <v>532816</v>
      </c>
      <c r="G30" s="858" t="str">
        <f>_xlfn.XLOOKUP(E30,Deltakerliste!E$5:E$98,Deltakerliste!G$5:G$98)</f>
        <v>H</v>
      </c>
      <c r="H30" s="856">
        <f>_xlfn.XLOOKUP(E30,Deltakerliste!E$5:E$98,Deltakerliste!H$5:H$98)</f>
        <v>2</v>
      </c>
      <c r="I30" s="857">
        <f>_xlfn.XLOOKUP(E30,Deltakerliste!E$5:E$98,Deltakerliste!I$5:I$98)</f>
        <v>1951</v>
      </c>
      <c r="J30" s="590">
        <f t="shared" ca="1" si="4"/>
        <v>75</v>
      </c>
      <c r="K30" s="589">
        <f t="shared" ca="1" si="2"/>
        <v>1.605</v>
      </c>
      <c r="L30" s="441"/>
      <c r="M30" s="122"/>
      <c r="N30" s="11"/>
      <c r="P30" s="570"/>
      <c r="Q30" s="571"/>
      <c r="R30" s="572"/>
      <c r="S30" s="571"/>
      <c r="T30" s="574"/>
      <c r="AE30" s="811"/>
      <c r="AG30" s="812"/>
      <c r="AH30" s="812"/>
      <c r="AI30" s="812"/>
      <c r="AJ30" s="813"/>
      <c r="AK30" s="814"/>
      <c r="AL30" s="815"/>
      <c r="AM30" s="816"/>
      <c r="AN30" s="817"/>
      <c r="AO30" s="812"/>
    </row>
    <row r="31" spans="2:46" ht="28" customHeight="1" thickBot="1" x14ac:dyDescent="0.35">
      <c r="B31" s="807">
        <f t="shared" si="6"/>
        <v>27</v>
      </c>
      <c r="C31" s="859" t="str">
        <f>Deltakerliste!C33</f>
        <v>Bjørn</v>
      </c>
      <c r="D31" s="859" t="str">
        <f>Deltakerliste!D33</f>
        <v>Hafskjold</v>
      </c>
      <c r="E31" s="120" t="str">
        <f t="shared" si="0"/>
        <v>BjørnHafskjold</v>
      </c>
      <c r="F31" s="859">
        <f>_xlfn.XLOOKUP(E31,Deltakerliste!E$5:E$98,Deltakerliste!F$5:F$98)</f>
        <v>543423</v>
      </c>
      <c r="G31" s="858" t="str">
        <f>_xlfn.XLOOKUP(E31,Deltakerliste!E$5:E$98,Deltakerliste!G$5:G$98)</f>
        <v>H</v>
      </c>
      <c r="H31" s="856">
        <f>_xlfn.XLOOKUP(E31,Deltakerliste!E$5:E$98,Deltakerliste!H$5:H$98)</f>
        <v>2</v>
      </c>
      <c r="I31" s="857">
        <f>_xlfn.XLOOKUP(E31,Deltakerliste!E$5:E$98,Deltakerliste!I$5:I$98)</f>
        <v>1947</v>
      </c>
      <c r="J31" s="590">
        <f t="shared" ca="1" si="4"/>
        <v>79</v>
      </c>
      <c r="K31" s="589">
        <f t="shared" ca="1" si="2"/>
        <v>1.8050000000000002</v>
      </c>
      <c r="L31" s="441"/>
      <c r="M31" s="122"/>
      <c r="N31" s="11"/>
      <c r="P31" s="570">
        <f>P28+1</f>
        <v>38</v>
      </c>
      <c r="Q31" s="571">
        <f>Q28+R28</f>
        <v>1.0139999999999998</v>
      </c>
      <c r="R31" s="572">
        <v>3.0000000000000248E-3</v>
      </c>
      <c r="S31" s="571">
        <f>S28+T28</f>
        <v>1.3129999999999999</v>
      </c>
      <c r="T31" s="574">
        <v>6.0000000000000053E-3</v>
      </c>
      <c r="AE31" s="811"/>
      <c r="AG31" s="812"/>
      <c r="AH31" s="812"/>
      <c r="AI31" s="812"/>
      <c r="AJ31" s="813"/>
      <c r="AK31" s="814"/>
      <c r="AL31" s="815"/>
      <c r="AM31" s="816"/>
      <c r="AN31" s="817"/>
      <c r="AO31" s="812"/>
    </row>
    <row r="32" spans="2:46" ht="28" customHeight="1" thickBot="1" x14ac:dyDescent="0.35">
      <c r="B32" s="807">
        <f t="shared" si="6"/>
        <v>28</v>
      </c>
      <c r="C32" s="859" t="str">
        <f>Deltakerliste!C34</f>
        <v>Terje</v>
      </c>
      <c r="D32" s="859" t="str">
        <f>Deltakerliste!D34</f>
        <v>Hanssen</v>
      </c>
      <c r="E32" s="120" t="str">
        <f t="shared" si="0"/>
        <v>TerjeHanssen</v>
      </c>
      <c r="F32" s="859">
        <f>_xlfn.XLOOKUP(E32,Deltakerliste!E$5:E$98,Deltakerliste!F$5:F$98)</f>
        <v>525541</v>
      </c>
      <c r="G32" s="858" t="str">
        <f>_xlfn.XLOOKUP(E32,Deltakerliste!E$5:E$98,Deltakerliste!G$5:G$98)</f>
        <v>H</v>
      </c>
      <c r="H32" s="856">
        <f>_xlfn.XLOOKUP(E32,Deltakerliste!E$5:E$98,Deltakerliste!H$5:H$98)</f>
        <v>2</v>
      </c>
      <c r="I32" s="857">
        <f>_xlfn.XLOOKUP(E32,Deltakerliste!E$5:E$98,Deltakerliste!I$5:I$98)</f>
        <v>1948</v>
      </c>
      <c r="J32" s="590">
        <f t="shared" ca="1" si="4"/>
        <v>78</v>
      </c>
      <c r="K32" s="589">
        <f t="shared" ca="1" si="2"/>
        <v>1.7550000000000001</v>
      </c>
      <c r="L32" s="441"/>
      <c r="M32" s="122"/>
      <c r="N32" s="11"/>
      <c r="P32" s="570">
        <f t="shared" si="8"/>
        <v>39</v>
      </c>
      <c r="Q32" s="571">
        <f t="shared" si="9"/>
        <v>1.0169999999999999</v>
      </c>
      <c r="R32" s="572">
        <v>3.0000000000000248E-3</v>
      </c>
      <c r="S32" s="571">
        <f t="shared" si="10"/>
        <v>1.319</v>
      </c>
      <c r="T32" s="574">
        <v>6.0000000000000053E-3</v>
      </c>
      <c r="AE32" s="811"/>
      <c r="AG32" s="812"/>
      <c r="AH32" s="812"/>
      <c r="AI32" s="812"/>
      <c r="AJ32" s="813"/>
      <c r="AK32" s="814"/>
      <c r="AL32" s="815"/>
      <c r="AM32" s="816"/>
      <c r="AN32" s="817"/>
      <c r="AO32" s="820"/>
    </row>
    <row r="33" spans="2:41" ht="28" customHeight="1" thickBot="1" x14ac:dyDescent="0.35">
      <c r="B33" s="807">
        <f t="shared" si="6"/>
        <v>29</v>
      </c>
      <c r="C33" s="859" t="str">
        <f>Deltakerliste!C35</f>
        <v>Stig</v>
      </c>
      <c r="D33" s="859" t="str">
        <f>Deltakerliste!D35</f>
        <v>Haugskott</v>
      </c>
      <c r="E33" s="120" t="str">
        <f t="shared" si="0"/>
        <v>StigHaugskott</v>
      </c>
      <c r="F33" s="859">
        <f>_xlfn.XLOOKUP(E33,Deltakerliste!E$5:E$98,Deltakerliste!F$5:F$98)</f>
        <v>521044</v>
      </c>
      <c r="G33" s="858" t="str">
        <f>_xlfn.XLOOKUP(E33,Deltakerliste!E$5:E$98,Deltakerliste!G$5:G$98)</f>
        <v>H</v>
      </c>
      <c r="H33" s="856">
        <f>_xlfn.XLOOKUP(E33,Deltakerliste!E$5:E$98,Deltakerliste!H$5:H$98)</f>
        <v>2</v>
      </c>
      <c r="I33" s="857">
        <f>_xlfn.XLOOKUP(E33,Deltakerliste!E$5:E$98,Deltakerliste!I$5:I$98)</f>
        <v>1939</v>
      </c>
      <c r="J33" s="590">
        <f t="shared" ca="1" si="4"/>
        <v>87</v>
      </c>
      <c r="K33" s="589">
        <f t="shared" ca="1" si="2"/>
        <v>2.3929999999999998</v>
      </c>
      <c r="L33" s="441"/>
      <c r="M33" s="122"/>
      <c r="N33" s="11"/>
      <c r="P33" s="570">
        <f t="shared" si="8"/>
        <v>40</v>
      </c>
      <c r="Q33" s="571">
        <f t="shared" si="9"/>
        <v>1.02</v>
      </c>
      <c r="R33" s="572">
        <v>4.9999999999999819E-3</v>
      </c>
      <c r="S33" s="571">
        <f t="shared" si="10"/>
        <v>1.325</v>
      </c>
      <c r="T33" s="574">
        <v>8.0000000000000071E-3</v>
      </c>
      <c r="AE33" s="811"/>
      <c r="AG33" s="812"/>
      <c r="AH33" s="812"/>
      <c r="AI33" s="821"/>
      <c r="AJ33" s="813"/>
      <c r="AK33" s="814"/>
      <c r="AL33" s="819"/>
      <c r="AM33" s="816"/>
      <c r="AN33" s="817"/>
      <c r="AO33" s="820"/>
    </row>
    <row r="34" spans="2:41" ht="28" customHeight="1" thickBot="1" x14ac:dyDescent="0.35">
      <c r="B34" s="807">
        <f t="shared" si="6"/>
        <v>30</v>
      </c>
      <c r="C34" s="859" t="str">
        <f>Deltakerliste!C36</f>
        <v>Tore</v>
      </c>
      <c r="D34" s="859" t="str">
        <f>Deltakerliste!D36</f>
        <v>Heggem</v>
      </c>
      <c r="E34" s="120" t="str">
        <f t="shared" si="0"/>
        <v>ToreHeggem</v>
      </c>
      <c r="F34" s="859">
        <f>_xlfn.XLOOKUP(E34,Deltakerliste!E$5:E$98,Deltakerliste!F$5:F$98)</f>
        <v>527270</v>
      </c>
      <c r="G34" s="858" t="str">
        <f>_xlfn.XLOOKUP(E34,Deltakerliste!E$5:E$98,Deltakerliste!G$5:G$98)</f>
        <v>H</v>
      </c>
      <c r="H34" s="856">
        <f>_xlfn.XLOOKUP(E34,Deltakerliste!E$5:E$98,Deltakerliste!H$5:H$98)</f>
        <v>2</v>
      </c>
      <c r="I34" s="857">
        <f>_xlfn.XLOOKUP(E34,Deltakerliste!E$5:E$98,Deltakerliste!I$5:I$98)</f>
        <v>1953</v>
      </c>
      <c r="J34" s="590">
        <f t="shared" ca="1" si="4"/>
        <v>73</v>
      </c>
      <c r="K34" s="589">
        <f t="shared" ca="1" si="2"/>
        <v>1.5329999999999999</v>
      </c>
      <c r="L34" s="441"/>
      <c r="M34" s="122"/>
      <c r="N34" s="11"/>
      <c r="P34" s="570">
        <f t="shared" si="8"/>
        <v>41</v>
      </c>
      <c r="Q34" s="571">
        <f t="shared" si="9"/>
        <v>1.0249999999999999</v>
      </c>
      <c r="R34" s="572">
        <v>4.9999999999999819E-3</v>
      </c>
      <c r="S34" s="571">
        <f t="shared" si="10"/>
        <v>1.333</v>
      </c>
      <c r="T34" s="574">
        <v>8.0000000000000071E-3</v>
      </c>
      <c r="AE34" s="811"/>
      <c r="AG34" s="812"/>
      <c r="AH34" s="812"/>
      <c r="AI34" s="812"/>
      <c r="AJ34" s="813"/>
      <c r="AK34" s="814"/>
      <c r="AL34" s="815"/>
      <c r="AM34" s="816"/>
      <c r="AN34" s="817"/>
      <c r="AO34" s="820"/>
    </row>
    <row r="35" spans="2:41" ht="28" hidden="1" customHeight="1" thickBot="1" x14ac:dyDescent="0.35">
      <c r="B35" s="807">
        <f t="shared" si="6"/>
        <v>31</v>
      </c>
      <c r="C35" s="859" t="str">
        <f>Deltakerliste!C37</f>
        <v>Arild</v>
      </c>
      <c r="D35" s="859" t="str">
        <f>Deltakerliste!D37</f>
        <v>Heggeset</v>
      </c>
      <c r="E35" s="120" t="str">
        <f t="shared" si="0"/>
        <v>ArildHeggeset</v>
      </c>
      <c r="F35" s="859">
        <f>_xlfn.XLOOKUP(E35,Deltakerliste!E$5:E$98,Deltakerliste!F$5:F$98)</f>
        <v>533929</v>
      </c>
      <c r="G35" s="858" t="str">
        <f>_xlfn.XLOOKUP(E35,Deltakerliste!E$5:E$98,Deltakerliste!G$5:G$98)</f>
        <v>H</v>
      </c>
      <c r="H35" s="856">
        <f>_xlfn.XLOOKUP(E35,Deltakerliste!E$5:E$98,Deltakerliste!H$5:H$98)</f>
        <v>2</v>
      </c>
      <c r="I35" s="857">
        <f>_xlfn.XLOOKUP(E35,Deltakerliste!E$5:E$98,Deltakerliste!I$5:I$98)</f>
        <v>1967</v>
      </c>
      <c r="J35" s="590">
        <f t="shared" ca="1" si="4"/>
        <v>59</v>
      </c>
      <c r="K35" s="589">
        <f t="shared" ca="1" si="2"/>
        <v>1.1860000000000002</v>
      </c>
      <c r="L35" s="441"/>
      <c r="M35" s="122"/>
      <c r="N35" s="11"/>
      <c r="P35" s="570">
        <f t="shared" si="8"/>
        <v>42</v>
      </c>
      <c r="Q35" s="571">
        <f t="shared" si="9"/>
        <v>1.0299999999999998</v>
      </c>
      <c r="R35" s="572">
        <v>4.9999999999999819E-3</v>
      </c>
      <c r="S35" s="571">
        <f t="shared" si="10"/>
        <v>1.341</v>
      </c>
      <c r="T35" s="574">
        <v>8.0000000000000071E-3</v>
      </c>
      <c r="AE35" s="820"/>
      <c r="AG35" s="820"/>
      <c r="AH35" s="820"/>
      <c r="AI35" s="820"/>
      <c r="AJ35" s="820"/>
      <c r="AK35" s="820"/>
      <c r="AL35" s="820"/>
      <c r="AM35" s="820"/>
      <c r="AN35" s="820"/>
      <c r="AO35" s="820"/>
    </row>
    <row r="36" spans="2:41" ht="28" customHeight="1" thickBot="1" x14ac:dyDescent="0.35">
      <c r="B36" s="807">
        <f t="shared" si="6"/>
        <v>32</v>
      </c>
      <c r="C36" s="859" t="str">
        <f>Deltakerliste!C38</f>
        <v>Vigdis</v>
      </c>
      <c r="D36" s="859" t="str">
        <f>Deltakerliste!D38</f>
        <v>Heimly</v>
      </c>
      <c r="E36" s="120" t="str">
        <f t="shared" si="0"/>
        <v>VigdisHeimly</v>
      </c>
      <c r="F36" s="859">
        <f>_xlfn.XLOOKUP(E36,Deltakerliste!E$5:E$98,Deltakerliste!F$5:F$98)</f>
        <v>258668</v>
      </c>
      <c r="G36" s="858" t="str">
        <f>_xlfn.XLOOKUP(E36,Deltakerliste!E$5:E$98,Deltakerliste!G$5:G$98)</f>
        <v>D</v>
      </c>
      <c r="H36" s="856">
        <f>_xlfn.XLOOKUP(E36,Deltakerliste!E$5:E$98,Deltakerliste!H$5:H$98)</f>
        <v>4</v>
      </c>
      <c r="I36" s="857">
        <f>_xlfn.XLOOKUP(E36,Deltakerliste!E$5:E$98,Deltakerliste!I$5:I$98)</f>
        <v>1959</v>
      </c>
      <c r="J36" s="590">
        <f t="shared" ca="1" si="4"/>
        <v>67</v>
      </c>
      <c r="K36" s="589">
        <f t="shared" ca="1" si="2"/>
        <v>1.8422000000000009</v>
      </c>
      <c r="L36" s="441"/>
      <c r="M36" s="122"/>
      <c r="N36" s="11"/>
      <c r="P36" s="570">
        <f t="shared" si="8"/>
        <v>43</v>
      </c>
      <c r="Q36" s="571">
        <f t="shared" si="9"/>
        <v>1.0349999999999997</v>
      </c>
      <c r="R36" s="572">
        <v>4.9999999999999819E-3</v>
      </c>
      <c r="S36" s="571">
        <f t="shared" si="10"/>
        <v>1.349</v>
      </c>
      <c r="T36" s="574">
        <v>8.0000000000000071E-3</v>
      </c>
      <c r="AE36" s="820"/>
      <c r="AG36" s="820"/>
      <c r="AH36" s="820"/>
      <c r="AI36" s="820"/>
      <c r="AJ36" s="820"/>
      <c r="AK36" s="820"/>
      <c r="AL36" s="820"/>
      <c r="AM36" s="820"/>
      <c r="AN36" s="820"/>
      <c r="AO36" s="820"/>
    </row>
    <row r="37" spans="2:41" ht="28" customHeight="1" thickBot="1" x14ac:dyDescent="0.35">
      <c r="B37" s="807">
        <f t="shared" si="6"/>
        <v>33</v>
      </c>
      <c r="C37" s="859" t="str">
        <f>Deltakerliste!C39</f>
        <v>Arne</v>
      </c>
      <c r="D37" s="859" t="str">
        <f>Deltakerliste!D39</f>
        <v>Helland</v>
      </c>
      <c r="E37" s="120" t="str">
        <f t="shared" si="0"/>
        <v>ArneHelland</v>
      </c>
      <c r="F37" s="859">
        <f>_xlfn.XLOOKUP(E37,Deltakerliste!E$5:E$98,Deltakerliste!F$5:F$98)</f>
        <v>544096</v>
      </c>
      <c r="G37" s="858" t="str">
        <f>_xlfn.XLOOKUP(E37,Deltakerliste!E$5:E$98,Deltakerliste!G$5:G$98)</f>
        <v>H</v>
      </c>
      <c r="H37" s="856">
        <f>_xlfn.XLOOKUP(E37,Deltakerliste!E$5:E$98,Deltakerliste!H$5:H$98)</f>
        <v>2</v>
      </c>
      <c r="I37" s="857">
        <f>_xlfn.XLOOKUP(E37,Deltakerliste!E$5:E$98,Deltakerliste!I$5:I$98)</f>
        <v>1965</v>
      </c>
      <c r="J37" s="590">
        <f t="shared" ca="1" si="4"/>
        <v>61</v>
      </c>
      <c r="K37" s="589">
        <f t="shared" ref="K37:K68" ca="1" si="11">VLOOKUP(J37,P$6:T$91,H37,FALSE)</f>
        <v>1.2190000000000001</v>
      </c>
      <c r="L37" s="441"/>
      <c r="M37" s="122"/>
      <c r="N37" s="11"/>
      <c r="P37" s="570">
        <f t="shared" si="8"/>
        <v>44</v>
      </c>
      <c r="Q37" s="571">
        <f t="shared" si="9"/>
        <v>1.0399999999999996</v>
      </c>
      <c r="R37" s="572">
        <v>4.9999999999999819E-3</v>
      </c>
      <c r="S37" s="571">
        <f t="shared" si="10"/>
        <v>1.357</v>
      </c>
      <c r="T37" s="574">
        <v>8.0000000000000071E-3</v>
      </c>
      <c r="AE37" s="820"/>
      <c r="AG37" s="820"/>
      <c r="AH37" s="820"/>
      <c r="AI37" s="820"/>
      <c r="AJ37" s="820"/>
      <c r="AK37" s="820"/>
      <c r="AL37" s="820"/>
      <c r="AM37" s="820"/>
      <c r="AN37" s="820"/>
      <c r="AO37" s="820"/>
    </row>
    <row r="38" spans="2:41" ht="28" hidden="1" customHeight="1" thickBot="1" x14ac:dyDescent="0.35">
      <c r="B38" s="807">
        <f t="shared" si="6"/>
        <v>34</v>
      </c>
      <c r="C38" s="859" t="str">
        <f>Deltakerliste!C40</f>
        <v>Knut</v>
      </c>
      <c r="D38" s="859" t="str">
        <f>Deltakerliste!D40</f>
        <v>Helland</v>
      </c>
      <c r="E38" s="120" t="str">
        <f t="shared" si="0"/>
        <v>KnutHelland</v>
      </c>
      <c r="F38" s="859">
        <f>_xlfn.XLOOKUP(E38,Deltakerliste!E$5:E$98,Deltakerliste!F$5:F$98)</f>
        <v>532439</v>
      </c>
      <c r="G38" s="858" t="str">
        <f>_xlfn.XLOOKUP(E38,Deltakerliste!E$5:E$98,Deltakerliste!G$5:G$98)</f>
        <v>H</v>
      </c>
      <c r="H38" s="856">
        <f>_xlfn.XLOOKUP(E38,Deltakerliste!E$5:E$98,Deltakerliste!H$5:H$98)</f>
        <v>2</v>
      </c>
      <c r="I38" s="857">
        <f>_xlfn.XLOOKUP(E38,Deltakerliste!E$5:E$98,Deltakerliste!I$5:I$98)</f>
        <v>1962</v>
      </c>
      <c r="J38" s="590">
        <f t="shared" ca="1" si="4"/>
        <v>64</v>
      </c>
      <c r="K38" s="589">
        <f t="shared" ca="1" si="11"/>
        <v>1.2759999999999998</v>
      </c>
      <c r="L38" s="441"/>
      <c r="M38" s="122"/>
      <c r="N38" s="11"/>
      <c r="P38" s="570">
        <f t="shared" si="8"/>
        <v>45</v>
      </c>
      <c r="Q38" s="571">
        <f t="shared" si="9"/>
        <v>1.0449999999999995</v>
      </c>
      <c r="R38" s="572">
        <v>7.0000000000000288E-3</v>
      </c>
      <c r="S38" s="571">
        <f t="shared" si="10"/>
        <v>1.365</v>
      </c>
      <c r="T38" s="574">
        <v>1.2000000000000011E-2</v>
      </c>
      <c r="AE38" s="820"/>
      <c r="AG38" s="820"/>
      <c r="AH38" s="820"/>
      <c r="AI38" s="820"/>
      <c r="AJ38" s="820"/>
      <c r="AK38" s="820"/>
      <c r="AL38" s="820"/>
      <c r="AM38" s="820"/>
      <c r="AN38" s="820"/>
      <c r="AO38" s="820"/>
    </row>
    <row r="39" spans="2:41" ht="28" customHeight="1" thickBot="1" x14ac:dyDescent="0.35">
      <c r="B39" s="807">
        <f t="shared" si="6"/>
        <v>35</v>
      </c>
      <c r="C39" s="859" t="str">
        <f>Deltakerliste!C42</f>
        <v>Robert</v>
      </c>
      <c r="D39" s="859" t="str">
        <f>Deltakerliste!D42</f>
        <v>Hirsch</v>
      </c>
      <c r="E39" s="120" t="str">
        <f t="shared" si="0"/>
        <v>RobertHirsch</v>
      </c>
      <c r="F39" s="859">
        <f>_xlfn.XLOOKUP(E39,Deltakerliste!E$5:E$98,Deltakerliste!F$5:F$98)</f>
        <v>543424</v>
      </c>
      <c r="G39" s="858" t="str">
        <f>_xlfn.XLOOKUP(E39,Deltakerliste!E$5:E$98,Deltakerliste!G$5:G$98)</f>
        <v>H</v>
      </c>
      <c r="H39" s="856">
        <f>_xlfn.XLOOKUP(E39,Deltakerliste!E$5:E$98,Deltakerliste!H$5:H$98)</f>
        <v>2</v>
      </c>
      <c r="I39" s="857">
        <f>_xlfn.XLOOKUP(E39,Deltakerliste!E$5:E$98,Deltakerliste!I$5:I$98)</f>
        <v>1957</v>
      </c>
      <c r="J39" s="590">
        <f t="shared" ca="1" si="4"/>
        <v>69</v>
      </c>
      <c r="K39" s="589">
        <f t="shared" ca="1" si="11"/>
        <v>1.3989999999999998</v>
      </c>
      <c r="L39" s="441"/>
      <c r="M39" s="122"/>
      <c r="N39" s="11"/>
      <c r="P39" s="570">
        <f t="shared" si="8"/>
        <v>46</v>
      </c>
      <c r="Q39" s="571">
        <f t="shared" si="9"/>
        <v>1.0519999999999996</v>
      </c>
      <c r="R39" s="572">
        <v>7.0000000000000288E-3</v>
      </c>
      <c r="S39" s="571">
        <f t="shared" si="10"/>
        <v>1.377</v>
      </c>
      <c r="T39" s="574">
        <v>1.2000000000000011E-2</v>
      </c>
      <c r="AE39" s="820"/>
      <c r="AG39" s="820"/>
      <c r="AH39" s="820"/>
      <c r="AI39" s="820"/>
      <c r="AJ39" s="820"/>
      <c r="AK39" s="820"/>
      <c r="AL39" s="820"/>
      <c r="AM39" s="820"/>
      <c r="AN39" s="820"/>
      <c r="AO39" s="820"/>
    </row>
    <row r="40" spans="2:41" ht="28" customHeight="1" thickBot="1" x14ac:dyDescent="0.35">
      <c r="B40" s="807">
        <f t="shared" si="6"/>
        <v>36</v>
      </c>
      <c r="C40" s="859" t="str">
        <f>Deltakerliste!C43</f>
        <v>Even</v>
      </c>
      <c r="D40" s="859" t="str">
        <f>Deltakerliste!D43</f>
        <v>Hofstad</v>
      </c>
      <c r="E40" s="120" t="str">
        <f t="shared" ref="E40:E71" si="12">_xlfn.CONCAT(C40:D40)</f>
        <v>EvenHofstad</v>
      </c>
      <c r="F40" s="859">
        <f>_xlfn.XLOOKUP(E40,Deltakerliste!E$5:E$98,Deltakerliste!F$5:F$98)</f>
        <v>259070</v>
      </c>
      <c r="G40" s="858" t="str">
        <f>_xlfn.XLOOKUP(E40,Deltakerliste!E$5:E$98,Deltakerliste!G$5:G$98)</f>
        <v>H</v>
      </c>
      <c r="H40" s="856">
        <f>_xlfn.XLOOKUP(E40,Deltakerliste!E$5:E$98,Deltakerliste!H$5:H$98)</f>
        <v>2</v>
      </c>
      <c r="I40" s="857">
        <f>_xlfn.XLOOKUP(E40,Deltakerliste!E$5:E$98,Deltakerliste!I$5:I$98)</f>
        <v>1954</v>
      </c>
      <c r="J40" s="590">
        <f t="shared" ca="1" si="4"/>
        <v>72</v>
      </c>
      <c r="K40" s="589">
        <f t="shared" ca="1" si="11"/>
        <v>1.4969999999999999</v>
      </c>
      <c r="L40" s="441"/>
      <c r="M40" s="122"/>
      <c r="N40" s="11"/>
      <c r="P40" s="570">
        <f t="shared" si="8"/>
        <v>47</v>
      </c>
      <c r="Q40" s="571">
        <f t="shared" si="9"/>
        <v>1.0589999999999997</v>
      </c>
      <c r="R40" s="572">
        <v>7.0000000000000288E-3</v>
      </c>
      <c r="S40" s="571">
        <f t="shared" si="10"/>
        <v>1.389</v>
      </c>
      <c r="T40" s="574">
        <v>1.2000000000000011E-2</v>
      </c>
      <c r="AE40" s="820"/>
      <c r="AG40" s="820"/>
      <c r="AH40" s="820"/>
      <c r="AI40" s="820"/>
      <c r="AJ40" s="820"/>
      <c r="AK40" s="820"/>
      <c r="AL40" s="820"/>
      <c r="AM40" s="820"/>
      <c r="AN40" s="820"/>
      <c r="AO40" s="820"/>
    </row>
    <row r="41" spans="2:41" ht="28" customHeight="1" thickBot="1" x14ac:dyDescent="0.35">
      <c r="B41" s="807">
        <f t="shared" si="6"/>
        <v>37</v>
      </c>
      <c r="C41" s="859" t="str">
        <f>Deltakerliste!C44</f>
        <v>Rune</v>
      </c>
      <c r="D41" s="859" t="str">
        <f>Deltakerliste!D44</f>
        <v>Holt</v>
      </c>
      <c r="E41" s="120" t="str">
        <f t="shared" si="12"/>
        <v>RuneHolt</v>
      </c>
      <c r="F41" s="859">
        <f>_xlfn.XLOOKUP(E41,Deltakerliste!E$5:E$98,Deltakerliste!F$5:F$98)</f>
        <v>517475</v>
      </c>
      <c r="G41" s="858" t="str">
        <f>_xlfn.XLOOKUP(E41,Deltakerliste!E$5:E$98,Deltakerliste!G$5:G$98)</f>
        <v>H</v>
      </c>
      <c r="H41" s="856">
        <f>_xlfn.XLOOKUP(E41,Deltakerliste!E$5:E$98,Deltakerliste!H$5:H$98)</f>
        <v>2</v>
      </c>
      <c r="I41" s="857">
        <f>_xlfn.XLOOKUP(E41,Deltakerliste!E$5:E$98,Deltakerliste!I$5:I$98)</f>
        <v>1953</v>
      </c>
      <c r="J41" s="590">
        <f t="shared" ref="J41:J72" ca="1" si="13">YEAR(S$3)-I41</f>
        <v>73</v>
      </c>
      <c r="K41" s="589">
        <f t="shared" ca="1" si="11"/>
        <v>1.5329999999999999</v>
      </c>
      <c r="L41" s="441"/>
      <c r="M41" s="122"/>
      <c r="N41" s="11"/>
      <c r="P41" s="570">
        <f t="shared" si="8"/>
        <v>48</v>
      </c>
      <c r="Q41" s="571">
        <f t="shared" si="9"/>
        <v>1.0659999999999998</v>
      </c>
      <c r="R41" s="572">
        <v>7.0000000000000288E-3</v>
      </c>
      <c r="S41" s="571">
        <f t="shared" si="10"/>
        <v>1.401</v>
      </c>
      <c r="T41" s="574">
        <v>1.2000000000000011E-2</v>
      </c>
      <c r="AE41" s="820"/>
      <c r="AG41" s="820"/>
      <c r="AH41" s="820"/>
      <c r="AI41" s="820"/>
      <c r="AJ41" s="820"/>
      <c r="AK41" s="820"/>
      <c r="AL41" s="820"/>
      <c r="AM41" s="820"/>
      <c r="AN41" s="820"/>
      <c r="AO41" s="820"/>
    </row>
    <row r="42" spans="2:41" ht="28" customHeight="1" thickBot="1" x14ac:dyDescent="0.35">
      <c r="B42" s="807">
        <f t="shared" si="6"/>
        <v>38</v>
      </c>
      <c r="C42" s="859" t="str">
        <f>Deltakerliste!C45</f>
        <v>Svein</v>
      </c>
      <c r="D42" s="859" t="str">
        <f>Deltakerliste!D45</f>
        <v>Hove</v>
      </c>
      <c r="E42" s="120" t="str">
        <f t="shared" si="12"/>
        <v>SveinHove</v>
      </c>
      <c r="F42" s="859">
        <f>_xlfn.XLOOKUP(E42,Deltakerliste!E$5:E$98,Deltakerliste!F$5:F$98)</f>
        <v>274283</v>
      </c>
      <c r="G42" s="858" t="str">
        <f>_xlfn.XLOOKUP(E42,Deltakerliste!E$5:E$98,Deltakerliste!G$5:G$98)</f>
        <v>H</v>
      </c>
      <c r="H42" s="856">
        <f>_xlfn.XLOOKUP(E42,Deltakerliste!E$5:E$98,Deltakerliste!H$5:H$98)</f>
        <v>2</v>
      </c>
      <c r="I42" s="857">
        <f>_xlfn.XLOOKUP(E42,Deltakerliste!E$5:E$98,Deltakerliste!I$5:I$98)</f>
        <v>1947</v>
      </c>
      <c r="J42" s="590">
        <f t="shared" ca="1" si="13"/>
        <v>79</v>
      </c>
      <c r="K42" s="589">
        <f t="shared" ca="1" si="11"/>
        <v>1.8050000000000002</v>
      </c>
      <c r="L42" s="441"/>
      <c r="M42" s="122"/>
      <c r="N42" s="11"/>
      <c r="P42" s="570"/>
      <c r="Q42" s="571"/>
      <c r="R42" s="572"/>
      <c r="S42" s="571"/>
      <c r="T42" s="574"/>
      <c r="AE42" s="820"/>
      <c r="AG42" s="820"/>
      <c r="AH42" s="820"/>
      <c r="AI42" s="820"/>
      <c r="AJ42" s="820"/>
      <c r="AK42" s="820"/>
      <c r="AL42" s="820"/>
      <c r="AM42" s="820"/>
      <c r="AN42" s="820"/>
      <c r="AO42" s="820"/>
    </row>
    <row r="43" spans="2:41" ht="28" customHeight="1" thickBot="1" x14ac:dyDescent="0.35">
      <c r="B43" s="807">
        <f t="shared" si="6"/>
        <v>39</v>
      </c>
      <c r="C43" s="859" t="str">
        <f>Deltakerliste!C46</f>
        <v>Per Olav</v>
      </c>
      <c r="D43" s="859" t="str">
        <f>Deltakerliste!D46</f>
        <v>Johansen</v>
      </c>
      <c r="E43" s="120" t="str">
        <f t="shared" si="12"/>
        <v>Per OlavJohansen</v>
      </c>
      <c r="F43" s="859">
        <f>_xlfn.XLOOKUP(E43,Deltakerliste!E$5:E$98,Deltakerliste!F$5:F$98)</f>
        <v>246831</v>
      </c>
      <c r="G43" s="858" t="str">
        <f>_xlfn.XLOOKUP(E43,Deltakerliste!E$5:E$98,Deltakerliste!G$5:G$98)</f>
        <v>H</v>
      </c>
      <c r="H43" s="856">
        <f>_xlfn.XLOOKUP(E43,Deltakerliste!E$5:E$98,Deltakerliste!H$5:H$98)</f>
        <v>2</v>
      </c>
      <c r="I43" s="857">
        <f>_xlfn.XLOOKUP(E43,Deltakerliste!E$5:E$98,Deltakerliste!I$5:I$98)</f>
        <v>1958</v>
      </c>
      <c r="J43" s="590">
        <f t="shared" ca="1" si="13"/>
        <v>68</v>
      </c>
      <c r="K43" s="589">
        <f t="shared" ca="1" si="11"/>
        <v>1.3729999999999998</v>
      </c>
      <c r="L43" s="441"/>
      <c r="M43" s="122"/>
      <c r="N43" s="11"/>
      <c r="P43" s="570">
        <f>P41+1</f>
        <v>49</v>
      </c>
      <c r="Q43" s="571">
        <f>Q41+R41</f>
        <v>1.073</v>
      </c>
      <c r="R43" s="572">
        <v>7.0000000000000288E-3</v>
      </c>
      <c r="S43" s="571">
        <f>S41+T41</f>
        <v>1.413</v>
      </c>
      <c r="T43" s="574">
        <v>1.2000000000000011E-2</v>
      </c>
      <c r="AE43" s="820"/>
      <c r="AG43" s="820"/>
      <c r="AH43" s="820"/>
      <c r="AI43" s="820"/>
      <c r="AJ43" s="820"/>
      <c r="AK43" s="820"/>
      <c r="AL43" s="820"/>
      <c r="AM43" s="820"/>
      <c r="AN43" s="820"/>
      <c r="AO43" s="820"/>
    </row>
    <row r="44" spans="2:41" ht="28" hidden="1" customHeight="1" thickBot="1" x14ac:dyDescent="0.35">
      <c r="B44" s="807">
        <f t="shared" si="6"/>
        <v>40</v>
      </c>
      <c r="C44" s="859" t="str">
        <f>Deltakerliste!C47</f>
        <v>Tore</v>
      </c>
      <c r="D44" s="859" t="str">
        <f>Deltakerliste!D47</f>
        <v>Kiste</v>
      </c>
      <c r="E44" s="120" t="str">
        <f t="shared" si="12"/>
        <v>ToreKiste</v>
      </c>
      <c r="F44" s="859">
        <f>_xlfn.XLOOKUP(E44,Deltakerliste!E$5:E$98,Deltakerliste!F$5:F$98)</f>
        <v>269734</v>
      </c>
      <c r="G44" s="858" t="str">
        <f>_xlfn.XLOOKUP(E44,Deltakerliste!E$5:E$98,Deltakerliste!G$5:G$98)</f>
        <v>H</v>
      </c>
      <c r="H44" s="856">
        <f>_xlfn.XLOOKUP(E44,Deltakerliste!E$5:E$98,Deltakerliste!H$5:H$98)</f>
        <v>2</v>
      </c>
      <c r="I44" s="857">
        <f>_xlfn.XLOOKUP(E44,Deltakerliste!E$5:E$98,Deltakerliste!I$5:I$98)</f>
        <v>1945</v>
      </c>
      <c r="J44" s="590">
        <f t="shared" ca="1" si="13"/>
        <v>81</v>
      </c>
      <c r="K44" s="589">
        <f t="shared" ca="1" si="11"/>
        <v>1.9290000000000003</v>
      </c>
      <c r="L44" s="441"/>
      <c r="M44" s="122"/>
      <c r="N44" s="11"/>
      <c r="P44" s="570">
        <f t="shared" si="8"/>
        <v>50</v>
      </c>
      <c r="Q44" s="571">
        <f t="shared" si="9"/>
        <v>1.08</v>
      </c>
      <c r="R44" s="572">
        <v>9.9999999999999638E-3</v>
      </c>
      <c r="S44" s="571">
        <f t="shared" si="10"/>
        <v>1.425</v>
      </c>
      <c r="T44" s="574">
        <v>1.6999999999999994E-2</v>
      </c>
      <c r="AE44" s="820"/>
      <c r="AG44" s="820"/>
      <c r="AH44" s="820"/>
      <c r="AI44" s="820"/>
      <c r="AJ44" s="820"/>
      <c r="AK44" s="820"/>
      <c r="AL44" s="820"/>
      <c r="AM44" s="820"/>
      <c r="AN44" s="820"/>
      <c r="AO44" s="820"/>
    </row>
    <row r="45" spans="2:41" ht="28" customHeight="1" thickBot="1" x14ac:dyDescent="0.35">
      <c r="B45" s="807">
        <f t="shared" si="6"/>
        <v>41</v>
      </c>
      <c r="C45" s="859" t="str">
        <f>Deltakerliste!C48</f>
        <v>Jon Arne</v>
      </c>
      <c r="D45" s="859" t="str">
        <f>Deltakerliste!D48</f>
        <v>Klemetsaune</v>
      </c>
      <c r="E45" s="120" t="str">
        <f t="shared" si="12"/>
        <v>Jon ArneKlemetsaune</v>
      </c>
      <c r="F45" s="859">
        <f>_xlfn.XLOOKUP(E45,Deltakerliste!E$5:E$98,Deltakerliste!F$5:F$98)</f>
        <v>537689</v>
      </c>
      <c r="G45" s="858" t="str">
        <f>_xlfn.XLOOKUP(E45,Deltakerliste!E$5:E$98,Deltakerliste!G$5:G$98)</f>
        <v>H</v>
      </c>
      <c r="H45" s="856">
        <f>_xlfn.XLOOKUP(E45,Deltakerliste!E$5:E$98,Deltakerliste!H$5:H$98)</f>
        <v>2</v>
      </c>
      <c r="I45" s="857">
        <f>_xlfn.XLOOKUP(E45,Deltakerliste!E$5:E$98,Deltakerliste!I$5:I$98)</f>
        <v>1949</v>
      </c>
      <c r="J45" s="590">
        <f t="shared" ca="1" si="13"/>
        <v>77</v>
      </c>
      <c r="K45" s="589">
        <f t="shared" ca="1" si="11"/>
        <v>1.7050000000000001</v>
      </c>
      <c r="L45" s="441"/>
      <c r="M45" s="122"/>
      <c r="N45" s="11"/>
      <c r="P45" s="570">
        <f t="shared" si="8"/>
        <v>51</v>
      </c>
      <c r="Q45" s="571">
        <f t="shared" si="9"/>
        <v>1.0900000000000001</v>
      </c>
      <c r="R45" s="572">
        <v>9.9999999999999638E-3</v>
      </c>
      <c r="S45" s="571">
        <f t="shared" si="10"/>
        <v>1.4419999999999999</v>
      </c>
      <c r="T45" s="574">
        <v>1.6999999999999994E-2</v>
      </c>
    </row>
    <row r="46" spans="2:41" ht="28" customHeight="1" thickBot="1" x14ac:dyDescent="0.35">
      <c r="B46" s="807">
        <f t="shared" si="6"/>
        <v>42</v>
      </c>
      <c r="C46" s="859" t="str">
        <f>Deltakerliste!C49</f>
        <v>Finn Faye</v>
      </c>
      <c r="D46" s="859" t="str">
        <f>Deltakerliste!D49</f>
        <v>Knudsen</v>
      </c>
      <c r="E46" s="120" t="str">
        <f t="shared" si="12"/>
        <v>Finn FayeKnudsen</v>
      </c>
      <c r="F46" s="859">
        <f>_xlfn.XLOOKUP(E46,Deltakerliste!E$5:E$98,Deltakerliste!F$5:F$98)</f>
        <v>259073</v>
      </c>
      <c r="G46" s="858" t="str">
        <f>_xlfn.XLOOKUP(E46,Deltakerliste!E$5:E$98,Deltakerliste!G$5:G$98)</f>
        <v>H</v>
      </c>
      <c r="H46" s="856">
        <f>_xlfn.XLOOKUP(E46,Deltakerliste!E$5:E$98,Deltakerliste!H$5:H$98)</f>
        <v>2</v>
      </c>
      <c r="I46" s="857">
        <f>_xlfn.XLOOKUP(E46,Deltakerliste!E$5:E$98,Deltakerliste!I$5:I$98)</f>
        <v>1942</v>
      </c>
      <c r="J46" s="590">
        <f t="shared" ca="1" si="13"/>
        <v>84</v>
      </c>
      <c r="K46" s="589">
        <f t="shared" ca="1" si="11"/>
        <v>2.1509999999999998</v>
      </c>
      <c r="L46" s="441"/>
      <c r="M46" s="122"/>
      <c r="N46" s="11"/>
      <c r="P46" s="570">
        <f t="shared" si="8"/>
        <v>52</v>
      </c>
      <c r="Q46" s="571">
        <f t="shared" si="9"/>
        <v>1.1000000000000001</v>
      </c>
      <c r="R46" s="572">
        <v>9.9999999999999638E-3</v>
      </c>
      <c r="S46" s="571">
        <f t="shared" si="10"/>
        <v>1.4589999999999999</v>
      </c>
      <c r="T46" s="574">
        <v>1.6999999999999994E-2</v>
      </c>
    </row>
    <row r="47" spans="2:41" ht="28" customHeight="1" thickBot="1" x14ac:dyDescent="0.35">
      <c r="B47" s="807">
        <f t="shared" si="6"/>
        <v>43</v>
      </c>
      <c r="C47" s="859" t="str">
        <f>Deltakerliste!C50</f>
        <v>Jan Erik</v>
      </c>
      <c r="D47" s="859" t="str">
        <f>Deltakerliste!D50</f>
        <v>Kofoed</v>
      </c>
      <c r="E47" s="120" t="str">
        <f t="shared" si="12"/>
        <v>Jan ErikKofoed</v>
      </c>
      <c r="F47" s="859">
        <f>_xlfn.XLOOKUP(E47,Deltakerliste!E$5:E$98,Deltakerliste!F$5:F$98)</f>
        <v>269730</v>
      </c>
      <c r="G47" s="858" t="str">
        <f>_xlfn.XLOOKUP(E47,Deltakerliste!E$5:E$98,Deltakerliste!G$5:G$98)</f>
        <v>H</v>
      </c>
      <c r="H47" s="856">
        <f>_xlfn.XLOOKUP(E47,Deltakerliste!E$5:E$98,Deltakerliste!H$5:H$98)</f>
        <v>2</v>
      </c>
      <c r="I47" s="857">
        <f>_xlfn.XLOOKUP(E47,Deltakerliste!E$5:E$98,Deltakerliste!I$5:I$98)</f>
        <v>1954</v>
      </c>
      <c r="J47" s="590">
        <f t="shared" ca="1" si="13"/>
        <v>72</v>
      </c>
      <c r="K47" s="589">
        <f t="shared" ca="1" si="11"/>
        <v>1.4969999999999999</v>
      </c>
      <c r="L47" s="441"/>
      <c r="M47" s="122"/>
      <c r="N47" s="11"/>
      <c r="P47" s="570">
        <f t="shared" si="8"/>
        <v>53</v>
      </c>
      <c r="Q47" s="571">
        <f t="shared" si="9"/>
        <v>1.1100000000000001</v>
      </c>
      <c r="R47" s="572">
        <v>9.9999999999999638E-3</v>
      </c>
      <c r="S47" s="571">
        <f t="shared" si="10"/>
        <v>1.4759999999999998</v>
      </c>
      <c r="T47" s="574">
        <v>1.6999999999999994E-2</v>
      </c>
    </row>
    <row r="48" spans="2:41" ht="28" hidden="1" customHeight="1" thickBot="1" x14ac:dyDescent="0.35">
      <c r="B48" s="807">
        <f t="shared" si="6"/>
        <v>44</v>
      </c>
      <c r="C48" s="859" t="str">
        <f>Deltakerliste!C51</f>
        <v>Ottar</v>
      </c>
      <c r="D48" s="859" t="str">
        <f>Deltakerliste!D51</f>
        <v>Kristiansen</v>
      </c>
      <c r="E48" s="120" t="str">
        <f t="shared" si="12"/>
        <v>OttarKristiansen</v>
      </c>
      <c r="F48" s="859">
        <f>_xlfn.XLOOKUP(E48,Deltakerliste!E$5:E$98,Deltakerliste!F$5:F$98)</f>
        <v>261355</v>
      </c>
      <c r="G48" s="858" t="str">
        <f>_xlfn.XLOOKUP(E48,Deltakerliste!E$5:E$98,Deltakerliste!G$5:G$98)</f>
        <v>H</v>
      </c>
      <c r="H48" s="856">
        <f>_xlfn.XLOOKUP(E48,Deltakerliste!E$5:E$98,Deltakerliste!H$5:H$98)</f>
        <v>2</v>
      </c>
      <c r="I48" s="857">
        <f>_xlfn.XLOOKUP(E48,Deltakerliste!E$5:E$98,Deltakerliste!I$5:I$98)</f>
        <v>1949</v>
      </c>
      <c r="J48" s="590">
        <f t="shared" ca="1" si="13"/>
        <v>77</v>
      </c>
      <c r="K48" s="589">
        <f t="shared" ca="1" si="11"/>
        <v>1.7050000000000001</v>
      </c>
      <c r="L48" s="441"/>
      <c r="M48" s="122"/>
      <c r="N48" s="11"/>
      <c r="P48" s="570">
        <f t="shared" si="8"/>
        <v>54</v>
      </c>
      <c r="Q48" s="571">
        <f t="shared" si="9"/>
        <v>1.1200000000000001</v>
      </c>
      <c r="R48" s="572">
        <v>9.9999999999999638E-3</v>
      </c>
      <c r="S48" s="571">
        <f t="shared" si="10"/>
        <v>1.4929999999999997</v>
      </c>
      <c r="T48" s="574">
        <v>1.6999999999999994E-2</v>
      </c>
    </row>
    <row r="49" spans="2:20" ht="28" customHeight="1" thickBot="1" x14ac:dyDescent="0.35">
      <c r="B49" s="807">
        <f t="shared" si="6"/>
        <v>45</v>
      </c>
      <c r="C49" s="859" t="str">
        <f>Deltakerliste!C52</f>
        <v>Olav</v>
      </c>
      <c r="D49" s="859" t="str">
        <f>Deltakerliste!D52</f>
        <v>Kvittem</v>
      </c>
      <c r="E49" s="120" t="str">
        <f t="shared" si="12"/>
        <v>OlavKvittem</v>
      </c>
      <c r="F49" s="859">
        <f>_xlfn.XLOOKUP(E49,Deltakerliste!E$5:E$98,Deltakerliste!F$5:F$98)</f>
        <v>243748</v>
      </c>
      <c r="G49" s="858" t="str">
        <f>_xlfn.XLOOKUP(E49,Deltakerliste!E$5:E$98,Deltakerliste!G$5:G$98)</f>
        <v>H</v>
      </c>
      <c r="H49" s="856">
        <f>_xlfn.XLOOKUP(E49,Deltakerliste!E$5:E$98,Deltakerliste!H$5:H$98)</f>
        <v>2</v>
      </c>
      <c r="I49" s="857">
        <f>_xlfn.XLOOKUP(E49,Deltakerliste!E$5:E$98,Deltakerliste!I$5:I$98)</f>
        <v>1955</v>
      </c>
      <c r="J49" s="590">
        <f t="shared" ca="1" si="13"/>
        <v>71</v>
      </c>
      <c r="K49" s="589">
        <f t="shared" ca="1" si="11"/>
        <v>1.4609999999999999</v>
      </c>
      <c r="L49" s="441"/>
      <c r="M49" s="122"/>
      <c r="N49" s="11"/>
      <c r="P49" s="570">
        <f t="shared" si="8"/>
        <v>55</v>
      </c>
      <c r="Q49" s="571">
        <f t="shared" si="9"/>
        <v>1.1300000000000001</v>
      </c>
      <c r="R49" s="572">
        <v>1.4000000000000012E-2</v>
      </c>
      <c r="S49" s="571">
        <f t="shared" si="10"/>
        <v>1.5099999999999996</v>
      </c>
      <c r="T49" s="574">
        <v>2.3000000000000041E-2</v>
      </c>
    </row>
    <row r="50" spans="2:20" ht="28" hidden="1" customHeight="1" thickBot="1" x14ac:dyDescent="0.35">
      <c r="B50" s="807">
        <f t="shared" si="6"/>
        <v>46</v>
      </c>
      <c r="C50" s="859" t="str">
        <f>Deltakerliste!C53</f>
        <v>Torid</v>
      </c>
      <c r="D50" s="859" t="str">
        <f>Deltakerliste!D53</f>
        <v>Kvaal</v>
      </c>
      <c r="E50" s="120" t="str">
        <f t="shared" si="12"/>
        <v>ToridKvaal</v>
      </c>
      <c r="F50" s="859">
        <f>_xlfn.XLOOKUP(E50,Deltakerliste!E$5:E$98,Deltakerliste!F$5:F$98)</f>
        <v>531366</v>
      </c>
      <c r="G50" s="858" t="str">
        <f>_xlfn.XLOOKUP(E50,Deltakerliste!E$5:E$98,Deltakerliste!G$5:G$98)</f>
        <v>D</v>
      </c>
      <c r="H50" s="856">
        <f>_xlfn.XLOOKUP(E50,Deltakerliste!E$5:E$98,Deltakerliste!H$5:H$98)</f>
        <v>4</v>
      </c>
      <c r="I50" s="857">
        <f>_xlfn.XLOOKUP(E50,Deltakerliste!E$5:E$98,Deltakerliste!I$5:I$98)</f>
        <v>1942</v>
      </c>
      <c r="J50" s="590">
        <f t="shared" ca="1" si="13"/>
        <v>84</v>
      </c>
      <c r="K50" s="589">
        <f t="shared" ca="1" si="11"/>
        <v>2.7814000000000005</v>
      </c>
      <c r="L50" s="441"/>
      <c r="M50" s="122"/>
      <c r="N50" s="11"/>
      <c r="P50" s="570">
        <f t="shared" si="8"/>
        <v>56</v>
      </c>
      <c r="Q50" s="571">
        <f t="shared" si="9"/>
        <v>1.1440000000000001</v>
      </c>
      <c r="R50" s="572">
        <v>1.4000000000000012E-2</v>
      </c>
      <c r="S50" s="571">
        <f t="shared" si="10"/>
        <v>1.5329999999999997</v>
      </c>
      <c r="T50" s="574">
        <v>2.3000000000000041E-2</v>
      </c>
    </row>
    <row r="51" spans="2:20" ht="28" customHeight="1" thickBot="1" x14ac:dyDescent="0.35">
      <c r="B51" s="807">
        <f t="shared" si="6"/>
        <v>47</v>
      </c>
      <c r="C51" s="859" t="str">
        <f>Deltakerliste!C54</f>
        <v>Magnus</v>
      </c>
      <c r="D51" s="859" t="str">
        <f>Deltakerliste!D54</f>
        <v>Landstad</v>
      </c>
      <c r="E51" s="120" t="str">
        <f t="shared" si="12"/>
        <v>MagnusLandstad</v>
      </c>
      <c r="F51" s="859">
        <f>_xlfn.XLOOKUP(E51,Deltakerliste!E$5:E$98,Deltakerliste!F$5:F$98)</f>
        <v>516612</v>
      </c>
      <c r="G51" s="858" t="str">
        <f>_xlfn.XLOOKUP(E51,Deltakerliste!E$5:E$98,Deltakerliste!G$5:G$98)</f>
        <v>H</v>
      </c>
      <c r="H51" s="856">
        <f>_xlfn.XLOOKUP(E51,Deltakerliste!E$5:E$98,Deltakerliste!H$5:H$98)</f>
        <v>2</v>
      </c>
      <c r="I51" s="857">
        <f>_xlfn.XLOOKUP(E51,Deltakerliste!E$5:E$98,Deltakerliste!I$5:I$98)</f>
        <v>1943</v>
      </c>
      <c r="J51" s="590">
        <f t="shared" ca="1" si="13"/>
        <v>83</v>
      </c>
      <c r="K51" s="589">
        <f t="shared" ca="1" si="11"/>
        <v>2.077</v>
      </c>
      <c r="L51" s="441"/>
      <c r="M51" s="122"/>
      <c r="N51" s="11"/>
      <c r="P51" s="570">
        <f t="shared" si="8"/>
        <v>57</v>
      </c>
      <c r="Q51" s="571">
        <f t="shared" si="9"/>
        <v>1.1580000000000001</v>
      </c>
      <c r="R51" s="572">
        <v>1.4000000000000012E-2</v>
      </c>
      <c r="S51" s="571">
        <f t="shared" si="10"/>
        <v>1.5559999999999998</v>
      </c>
      <c r="T51" s="574">
        <v>2.3000000000000041E-2</v>
      </c>
    </row>
    <row r="52" spans="2:20" ht="28" hidden="1" customHeight="1" thickBot="1" x14ac:dyDescent="0.35">
      <c r="B52" s="807">
        <f t="shared" si="6"/>
        <v>48</v>
      </c>
      <c r="C52" s="859" t="str">
        <f>Deltakerliste!C55</f>
        <v>Arnfinn</v>
      </c>
      <c r="D52" s="859" t="str">
        <f>Deltakerliste!D55</f>
        <v>Langeland</v>
      </c>
      <c r="E52" s="673" t="str">
        <f t="shared" si="12"/>
        <v>ArnfinnLangeland</v>
      </c>
      <c r="F52" s="859">
        <f>_xlfn.XLOOKUP(E52,Deltakerliste!E$5:E$98,Deltakerliste!F$5:F$98)</f>
        <v>269752</v>
      </c>
      <c r="G52" s="858" t="str">
        <f>_xlfn.XLOOKUP(E52,Deltakerliste!E$5:E$98,Deltakerliste!G$5:G$98)</f>
        <v>H</v>
      </c>
      <c r="H52" s="856">
        <f>_xlfn.XLOOKUP(E52,Deltakerliste!E$5:E$98,Deltakerliste!H$5:H$98)</f>
        <v>2</v>
      </c>
      <c r="I52" s="857">
        <f>_xlfn.XLOOKUP(E52,Deltakerliste!E$5:E$98,Deltakerliste!I$5:I$98)</f>
        <v>1936</v>
      </c>
      <c r="J52" s="590">
        <f t="shared" ca="1" si="13"/>
        <v>90</v>
      </c>
      <c r="K52" s="589">
        <f t="shared" ca="1" si="11"/>
        <v>2.645</v>
      </c>
      <c r="L52" s="441"/>
      <c r="M52" s="122"/>
      <c r="N52" s="11"/>
      <c r="P52" s="570">
        <f t="shared" si="8"/>
        <v>58</v>
      </c>
      <c r="Q52" s="571">
        <f t="shared" si="9"/>
        <v>1.1720000000000002</v>
      </c>
      <c r="R52" s="572">
        <v>1.4000000000000012E-2</v>
      </c>
      <c r="S52" s="571">
        <f t="shared" si="10"/>
        <v>1.579</v>
      </c>
      <c r="T52" s="574">
        <v>2.3000000000000041E-2</v>
      </c>
    </row>
    <row r="53" spans="2:20" ht="28" customHeight="1" thickBot="1" x14ac:dyDescent="0.35">
      <c r="B53" s="807">
        <f t="shared" si="6"/>
        <v>49</v>
      </c>
      <c r="C53" s="859" t="str">
        <f>Deltakerliste!C56</f>
        <v>Anders</v>
      </c>
      <c r="D53" s="859" t="str">
        <f>Deltakerliste!D56</f>
        <v>Lauglo</v>
      </c>
      <c r="E53" s="120" t="str">
        <f t="shared" si="12"/>
        <v>AndersLauglo</v>
      </c>
      <c r="F53" s="859">
        <f>_xlfn.XLOOKUP(E53,Deltakerliste!E$5:E$98,Deltakerliste!F$5:F$98)</f>
        <v>522952</v>
      </c>
      <c r="G53" s="858" t="str">
        <f>_xlfn.XLOOKUP(E53,Deltakerliste!E$5:E$98,Deltakerliste!G$5:G$98)</f>
        <v>H</v>
      </c>
      <c r="H53" s="856">
        <f>_xlfn.XLOOKUP(E53,Deltakerliste!E$5:E$98,Deltakerliste!H$5:H$98)</f>
        <v>2</v>
      </c>
      <c r="I53" s="857">
        <f>_xlfn.XLOOKUP(E53,Deltakerliste!E$5:E$98,Deltakerliste!I$5:I$98)</f>
        <v>1939</v>
      </c>
      <c r="J53" s="590">
        <f t="shared" ca="1" si="13"/>
        <v>87</v>
      </c>
      <c r="K53" s="589">
        <f t="shared" ca="1" si="11"/>
        <v>2.3929999999999998</v>
      </c>
      <c r="L53" s="441"/>
      <c r="M53" s="122"/>
      <c r="N53" s="11"/>
      <c r="P53" s="570">
        <f t="shared" si="8"/>
        <v>59</v>
      </c>
      <c r="Q53" s="571">
        <f t="shared" si="9"/>
        <v>1.1860000000000002</v>
      </c>
      <c r="R53" s="572">
        <v>1.4000000000000012E-2</v>
      </c>
      <c r="S53" s="571">
        <f t="shared" si="10"/>
        <v>1.6020000000000001</v>
      </c>
      <c r="T53" s="574">
        <v>2.3000000000000041E-2</v>
      </c>
    </row>
    <row r="54" spans="2:20" ht="28" customHeight="1" thickBot="1" x14ac:dyDescent="0.35">
      <c r="B54" s="807">
        <f t="shared" si="6"/>
        <v>50</v>
      </c>
      <c r="C54" s="859" t="str">
        <f>Deltakerliste!C57</f>
        <v>Knut</v>
      </c>
      <c r="D54" s="859" t="str">
        <f>Deltakerliste!D57</f>
        <v>Lillealtern</v>
      </c>
      <c r="E54" s="120" t="str">
        <f t="shared" si="12"/>
        <v>KnutLillealtern</v>
      </c>
      <c r="F54" s="859">
        <f>_xlfn.XLOOKUP(E54,Deltakerliste!E$5:E$98,Deltakerliste!F$5:F$98)</f>
        <v>264828</v>
      </c>
      <c r="G54" s="858" t="str">
        <f>_xlfn.XLOOKUP(E54,Deltakerliste!E$5:E$98,Deltakerliste!G$5:G$98)</f>
        <v>H</v>
      </c>
      <c r="H54" s="856">
        <f>_xlfn.XLOOKUP(E54,Deltakerliste!E$5:E$98,Deltakerliste!H$5:H$98)</f>
        <v>2</v>
      </c>
      <c r="I54" s="857">
        <f>_xlfn.XLOOKUP(E54,Deltakerliste!E$5:E$98,Deltakerliste!I$5:I$98)</f>
        <v>1949</v>
      </c>
      <c r="J54" s="590">
        <f t="shared" ca="1" si="13"/>
        <v>77</v>
      </c>
      <c r="K54" s="589">
        <f t="shared" ca="1" si="11"/>
        <v>1.7050000000000001</v>
      </c>
      <c r="L54" s="441"/>
      <c r="M54" s="122"/>
      <c r="N54" s="11"/>
      <c r="P54" s="570">
        <f t="shared" si="8"/>
        <v>60</v>
      </c>
      <c r="Q54" s="571">
        <f t="shared" si="9"/>
        <v>1.2000000000000002</v>
      </c>
      <c r="R54" s="572">
        <v>1.8999999999999996E-2</v>
      </c>
      <c r="S54" s="571">
        <f t="shared" si="10"/>
        <v>1.6250000000000002</v>
      </c>
      <c r="T54" s="573">
        <v>2.9200000000000025E-2</v>
      </c>
    </row>
    <row r="55" spans="2:20" ht="28" customHeight="1" thickBot="1" x14ac:dyDescent="0.35">
      <c r="B55" s="807">
        <f t="shared" si="6"/>
        <v>51</v>
      </c>
      <c r="C55" s="859" t="str">
        <f>Deltakerliste!C58</f>
        <v>Klaus</v>
      </c>
      <c r="D55" s="859" t="str">
        <f>Deltakerliste!D58</f>
        <v>Livik</v>
      </c>
      <c r="E55" s="120" t="str">
        <f t="shared" si="12"/>
        <v>KlausLivik</v>
      </c>
      <c r="F55" s="859">
        <f>_xlfn.XLOOKUP(E55,Deltakerliste!E$5:E$98,Deltakerliste!F$5:F$98)</f>
        <v>238154</v>
      </c>
      <c r="G55" s="858" t="str">
        <f>_xlfn.XLOOKUP(E55,Deltakerliste!E$5:E$98,Deltakerliste!G$5:G$98)</f>
        <v>H</v>
      </c>
      <c r="H55" s="856">
        <f>_xlfn.XLOOKUP(E55,Deltakerliste!E$5:E$98,Deltakerliste!H$5:H$98)</f>
        <v>2</v>
      </c>
      <c r="I55" s="857">
        <f>_xlfn.XLOOKUP(E55,Deltakerliste!E$5:E$98,Deltakerliste!I$5:I$98)</f>
        <v>1954</v>
      </c>
      <c r="J55" s="590">
        <f t="shared" ca="1" si="13"/>
        <v>72</v>
      </c>
      <c r="K55" s="589">
        <f t="shared" ca="1" si="11"/>
        <v>1.4969999999999999</v>
      </c>
      <c r="L55" s="440"/>
      <c r="M55" s="122"/>
      <c r="N55" s="11"/>
      <c r="P55" s="570">
        <f t="shared" si="8"/>
        <v>61</v>
      </c>
      <c r="Q55" s="571">
        <f t="shared" si="9"/>
        <v>1.2190000000000001</v>
      </c>
      <c r="R55" s="572">
        <v>1.8999999999999996E-2</v>
      </c>
      <c r="S55" s="571">
        <f t="shared" si="10"/>
        <v>1.6542000000000003</v>
      </c>
      <c r="T55" s="573">
        <v>2.9200000000000025E-2</v>
      </c>
    </row>
    <row r="56" spans="2:20" ht="28" customHeight="1" thickBot="1" x14ac:dyDescent="0.35">
      <c r="B56" s="807">
        <f t="shared" si="6"/>
        <v>52</v>
      </c>
      <c r="C56" s="859" t="str">
        <f>Deltakerliste!C59</f>
        <v>Erik</v>
      </c>
      <c r="D56" s="859" t="str">
        <f>Deltakerliste!D59</f>
        <v>Lund</v>
      </c>
      <c r="E56" s="120" t="str">
        <f t="shared" si="12"/>
        <v>ErikLund</v>
      </c>
      <c r="F56" s="859">
        <f>_xlfn.XLOOKUP(E56,Deltakerliste!E$5:E$98,Deltakerliste!F$5:F$98)</f>
        <v>250595</v>
      </c>
      <c r="G56" s="858" t="str">
        <f>_xlfn.XLOOKUP(E56,Deltakerliste!E$5:E$98,Deltakerliste!G$5:G$98)</f>
        <v>H</v>
      </c>
      <c r="H56" s="856">
        <f>_xlfn.XLOOKUP(E56,Deltakerliste!E$5:E$98,Deltakerliste!H$5:H$98)</f>
        <v>2</v>
      </c>
      <c r="I56" s="857">
        <f>_xlfn.XLOOKUP(E56,Deltakerliste!E$5:E$98,Deltakerliste!I$5:I$98)</f>
        <v>1947</v>
      </c>
      <c r="J56" s="590">
        <f t="shared" ca="1" si="13"/>
        <v>79</v>
      </c>
      <c r="K56" s="589">
        <f t="shared" ca="1" si="11"/>
        <v>1.8050000000000002</v>
      </c>
      <c r="L56" s="441"/>
      <c r="M56" s="122"/>
      <c r="N56" s="11"/>
      <c r="P56" s="570">
        <f t="shared" si="8"/>
        <v>62</v>
      </c>
      <c r="Q56" s="571">
        <f t="shared" si="9"/>
        <v>1.238</v>
      </c>
      <c r="R56" s="572">
        <v>1.8999999999999996E-2</v>
      </c>
      <c r="S56" s="571">
        <f t="shared" si="10"/>
        <v>1.6834000000000005</v>
      </c>
      <c r="T56" s="573">
        <v>2.9200000000000025E-2</v>
      </c>
    </row>
    <row r="57" spans="2:20" ht="28" customHeight="1" thickBot="1" x14ac:dyDescent="0.35">
      <c r="B57" s="807">
        <f t="shared" si="6"/>
        <v>53</v>
      </c>
      <c r="C57" s="859" t="str">
        <f>Deltakerliste!C60</f>
        <v xml:space="preserve">Kjell </v>
      </c>
      <c r="D57" s="859" t="str">
        <f>Deltakerliste!D60</f>
        <v>Maroni</v>
      </c>
      <c r="E57" s="120" t="str">
        <f t="shared" si="12"/>
        <v>Kjell Maroni</v>
      </c>
      <c r="F57" s="859">
        <f>_xlfn.XLOOKUP(E57,Deltakerliste!E$5:E$98,Deltakerliste!F$5:F$98)</f>
        <v>266672</v>
      </c>
      <c r="G57" s="858" t="str">
        <f>_xlfn.XLOOKUP(E57,Deltakerliste!E$5:E$98,Deltakerliste!G$5:G$98)</f>
        <v>H</v>
      </c>
      <c r="H57" s="856">
        <f>_xlfn.XLOOKUP(E57,Deltakerliste!E$5:E$98,Deltakerliste!H$5:H$98)</f>
        <v>2</v>
      </c>
      <c r="I57" s="857">
        <f>_xlfn.XLOOKUP(E57,Deltakerliste!E$5:E$98,Deltakerliste!I$5:I$98)</f>
        <v>1956</v>
      </c>
      <c r="J57" s="590">
        <f t="shared" ca="1" si="13"/>
        <v>70</v>
      </c>
      <c r="K57" s="589">
        <f t="shared" ca="1" si="11"/>
        <v>1.4249999999999998</v>
      </c>
      <c r="L57" s="441"/>
      <c r="M57" s="122"/>
      <c r="N57" s="11"/>
      <c r="P57" s="570">
        <f t="shared" si="8"/>
        <v>63</v>
      </c>
      <c r="Q57" s="571">
        <f t="shared" si="9"/>
        <v>1.2569999999999999</v>
      </c>
      <c r="R57" s="572">
        <v>1.8999999999999996E-2</v>
      </c>
      <c r="S57" s="571">
        <f t="shared" si="10"/>
        <v>1.7126000000000006</v>
      </c>
      <c r="T57" s="573">
        <v>2.9200000000000025E-2</v>
      </c>
    </row>
    <row r="58" spans="2:20" ht="28" customHeight="1" thickBot="1" x14ac:dyDescent="0.35">
      <c r="B58" s="807">
        <f t="shared" si="6"/>
        <v>54</v>
      </c>
      <c r="C58" s="859" t="str">
        <f>Deltakerliste!C61</f>
        <v>Martin</v>
      </c>
      <c r="D58" s="859" t="str">
        <f>Deltakerliste!D61</f>
        <v>Melhuus</v>
      </c>
      <c r="E58" s="120" t="str">
        <f t="shared" si="12"/>
        <v>MartinMelhuus</v>
      </c>
      <c r="F58" s="859">
        <f>_xlfn.XLOOKUP(E58,Deltakerliste!E$5:E$98,Deltakerliste!F$5:F$98)</f>
        <v>518763</v>
      </c>
      <c r="G58" s="858" t="str">
        <f>_xlfn.XLOOKUP(E58,Deltakerliste!E$5:E$98,Deltakerliste!G$5:G$98)</f>
        <v>H</v>
      </c>
      <c r="H58" s="856">
        <f>_xlfn.XLOOKUP(E58,Deltakerliste!E$5:E$98,Deltakerliste!H$5:H$98)</f>
        <v>2</v>
      </c>
      <c r="I58" s="857">
        <f>_xlfn.XLOOKUP(E58,Deltakerliste!E$5:E$98,Deltakerliste!I$5:I$98)</f>
        <v>1944</v>
      </c>
      <c r="J58" s="590">
        <f t="shared" ca="1" si="13"/>
        <v>82</v>
      </c>
      <c r="K58" s="589">
        <f t="shared" ca="1" si="11"/>
        <v>2.0030000000000001</v>
      </c>
      <c r="L58" s="441"/>
      <c r="M58" s="122"/>
      <c r="N58" s="11"/>
      <c r="P58" s="570">
        <f t="shared" si="8"/>
        <v>64</v>
      </c>
      <c r="Q58" s="571">
        <f t="shared" si="9"/>
        <v>1.2759999999999998</v>
      </c>
      <c r="R58" s="572">
        <v>1.8999999999999996E-2</v>
      </c>
      <c r="S58" s="571">
        <f t="shared" si="10"/>
        <v>1.7418000000000007</v>
      </c>
      <c r="T58" s="573">
        <v>2.9200000000000025E-2</v>
      </c>
    </row>
    <row r="59" spans="2:20" ht="28" customHeight="1" thickBot="1" x14ac:dyDescent="0.35">
      <c r="B59" s="807">
        <f t="shared" si="6"/>
        <v>55</v>
      </c>
      <c r="C59" s="859" t="str">
        <f>Deltakerliste!C62</f>
        <v xml:space="preserve">Heidi </v>
      </c>
      <c r="D59" s="859" t="str">
        <f>Deltakerliste!D62</f>
        <v>Midttun</v>
      </c>
      <c r="E59" s="120" t="str">
        <f t="shared" si="12"/>
        <v>Heidi Midttun</v>
      </c>
      <c r="F59" s="859">
        <f>_xlfn.XLOOKUP(E59,Deltakerliste!E$5:E$98,Deltakerliste!F$5:F$98)</f>
        <v>543428</v>
      </c>
      <c r="G59" s="858" t="str">
        <f>_xlfn.XLOOKUP(E59,Deltakerliste!E$5:E$98,Deltakerliste!G$5:G$98)</f>
        <v>D</v>
      </c>
      <c r="H59" s="856">
        <f>_xlfn.XLOOKUP(E59,Deltakerliste!E$5:E$98,Deltakerliste!H$5:H$98)</f>
        <v>4</v>
      </c>
      <c r="I59" s="857">
        <f>_xlfn.XLOOKUP(E59,Deltakerliste!E$5:E$98,Deltakerliste!I$5:I$98)</f>
        <v>1955</v>
      </c>
      <c r="J59" s="590">
        <f t="shared" ca="1" si="13"/>
        <v>71</v>
      </c>
      <c r="K59" s="589">
        <f t="shared" ca="1" si="11"/>
        <v>1.9926000000000013</v>
      </c>
      <c r="L59" s="441"/>
      <c r="M59" s="122"/>
      <c r="N59" s="11"/>
      <c r="P59" s="570">
        <f t="shared" si="8"/>
        <v>65</v>
      </c>
      <c r="Q59" s="571">
        <f t="shared" si="9"/>
        <v>1.2949999999999997</v>
      </c>
      <c r="R59" s="572">
        <v>2.6000000000000023E-2</v>
      </c>
      <c r="S59" s="571">
        <f t="shared" si="10"/>
        <v>1.7710000000000008</v>
      </c>
      <c r="T59" s="573">
        <v>3.5599999999999986E-2</v>
      </c>
    </row>
    <row r="60" spans="2:20" ht="28" customHeight="1" thickBot="1" x14ac:dyDescent="0.35">
      <c r="B60" s="807">
        <f t="shared" si="6"/>
        <v>56</v>
      </c>
      <c r="C60" s="859" t="str">
        <f>Deltakerliste!C63</f>
        <v>Arne</v>
      </c>
      <c r="D60" s="859" t="str">
        <f>Deltakerliste!D63</f>
        <v>Mikkelsen</v>
      </c>
      <c r="E60" s="120" t="str">
        <f t="shared" si="12"/>
        <v>ArneMikkelsen</v>
      </c>
      <c r="F60" s="859">
        <f>_xlfn.XLOOKUP(E60,Deltakerliste!E$5:E$98,Deltakerliste!F$5:F$98)</f>
        <v>521022</v>
      </c>
      <c r="G60" s="858" t="str">
        <f>_xlfn.XLOOKUP(E60,Deltakerliste!E$5:E$98,Deltakerliste!G$5:G$98)</f>
        <v>H</v>
      </c>
      <c r="H60" s="856">
        <f>_xlfn.XLOOKUP(E60,Deltakerliste!E$5:E$98,Deltakerliste!H$5:H$98)</f>
        <v>2</v>
      </c>
      <c r="I60" s="857">
        <f>_xlfn.XLOOKUP(E60,Deltakerliste!E$5:E$98,Deltakerliste!I$5:I$98)</f>
        <v>1953</v>
      </c>
      <c r="J60" s="590">
        <f t="shared" ca="1" si="13"/>
        <v>73</v>
      </c>
      <c r="K60" s="589">
        <f t="shared" ca="1" si="11"/>
        <v>1.5329999999999999</v>
      </c>
      <c r="L60" s="441"/>
      <c r="M60" s="122"/>
      <c r="N60" s="11"/>
      <c r="P60" s="570">
        <f t="shared" si="8"/>
        <v>66</v>
      </c>
      <c r="Q60" s="571">
        <f t="shared" si="9"/>
        <v>1.3209999999999997</v>
      </c>
      <c r="R60" s="572">
        <v>2.6000000000000023E-2</v>
      </c>
      <c r="S60" s="571">
        <f t="shared" si="10"/>
        <v>1.8066000000000009</v>
      </c>
      <c r="T60" s="573">
        <v>3.5599999999999986E-2</v>
      </c>
    </row>
    <row r="61" spans="2:20" ht="28" hidden="1" customHeight="1" thickBot="1" x14ac:dyDescent="0.35">
      <c r="B61" s="807">
        <f t="shared" si="6"/>
        <v>57</v>
      </c>
      <c r="C61" s="859" t="str">
        <f>Deltakerliste!C64</f>
        <v>Odd</v>
      </c>
      <c r="D61" s="859" t="str">
        <f>Deltakerliste!D64</f>
        <v>Musum</v>
      </c>
      <c r="E61" s="120" t="str">
        <f t="shared" si="12"/>
        <v>OddMusum</v>
      </c>
      <c r="F61" s="859">
        <f>_xlfn.XLOOKUP(E61,Deltakerliste!E$5:E$98,Deltakerliste!F$5:F$98)</f>
        <v>202040</v>
      </c>
      <c r="G61" s="858" t="str">
        <f>_xlfn.XLOOKUP(E61,Deltakerliste!E$5:E$98,Deltakerliste!G$5:G$98)</f>
        <v>H</v>
      </c>
      <c r="H61" s="856">
        <f>_xlfn.XLOOKUP(E61,Deltakerliste!E$5:E$98,Deltakerliste!H$5:H$98)</f>
        <v>2</v>
      </c>
      <c r="I61" s="857">
        <f>_xlfn.XLOOKUP(E61,Deltakerliste!E$5:E$98,Deltakerliste!I$5:I$98)</f>
        <v>1942</v>
      </c>
      <c r="J61" s="590">
        <f t="shared" ca="1" si="13"/>
        <v>84</v>
      </c>
      <c r="K61" s="589">
        <f t="shared" ca="1" si="11"/>
        <v>2.1509999999999998</v>
      </c>
      <c r="L61" s="441"/>
      <c r="M61" s="122"/>
      <c r="N61" s="11"/>
      <c r="P61" s="570">
        <f t="shared" si="8"/>
        <v>67</v>
      </c>
      <c r="Q61" s="571">
        <f t="shared" si="9"/>
        <v>1.3469999999999998</v>
      </c>
      <c r="R61" s="572">
        <v>2.6000000000000023E-2</v>
      </c>
      <c r="S61" s="571">
        <f t="shared" si="10"/>
        <v>1.8422000000000009</v>
      </c>
      <c r="T61" s="573">
        <v>3.5599999999999986E-2</v>
      </c>
    </row>
    <row r="62" spans="2:20" ht="28" customHeight="1" thickBot="1" x14ac:dyDescent="0.35">
      <c r="B62" s="807">
        <f t="shared" si="6"/>
        <v>58</v>
      </c>
      <c r="C62" s="859" t="str">
        <f>Deltakerliste!C65</f>
        <v>Atle</v>
      </c>
      <c r="D62" s="859" t="str">
        <f>Deltakerliste!D65</f>
        <v>Mørk</v>
      </c>
      <c r="E62" s="120" t="str">
        <f t="shared" si="12"/>
        <v>AtleMørk</v>
      </c>
      <c r="F62" s="859">
        <f>_xlfn.XLOOKUP(E62,Deltakerliste!E$5:E$98,Deltakerliste!F$5:F$98)</f>
        <v>540164</v>
      </c>
      <c r="G62" s="858" t="str">
        <f>_xlfn.XLOOKUP(E62,Deltakerliste!E$5:E$98,Deltakerliste!G$5:G$98)</f>
        <v>H</v>
      </c>
      <c r="H62" s="856">
        <f>_xlfn.XLOOKUP(E62,Deltakerliste!E$5:E$98,Deltakerliste!H$5:H$98)</f>
        <v>2</v>
      </c>
      <c r="I62" s="857">
        <f>_xlfn.XLOOKUP(E62,Deltakerliste!E$5:E$98,Deltakerliste!I$5:I$98)</f>
        <v>1949</v>
      </c>
      <c r="J62" s="590">
        <f t="shared" ca="1" si="13"/>
        <v>77</v>
      </c>
      <c r="K62" s="589">
        <f t="shared" ca="1" si="11"/>
        <v>1.7050000000000001</v>
      </c>
      <c r="L62" s="441"/>
      <c r="M62" s="122"/>
      <c r="N62" s="11"/>
      <c r="P62" s="570">
        <f t="shared" si="8"/>
        <v>68</v>
      </c>
      <c r="Q62" s="571">
        <f t="shared" si="9"/>
        <v>1.3729999999999998</v>
      </c>
      <c r="R62" s="572">
        <v>2.6000000000000023E-2</v>
      </c>
      <c r="S62" s="571">
        <f t="shared" si="10"/>
        <v>1.877800000000001</v>
      </c>
      <c r="T62" s="573">
        <v>3.5599999999999986E-2</v>
      </c>
    </row>
    <row r="63" spans="2:20" ht="28" hidden="1" customHeight="1" thickBot="1" x14ac:dyDescent="0.35">
      <c r="B63" s="807">
        <f t="shared" si="6"/>
        <v>59</v>
      </c>
      <c r="C63" s="859" t="str">
        <f>Deltakerliste!C66</f>
        <v>Jarle</v>
      </c>
      <c r="D63" s="859" t="str">
        <f>Deltakerliste!D66</f>
        <v>Nestvold</v>
      </c>
      <c r="E63" s="120" t="str">
        <f t="shared" si="12"/>
        <v>JarleNestvold</v>
      </c>
      <c r="F63" s="859">
        <f>_xlfn.XLOOKUP(E63,Deltakerliste!E$5:E$98,Deltakerliste!F$5:F$98)</f>
        <v>228431</v>
      </c>
      <c r="G63" s="858" t="str">
        <f>_xlfn.XLOOKUP(E63,Deltakerliste!E$5:E$98,Deltakerliste!G$5:G$98)</f>
        <v>H</v>
      </c>
      <c r="H63" s="856">
        <f>_xlfn.XLOOKUP(E63,Deltakerliste!E$5:E$98,Deltakerliste!H$5:H$98)</f>
        <v>2</v>
      </c>
      <c r="I63" s="857">
        <f>_xlfn.XLOOKUP(E63,Deltakerliste!E$5:E$98,Deltakerliste!I$5:I$98)</f>
        <v>1937</v>
      </c>
      <c r="J63" s="590">
        <f t="shared" ca="1" si="13"/>
        <v>89</v>
      </c>
      <c r="K63" s="589">
        <f t="shared" ca="1" si="11"/>
        <v>2.5609999999999999</v>
      </c>
      <c r="L63" s="441"/>
      <c r="M63" s="122"/>
      <c r="N63" s="11"/>
      <c r="P63" s="570">
        <f t="shared" si="8"/>
        <v>69</v>
      </c>
      <c r="Q63" s="571">
        <f t="shared" si="9"/>
        <v>1.3989999999999998</v>
      </c>
      <c r="R63" s="572">
        <v>2.6000000000000023E-2</v>
      </c>
      <c r="S63" s="571">
        <f t="shared" si="10"/>
        <v>1.9134000000000011</v>
      </c>
      <c r="T63" s="573">
        <v>3.5599999999999986E-2</v>
      </c>
    </row>
    <row r="64" spans="2:20" ht="28" hidden="1" customHeight="1" thickBot="1" x14ac:dyDescent="0.35">
      <c r="B64" s="807">
        <f t="shared" si="6"/>
        <v>60</v>
      </c>
      <c r="C64" s="859" t="str">
        <f>Deltakerliste!C67</f>
        <v>Børge</v>
      </c>
      <c r="D64" s="859" t="str">
        <f>Deltakerliste!D67</f>
        <v>Nordli</v>
      </c>
      <c r="E64" s="120" t="str">
        <f t="shared" si="12"/>
        <v>BørgeNordli</v>
      </c>
      <c r="F64" s="859">
        <f>_xlfn.XLOOKUP(E64,Deltakerliste!E$5:E$98,Deltakerliste!F$5:F$98)</f>
        <v>282045</v>
      </c>
      <c r="G64" s="858" t="str">
        <f>_xlfn.XLOOKUP(E64,Deltakerliste!E$5:E$98,Deltakerliste!G$5:G$98)</f>
        <v>H</v>
      </c>
      <c r="H64" s="856">
        <f>_xlfn.XLOOKUP(E64,Deltakerliste!E$5:E$98,Deltakerliste!H$5:H$98)</f>
        <v>2</v>
      </c>
      <c r="I64" s="857">
        <f>_xlfn.XLOOKUP(E64,Deltakerliste!E$5:E$98,Deltakerliste!I$5:I$98)</f>
        <v>1982</v>
      </c>
      <c r="J64" s="590">
        <f t="shared" ca="1" si="13"/>
        <v>44</v>
      </c>
      <c r="K64" s="589">
        <f t="shared" ca="1" si="11"/>
        <v>1.0399999999999996</v>
      </c>
      <c r="L64" s="441"/>
      <c r="M64" s="122"/>
      <c r="N64" s="11"/>
      <c r="P64" s="570">
        <f t="shared" si="8"/>
        <v>70</v>
      </c>
      <c r="Q64" s="571">
        <f t="shared" si="9"/>
        <v>1.4249999999999998</v>
      </c>
      <c r="R64" s="572">
        <v>3.599999999999999E-2</v>
      </c>
      <c r="S64" s="571">
        <f t="shared" si="10"/>
        <v>1.9490000000000012</v>
      </c>
      <c r="T64" s="573">
        <v>4.3600000000000083E-2</v>
      </c>
    </row>
    <row r="65" spans="2:20" ht="28" customHeight="1" thickBot="1" x14ac:dyDescent="0.35">
      <c r="B65" s="807">
        <f t="shared" si="6"/>
        <v>61</v>
      </c>
      <c r="C65" s="859" t="str">
        <f>Deltakerliste!C68</f>
        <v>Øystein</v>
      </c>
      <c r="D65" s="859" t="str">
        <f>Deltakerliste!D68</f>
        <v>Nytrø</v>
      </c>
      <c r="E65" s="120" t="str">
        <f t="shared" si="12"/>
        <v>ØysteinNytrø</v>
      </c>
      <c r="F65" s="859">
        <f>_xlfn.XLOOKUP(E65,Deltakerliste!E$5:E$98,Deltakerliste!F$5:F$98)</f>
        <v>543408</v>
      </c>
      <c r="G65" s="858" t="str">
        <f>_xlfn.XLOOKUP(E65,Deltakerliste!E$5:E$98,Deltakerliste!G$5:G$98)</f>
        <v>H</v>
      </c>
      <c r="H65" s="856">
        <f>_xlfn.XLOOKUP(E65,Deltakerliste!E$5:E$98,Deltakerliste!H$5:H$98)</f>
        <v>2</v>
      </c>
      <c r="I65" s="857">
        <f>_xlfn.XLOOKUP(E65,Deltakerliste!E$5:E$98,Deltakerliste!I$5:I$98)</f>
        <v>1960</v>
      </c>
      <c r="J65" s="590">
        <f t="shared" ca="1" si="13"/>
        <v>66</v>
      </c>
      <c r="K65" s="589">
        <f t="shared" ca="1" si="11"/>
        <v>1.3209999999999997</v>
      </c>
      <c r="L65" s="441"/>
      <c r="M65" s="122"/>
      <c r="N65" s="11"/>
      <c r="P65" s="570">
        <f t="shared" si="8"/>
        <v>71</v>
      </c>
      <c r="Q65" s="571">
        <f t="shared" si="9"/>
        <v>1.4609999999999999</v>
      </c>
      <c r="R65" s="572">
        <v>3.599999999999999E-2</v>
      </c>
      <c r="S65" s="571">
        <f t="shared" si="10"/>
        <v>1.9926000000000013</v>
      </c>
      <c r="T65" s="573">
        <v>4.3600000000000083E-2</v>
      </c>
    </row>
    <row r="66" spans="2:20" ht="28" customHeight="1" thickBot="1" x14ac:dyDescent="0.35">
      <c r="B66" s="807">
        <f t="shared" si="6"/>
        <v>62</v>
      </c>
      <c r="C66" s="859" t="str">
        <f>Deltakerliste!C69</f>
        <v>Inge</v>
      </c>
      <c r="D66" s="859" t="str">
        <f>Deltakerliste!D69</f>
        <v>Nørstebø</v>
      </c>
      <c r="E66" s="120" t="str">
        <f t="shared" si="12"/>
        <v>IngeNørstebø</v>
      </c>
      <c r="F66" s="859">
        <f>_xlfn.XLOOKUP(E66,Deltakerliste!E$5:E$98,Deltakerliste!F$5:F$98)</f>
        <v>519904</v>
      </c>
      <c r="G66" s="858" t="str">
        <f>_xlfn.XLOOKUP(E66,Deltakerliste!E$5:E$98,Deltakerliste!G$5:G$98)</f>
        <v>H</v>
      </c>
      <c r="H66" s="856">
        <f>_xlfn.XLOOKUP(E66,Deltakerliste!E$5:E$98,Deltakerliste!H$5:H$98)</f>
        <v>2</v>
      </c>
      <c r="I66" s="857">
        <f>_xlfn.XLOOKUP(E66,Deltakerliste!E$5:E$98,Deltakerliste!I$5:I$98)</f>
        <v>1956</v>
      </c>
      <c r="J66" s="590">
        <f t="shared" ca="1" si="13"/>
        <v>70</v>
      </c>
      <c r="K66" s="589">
        <f t="shared" ca="1" si="11"/>
        <v>1.4249999999999998</v>
      </c>
      <c r="L66" s="441"/>
      <c r="M66" s="122"/>
      <c r="N66" s="11"/>
      <c r="P66" s="570"/>
      <c r="Q66" s="571"/>
      <c r="R66" s="572"/>
      <c r="S66" s="571"/>
      <c r="T66" s="573"/>
    </row>
    <row r="67" spans="2:20" ht="28" customHeight="1" thickBot="1" x14ac:dyDescent="0.35">
      <c r="B67" s="807">
        <f t="shared" si="6"/>
        <v>63</v>
      </c>
      <c r="C67" s="859" t="str">
        <f>Deltakerliste!C70</f>
        <v>Gunnhild</v>
      </c>
      <c r="D67" s="859" t="str">
        <f>Deltakerliste!D70</f>
        <v>Oftedal</v>
      </c>
      <c r="E67" s="120" t="str">
        <f t="shared" si="12"/>
        <v>GunnhildOftedal</v>
      </c>
      <c r="F67" s="859">
        <f>_xlfn.XLOOKUP(E67,Deltakerliste!E$5:E$98,Deltakerliste!F$5:F$98)</f>
        <v>277407</v>
      </c>
      <c r="G67" s="858" t="str">
        <f>_xlfn.XLOOKUP(E67,Deltakerliste!E$5:E$98,Deltakerliste!G$5:G$98)</f>
        <v>D</v>
      </c>
      <c r="H67" s="856">
        <f>_xlfn.XLOOKUP(E67,Deltakerliste!E$5:E$98,Deltakerliste!H$5:H$98)</f>
        <v>4</v>
      </c>
      <c r="I67" s="857">
        <f>_xlfn.XLOOKUP(E67,Deltakerliste!E$5:E$98,Deltakerliste!I$5:I$98)</f>
        <v>1953</v>
      </c>
      <c r="J67" s="590">
        <f t="shared" ca="1" si="13"/>
        <v>73</v>
      </c>
      <c r="K67" s="589">
        <f t="shared" ca="1" si="11"/>
        <v>2.0798000000000014</v>
      </c>
      <c r="L67" s="441"/>
      <c r="M67" s="122"/>
      <c r="N67" s="11"/>
      <c r="P67" s="570">
        <f>P65+1</f>
        <v>72</v>
      </c>
      <c r="Q67" s="571">
        <f>Q65+R65</f>
        <v>1.4969999999999999</v>
      </c>
      <c r="R67" s="572">
        <v>3.599999999999999E-2</v>
      </c>
      <c r="S67" s="571">
        <f>S65+T65</f>
        <v>2.0362000000000013</v>
      </c>
      <c r="T67" s="573">
        <v>4.3600000000000083E-2</v>
      </c>
    </row>
    <row r="68" spans="2:20" ht="28" customHeight="1" thickBot="1" x14ac:dyDescent="0.35">
      <c r="B68" s="807">
        <f t="shared" si="6"/>
        <v>64</v>
      </c>
      <c r="C68" s="859" t="str">
        <f>Deltakerliste!C71</f>
        <v>Harald</v>
      </c>
      <c r="D68" s="859" t="str">
        <f>Deltakerliste!D71</f>
        <v>Oftedal</v>
      </c>
      <c r="E68" s="120" t="str">
        <f t="shared" si="12"/>
        <v>HaraldOftedal</v>
      </c>
      <c r="F68" s="859">
        <f>_xlfn.XLOOKUP(E68,Deltakerliste!E$5:E$98,Deltakerliste!F$5:F$98)</f>
        <v>527353</v>
      </c>
      <c r="G68" s="858" t="str">
        <f>_xlfn.XLOOKUP(E68,Deltakerliste!E$5:E$98,Deltakerliste!G$5:G$98)</f>
        <v>H</v>
      </c>
      <c r="H68" s="856">
        <f>_xlfn.XLOOKUP(E68,Deltakerliste!E$5:E$98,Deltakerliste!H$5:H$98)</f>
        <v>2</v>
      </c>
      <c r="I68" s="857">
        <f>_xlfn.XLOOKUP(E68,Deltakerliste!E$5:E$98,Deltakerliste!I$5:I$98)</f>
        <v>1952</v>
      </c>
      <c r="J68" s="590">
        <f t="shared" ca="1" si="13"/>
        <v>74</v>
      </c>
      <c r="K68" s="589">
        <f t="shared" ca="1" si="11"/>
        <v>1.569</v>
      </c>
      <c r="L68" s="441"/>
      <c r="M68" s="122"/>
      <c r="N68" s="11"/>
      <c r="P68" s="570">
        <f t="shared" si="8"/>
        <v>73</v>
      </c>
      <c r="Q68" s="571">
        <f t="shared" si="9"/>
        <v>1.5329999999999999</v>
      </c>
      <c r="R68" s="572">
        <v>3.599999999999999E-2</v>
      </c>
      <c r="S68" s="571">
        <f t="shared" si="10"/>
        <v>2.0798000000000014</v>
      </c>
      <c r="T68" s="573">
        <v>4.3600000000000083E-2</v>
      </c>
    </row>
    <row r="69" spans="2:20" ht="28" customHeight="1" thickBot="1" x14ac:dyDescent="0.35">
      <c r="B69" s="807">
        <f t="shared" si="6"/>
        <v>65</v>
      </c>
      <c r="C69" s="859" t="str">
        <f>Deltakerliste!C72</f>
        <v>Kåre</v>
      </c>
      <c r="D69" s="859" t="str">
        <f>Deltakerliste!D72</f>
        <v>Onsøyen</v>
      </c>
      <c r="E69" s="120" t="str">
        <f t="shared" si="12"/>
        <v>KåreOnsøyen</v>
      </c>
      <c r="F69" s="859">
        <f>_xlfn.XLOOKUP(E69,Deltakerliste!E$5:E$98,Deltakerliste!F$5:F$98)</f>
        <v>520904</v>
      </c>
      <c r="G69" s="858" t="str">
        <f>_xlfn.XLOOKUP(E69,Deltakerliste!E$5:E$98,Deltakerliste!G$5:G$98)</f>
        <v>H</v>
      </c>
      <c r="H69" s="856">
        <f>_xlfn.XLOOKUP(E69,Deltakerliste!E$5:E$98,Deltakerliste!H$5:H$98)</f>
        <v>2</v>
      </c>
      <c r="I69" s="857">
        <f>_xlfn.XLOOKUP(E69,Deltakerliste!E$5:E$98,Deltakerliste!I$5:I$98)</f>
        <v>1948</v>
      </c>
      <c r="J69" s="590">
        <f t="shared" ca="1" si="13"/>
        <v>78</v>
      </c>
      <c r="K69" s="589">
        <f t="shared" ref="K69:K79" ca="1" si="14">VLOOKUP(J69,P$6:T$91,H69,FALSE)</f>
        <v>1.7550000000000001</v>
      </c>
      <c r="L69" s="441"/>
      <c r="M69" s="122"/>
      <c r="N69" s="11"/>
      <c r="P69" s="570">
        <f t="shared" si="8"/>
        <v>74</v>
      </c>
      <c r="Q69" s="571">
        <f t="shared" si="9"/>
        <v>1.569</v>
      </c>
      <c r="R69" s="572">
        <v>3.599999999999999E-2</v>
      </c>
      <c r="S69" s="571">
        <f t="shared" si="10"/>
        <v>2.1234000000000015</v>
      </c>
      <c r="T69" s="573">
        <v>4.3600000000000083E-2</v>
      </c>
    </row>
    <row r="70" spans="2:20" ht="28" hidden="1" customHeight="1" thickBot="1" x14ac:dyDescent="0.35">
      <c r="B70" s="807">
        <f t="shared" si="6"/>
        <v>66</v>
      </c>
      <c r="C70" s="859" t="str">
        <f>Deltakerliste!C73</f>
        <v>Grete Berge</v>
      </c>
      <c r="D70" s="859" t="str">
        <f>Deltakerliste!D73</f>
        <v>Owren</v>
      </c>
      <c r="E70" s="120" t="str">
        <f t="shared" si="12"/>
        <v>Grete BergeOwren</v>
      </c>
      <c r="F70" s="859">
        <f>_xlfn.XLOOKUP(E70,Deltakerliste!E$5:E$98,Deltakerliste!F$5:F$98)</f>
        <v>513582</v>
      </c>
      <c r="G70" s="858" t="str">
        <f>_xlfn.XLOOKUP(E70,Deltakerliste!E$5:E$98,Deltakerliste!G$5:G$98)</f>
        <v>D</v>
      </c>
      <c r="H70" s="856">
        <f>_xlfn.XLOOKUP(E70,Deltakerliste!E$5:E$98,Deltakerliste!H$5:H$98)</f>
        <v>4</v>
      </c>
      <c r="I70" s="857">
        <f>_xlfn.XLOOKUP(E70,Deltakerliste!E$5:E$98,Deltakerliste!I$5:I$98)</f>
        <v>1958</v>
      </c>
      <c r="J70" s="590">
        <f t="shared" ca="1" si="13"/>
        <v>68</v>
      </c>
      <c r="K70" s="589">
        <f t="shared" ca="1" si="14"/>
        <v>1.877800000000001</v>
      </c>
      <c r="L70" s="441"/>
      <c r="M70" s="122"/>
      <c r="N70" s="11"/>
      <c r="P70" s="570">
        <f t="shared" si="8"/>
        <v>75</v>
      </c>
      <c r="Q70" s="571">
        <f t="shared" si="9"/>
        <v>1.605</v>
      </c>
      <c r="R70" s="572">
        <v>0.05</v>
      </c>
      <c r="S70" s="571">
        <f t="shared" si="10"/>
        <v>2.1670000000000016</v>
      </c>
      <c r="T70" s="573">
        <v>5.7600000000000054E-2</v>
      </c>
    </row>
    <row r="71" spans="2:20" ht="28" customHeight="1" thickBot="1" x14ac:dyDescent="0.35">
      <c r="B71" s="807">
        <f t="shared" si="6"/>
        <v>67</v>
      </c>
      <c r="C71" s="859" t="str">
        <f>Deltakerliste!C74</f>
        <v>Egil</v>
      </c>
      <c r="D71" s="859" t="str">
        <f>Deltakerliste!D74</f>
        <v>Repvik</v>
      </c>
      <c r="E71" s="120" t="str">
        <f t="shared" si="12"/>
        <v>EgilRepvik</v>
      </c>
      <c r="F71" s="859">
        <f>_xlfn.XLOOKUP(E71,Deltakerliste!E$5:E$98,Deltakerliste!F$5:F$98)</f>
        <v>520862</v>
      </c>
      <c r="G71" s="858" t="str">
        <f>_xlfn.XLOOKUP(E71,Deltakerliste!E$5:E$98,Deltakerliste!G$5:G$98)</f>
        <v>H</v>
      </c>
      <c r="H71" s="856">
        <f>_xlfn.XLOOKUP(E71,Deltakerliste!E$5:E$98,Deltakerliste!H$5:H$98)</f>
        <v>2</v>
      </c>
      <c r="I71" s="857">
        <f>_xlfn.XLOOKUP(E71,Deltakerliste!E$5:E$98,Deltakerliste!I$5:I$98)</f>
        <v>1946</v>
      </c>
      <c r="J71" s="590">
        <f t="shared" ca="1" si="13"/>
        <v>80</v>
      </c>
      <c r="K71" s="589">
        <f t="shared" ca="1" si="14"/>
        <v>1.8550000000000002</v>
      </c>
      <c r="L71" s="441"/>
      <c r="M71" s="122"/>
      <c r="N71" s="11"/>
      <c r="P71" s="570">
        <f t="shared" si="8"/>
        <v>76</v>
      </c>
      <c r="Q71" s="571">
        <f t="shared" si="9"/>
        <v>1.655</v>
      </c>
      <c r="R71" s="572">
        <v>0.05</v>
      </c>
      <c r="S71" s="571">
        <f t="shared" si="10"/>
        <v>2.2246000000000015</v>
      </c>
      <c r="T71" s="573">
        <v>5.7600000000000054E-2</v>
      </c>
    </row>
    <row r="72" spans="2:20" ht="28" hidden="1" customHeight="1" thickBot="1" x14ac:dyDescent="0.35">
      <c r="B72" s="807">
        <f t="shared" si="6"/>
        <v>68</v>
      </c>
      <c r="C72" s="859" t="str">
        <f>Deltakerliste!C75</f>
        <v xml:space="preserve">Bjørn </v>
      </c>
      <c r="D72" s="859" t="str">
        <f>Deltakerliste!D75</f>
        <v>Rindstad</v>
      </c>
      <c r="E72" s="120" t="str">
        <f t="shared" ref="E72:E90" si="15">_xlfn.CONCAT(C72:D72)</f>
        <v>Bjørn Rindstad</v>
      </c>
      <c r="F72" s="859">
        <f>_xlfn.XLOOKUP(E72,Deltakerliste!E$5:E$98,Deltakerliste!F$5:F$98)</f>
        <v>241255</v>
      </c>
      <c r="G72" s="858" t="str">
        <f>_xlfn.XLOOKUP(E72,Deltakerliste!E$5:E$98,Deltakerliste!G$5:G$98)</f>
        <v>H</v>
      </c>
      <c r="H72" s="856">
        <f>_xlfn.XLOOKUP(E72,Deltakerliste!E$5:E$98,Deltakerliste!H$5:H$98)</f>
        <v>2</v>
      </c>
      <c r="I72" s="857">
        <f>_xlfn.XLOOKUP(E72,Deltakerliste!E$5:E$98,Deltakerliste!I$5:I$98)</f>
        <v>1951</v>
      </c>
      <c r="J72" s="590">
        <f t="shared" ca="1" si="13"/>
        <v>75</v>
      </c>
      <c r="K72" s="589">
        <f t="shared" ca="1" si="14"/>
        <v>1.605</v>
      </c>
      <c r="L72" s="441"/>
      <c r="M72" s="122"/>
      <c r="N72" s="11"/>
      <c r="P72" s="570">
        <f t="shared" si="8"/>
        <v>77</v>
      </c>
      <c r="Q72" s="571">
        <f t="shared" si="9"/>
        <v>1.7050000000000001</v>
      </c>
      <c r="R72" s="572">
        <v>0.05</v>
      </c>
      <c r="S72" s="571">
        <f t="shared" si="10"/>
        <v>2.2822000000000013</v>
      </c>
      <c r="T72" s="573">
        <v>5.7600000000000054E-2</v>
      </c>
    </row>
    <row r="73" spans="2:20" ht="26" hidden="1" thickBot="1" x14ac:dyDescent="0.35">
      <c r="B73" s="807">
        <f t="shared" si="6"/>
        <v>69</v>
      </c>
      <c r="C73" s="859" t="str">
        <f>Deltakerliste!C76</f>
        <v>Øyvind</v>
      </c>
      <c r="D73" s="859" t="str">
        <f>Deltakerliste!D76</f>
        <v>Rogndalen</v>
      </c>
      <c r="E73" s="120" t="str">
        <f t="shared" si="15"/>
        <v>ØyvindRogndalen</v>
      </c>
      <c r="F73" s="859">
        <f>_xlfn.XLOOKUP(E73,Deltakerliste!E$5:E$98,Deltakerliste!F$5:F$98)</f>
        <v>526029</v>
      </c>
      <c r="G73" s="858" t="str">
        <f>_xlfn.XLOOKUP(E73,Deltakerliste!E$5:E$98,Deltakerliste!G$5:G$98)</f>
        <v>H</v>
      </c>
      <c r="H73" s="856">
        <f>_xlfn.XLOOKUP(E73,Deltakerliste!E$5:E$98,Deltakerliste!H$5:H$98)</f>
        <v>2</v>
      </c>
      <c r="I73" s="857">
        <f>_xlfn.XLOOKUP(E73,Deltakerliste!E$5:E$98,Deltakerliste!I$5:I$98)</f>
        <v>1945</v>
      </c>
      <c r="J73" s="590">
        <f t="shared" ref="J73:J88" ca="1" si="16">YEAR(S$3)-I73</f>
        <v>81</v>
      </c>
      <c r="K73" s="589">
        <f t="shared" ca="1" si="14"/>
        <v>1.9290000000000003</v>
      </c>
      <c r="L73" s="441"/>
      <c r="M73" s="122"/>
      <c r="N73" s="11"/>
      <c r="P73" s="570">
        <f t="shared" si="8"/>
        <v>78</v>
      </c>
      <c r="Q73" s="571">
        <f t="shared" si="9"/>
        <v>1.7550000000000001</v>
      </c>
      <c r="R73" s="572">
        <v>0.05</v>
      </c>
      <c r="S73" s="571">
        <f t="shared" si="10"/>
        <v>2.3398000000000012</v>
      </c>
      <c r="T73" s="573">
        <v>5.7600000000000054E-2</v>
      </c>
    </row>
    <row r="74" spans="2:20" ht="26" thickBot="1" x14ac:dyDescent="0.35">
      <c r="B74" s="807">
        <f t="shared" si="6"/>
        <v>70</v>
      </c>
      <c r="C74" s="859" t="str">
        <f>Deltakerliste!C77</f>
        <v>Leif</v>
      </c>
      <c r="D74" s="859" t="str">
        <f>Deltakerliste!D77</f>
        <v>Røhjell</v>
      </c>
      <c r="E74" s="120" t="str">
        <f t="shared" si="15"/>
        <v>LeifRøhjell</v>
      </c>
      <c r="F74" s="859">
        <f>_xlfn.XLOOKUP(E74,Deltakerliste!E$5:E$98,Deltakerliste!F$5:F$98)</f>
        <v>527371</v>
      </c>
      <c r="G74" s="858" t="str">
        <f>_xlfn.XLOOKUP(E74,Deltakerliste!E$5:E$98,Deltakerliste!G$5:G$98)</f>
        <v>H</v>
      </c>
      <c r="H74" s="856">
        <f>_xlfn.XLOOKUP(E74,Deltakerliste!E$5:E$98,Deltakerliste!H$5:H$98)</f>
        <v>2</v>
      </c>
      <c r="I74" s="857">
        <f>_xlfn.XLOOKUP(E74,Deltakerliste!E$5:E$98,Deltakerliste!I$5:I$98)</f>
        <v>1944</v>
      </c>
      <c r="J74" s="590">
        <f t="shared" ca="1" si="16"/>
        <v>82</v>
      </c>
      <c r="K74" s="589">
        <f t="shared" ca="1" si="14"/>
        <v>2.0030000000000001</v>
      </c>
      <c r="L74" s="441"/>
      <c r="M74" s="122"/>
      <c r="N74" s="11"/>
      <c r="P74" s="570">
        <f t="shared" si="8"/>
        <v>79</v>
      </c>
      <c r="Q74" s="571">
        <f t="shared" si="9"/>
        <v>1.8050000000000002</v>
      </c>
      <c r="R74" s="572">
        <v>0.05</v>
      </c>
      <c r="S74" s="571">
        <f t="shared" si="10"/>
        <v>2.3974000000000011</v>
      </c>
      <c r="T74" s="573">
        <v>5.7600000000000054E-2</v>
      </c>
    </row>
    <row r="75" spans="2:20" ht="26" hidden="1" thickBot="1" x14ac:dyDescent="0.35">
      <c r="B75" s="807">
        <f t="shared" ref="B75:B89" si="17">B74+1</f>
        <v>71</v>
      </c>
      <c r="C75" s="859" t="str">
        <f>Deltakerliste!C78</f>
        <v>May-Lis</v>
      </c>
      <c r="D75" s="859" t="str">
        <f>Deltakerliste!D78</f>
        <v>Rønning</v>
      </c>
      <c r="E75" s="120" t="str">
        <f t="shared" si="15"/>
        <v>May-LisRønning</v>
      </c>
      <c r="F75" s="859">
        <f>_xlfn.XLOOKUP(E75,Deltakerliste!E$5:E$98,Deltakerliste!F$5:F$98)</f>
        <v>256948</v>
      </c>
      <c r="G75" s="858" t="str">
        <f>_xlfn.XLOOKUP(E75,Deltakerliste!E$5:E$98,Deltakerliste!G$5:G$98)</f>
        <v>D</v>
      </c>
      <c r="H75" s="856">
        <f>_xlfn.XLOOKUP(E75,Deltakerliste!E$5:E$98,Deltakerliste!H$5:H$98)</f>
        <v>4</v>
      </c>
      <c r="I75" s="857">
        <f>_xlfn.XLOOKUP(E75,Deltakerliste!E$5:E$98,Deltakerliste!I$5:I$98)</f>
        <v>1970</v>
      </c>
      <c r="J75" s="590">
        <f t="shared" ca="1" si="16"/>
        <v>56</v>
      </c>
      <c r="K75" s="589">
        <f t="shared" ca="1" si="14"/>
        <v>1.5329999999999997</v>
      </c>
      <c r="L75" s="125"/>
      <c r="M75" s="122"/>
      <c r="N75" s="11"/>
      <c r="P75" s="570">
        <f t="shared" si="8"/>
        <v>80</v>
      </c>
      <c r="Q75" s="571">
        <f t="shared" si="9"/>
        <v>1.8550000000000002</v>
      </c>
      <c r="R75" s="572">
        <v>7.4000000000000024E-2</v>
      </c>
      <c r="S75" s="571">
        <f t="shared" si="10"/>
        <v>2.455000000000001</v>
      </c>
      <c r="T75" s="573">
        <v>8.1600000000000075E-2</v>
      </c>
    </row>
    <row r="76" spans="2:20" ht="26" hidden="1" thickBot="1" x14ac:dyDescent="0.35">
      <c r="B76" s="807">
        <f t="shared" si="17"/>
        <v>72</v>
      </c>
      <c r="C76" s="859" t="str">
        <f>Deltakerliste!C79</f>
        <v>Viggo</v>
      </c>
      <c r="D76" s="859" t="str">
        <f>Deltakerliste!D79</f>
        <v>Schei</v>
      </c>
      <c r="E76" s="120" t="str">
        <f t="shared" si="15"/>
        <v>ViggoSchei</v>
      </c>
      <c r="F76" s="859">
        <f>_xlfn.XLOOKUP(E76,Deltakerliste!E$5:E$98,Deltakerliste!F$5:F$98)</f>
        <v>243746</v>
      </c>
      <c r="G76" s="858" t="str">
        <f>_xlfn.XLOOKUP(E76,Deltakerliste!E$5:E$98,Deltakerliste!G$5:G$98)</f>
        <v>H</v>
      </c>
      <c r="H76" s="856">
        <f>_xlfn.XLOOKUP(E76,Deltakerliste!E$5:E$98,Deltakerliste!H$5:H$98)</f>
        <v>2</v>
      </c>
      <c r="I76" s="857">
        <f>_xlfn.XLOOKUP(E76,Deltakerliste!E$5:E$98,Deltakerliste!I$5:I$98)</f>
        <v>1951</v>
      </c>
      <c r="J76" s="590">
        <f t="shared" ca="1" si="16"/>
        <v>75</v>
      </c>
      <c r="K76" s="589">
        <f t="shared" ca="1" si="14"/>
        <v>1.605</v>
      </c>
      <c r="L76" s="125"/>
      <c r="M76" s="11"/>
      <c r="N76" s="11"/>
      <c r="P76" s="570">
        <f t="shared" si="8"/>
        <v>81</v>
      </c>
      <c r="Q76" s="571">
        <f t="shared" si="9"/>
        <v>1.9290000000000003</v>
      </c>
      <c r="R76" s="572">
        <v>7.4000000000000024E-2</v>
      </c>
      <c r="S76" s="571">
        <f t="shared" si="10"/>
        <v>2.5366000000000009</v>
      </c>
      <c r="T76" s="573">
        <v>8.1600000000000075E-2</v>
      </c>
    </row>
    <row r="77" spans="2:20" ht="26" thickBot="1" x14ac:dyDescent="0.35">
      <c r="B77" s="807">
        <f t="shared" si="17"/>
        <v>73</v>
      </c>
      <c r="C77" s="859" t="str">
        <f>Deltakerliste!C80</f>
        <v>Øyvind</v>
      </c>
      <c r="D77" s="859" t="str">
        <f>Deltakerliste!D80</f>
        <v>Schjelderup</v>
      </c>
      <c r="E77" s="120" t="str">
        <f t="shared" si="15"/>
        <v>ØyvindSchjelderup</v>
      </c>
      <c r="F77" s="859">
        <f>_xlfn.XLOOKUP(E77,Deltakerliste!E$5:E$98,Deltakerliste!F$5:F$98)</f>
        <v>516890</v>
      </c>
      <c r="G77" s="858" t="str">
        <f>_xlfn.XLOOKUP(E77,Deltakerliste!E$5:E$98,Deltakerliste!G$5:G$98)</f>
        <v>H</v>
      </c>
      <c r="H77" s="856">
        <f>_xlfn.XLOOKUP(E77,Deltakerliste!E$5:E$98,Deltakerliste!H$5:H$98)</f>
        <v>2</v>
      </c>
      <c r="I77" s="857">
        <f>_xlfn.XLOOKUP(E77,Deltakerliste!E$5:E$98,Deltakerliste!I$5:I$98)</f>
        <v>1965</v>
      </c>
      <c r="J77" s="590">
        <f t="shared" ca="1" si="16"/>
        <v>61</v>
      </c>
      <c r="K77" s="589">
        <f t="shared" ca="1" si="14"/>
        <v>1.2190000000000001</v>
      </c>
      <c r="L77" s="125"/>
      <c r="M77" s="11"/>
      <c r="N77" s="11"/>
      <c r="P77" s="570">
        <f t="shared" si="8"/>
        <v>82</v>
      </c>
      <c r="Q77" s="571">
        <f t="shared" si="9"/>
        <v>2.0030000000000001</v>
      </c>
      <c r="R77" s="572">
        <v>7.4000000000000024E-2</v>
      </c>
      <c r="S77" s="571">
        <f t="shared" si="10"/>
        <v>2.6182000000000007</v>
      </c>
      <c r="T77" s="573">
        <v>8.1600000000000075E-2</v>
      </c>
    </row>
    <row r="78" spans="2:20" ht="26" thickBot="1" x14ac:dyDescent="0.35">
      <c r="B78" s="807">
        <f t="shared" si="17"/>
        <v>74</v>
      </c>
      <c r="C78" s="859" t="str">
        <f>Deltakerliste!C81</f>
        <v>Bente</v>
      </c>
      <c r="D78" s="859" t="str">
        <f>Deltakerliste!D81</f>
        <v>Skorge</v>
      </c>
      <c r="E78" s="120" t="str">
        <f t="shared" si="15"/>
        <v>BenteSkorge</v>
      </c>
      <c r="F78" s="859">
        <f>_xlfn.XLOOKUP(E78,Deltakerliste!E$5:E$98,Deltakerliste!F$5:F$98)</f>
        <v>275724</v>
      </c>
      <c r="G78" s="858" t="str">
        <f>_xlfn.XLOOKUP(E78,Deltakerliste!E$5:E$98,Deltakerliste!G$5:G$98)</f>
        <v>D</v>
      </c>
      <c r="H78" s="856">
        <f>_xlfn.XLOOKUP(E78,Deltakerliste!E$5:E$98,Deltakerliste!H$5:H$98)</f>
        <v>4</v>
      </c>
      <c r="I78" s="857">
        <f>_xlfn.XLOOKUP(E78,Deltakerliste!E$5:E$98,Deltakerliste!I$5:I$98)</f>
        <v>1959</v>
      </c>
      <c r="J78" s="590">
        <f t="shared" ca="1" si="16"/>
        <v>67</v>
      </c>
      <c r="K78" s="589">
        <f t="shared" ca="1" si="14"/>
        <v>1.8422000000000009</v>
      </c>
      <c r="L78" s="125"/>
      <c r="M78" s="11"/>
      <c r="N78" s="11"/>
      <c r="P78" s="570"/>
      <c r="Q78" s="571"/>
      <c r="R78" s="572"/>
      <c r="S78" s="571"/>
      <c r="T78" s="573"/>
    </row>
    <row r="79" spans="2:20" ht="26" thickBot="1" x14ac:dyDescent="0.35">
      <c r="B79" s="807">
        <f t="shared" si="17"/>
        <v>75</v>
      </c>
      <c r="C79" s="859" t="str">
        <f>Deltakerliste!C82</f>
        <v>Reidun</v>
      </c>
      <c r="D79" s="859" t="str">
        <f>Deltakerliste!D82</f>
        <v>Smaavik</v>
      </c>
      <c r="E79" s="120" t="str">
        <f t="shared" si="15"/>
        <v>ReidunSmaavik</v>
      </c>
      <c r="F79" s="859">
        <f>_xlfn.XLOOKUP(E79,Deltakerliste!E$5:E$98,Deltakerliste!F$5:F$98)</f>
        <v>521321</v>
      </c>
      <c r="G79" s="858" t="str">
        <f>_xlfn.XLOOKUP(E79,Deltakerliste!E$5:E$98,Deltakerliste!G$5:G$98)</f>
        <v>D</v>
      </c>
      <c r="H79" s="856">
        <f>_xlfn.XLOOKUP(E79,Deltakerliste!E$5:E$98,Deltakerliste!H$5:H$98)</f>
        <v>4</v>
      </c>
      <c r="I79" s="857">
        <f>_xlfn.XLOOKUP(E79,Deltakerliste!E$5:E$98,Deltakerliste!I$5:I$98)</f>
        <v>1955</v>
      </c>
      <c r="J79" s="590">
        <f t="shared" ref="J79" ca="1" si="18">YEAR(S$3)-I79</f>
        <v>71</v>
      </c>
      <c r="K79" s="589">
        <f t="shared" ca="1" si="14"/>
        <v>1.9926000000000013</v>
      </c>
      <c r="L79" s="125"/>
      <c r="M79" s="11"/>
      <c r="N79" s="11"/>
      <c r="P79" s="570"/>
      <c r="Q79" s="571"/>
      <c r="R79" s="572"/>
      <c r="S79" s="571"/>
      <c r="T79" s="573"/>
    </row>
    <row r="80" spans="2:20" ht="26" hidden="1" thickBot="1" x14ac:dyDescent="0.35">
      <c r="B80" s="807">
        <f t="shared" si="17"/>
        <v>76</v>
      </c>
      <c r="C80" s="859" t="str">
        <f>Deltakerliste!C83</f>
        <v>Kjellrun</v>
      </c>
      <c r="D80" s="859" t="str">
        <f>Deltakerliste!D83</f>
        <v>Sporild</v>
      </c>
      <c r="E80" s="120" t="str">
        <f t="shared" si="15"/>
        <v>KjellrunSporild</v>
      </c>
      <c r="F80" s="859">
        <f>_xlfn.XLOOKUP(E80,Deltakerliste!E$5:E$98,Deltakerliste!F$5:F$98)</f>
        <v>538019</v>
      </c>
      <c r="G80" s="858" t="str">
        <f>_xlfn.XLOOKUP(E80,Deltakerliste!E$5:E$98,Deltakerliste!G$5:G$98)</f>
        <v>D</v>
      </c>
      <c r="H80" s="856">
        <f>_xlfn.XLOOKUP(E80,Deltakerliste!E$5:E$98,Deltakerliste!H$5:H$98)</f>
        <v>4</v>
      </c>
      <c r="I80" s="857">
        <f>_xlfn.XLOOKUP(E80,Deltakerliste!E$5:E$98,Deltakerliste!I$5:I$98)</f>
        <v>1955</v>
      </c>
      <c r="J80" s="590">
        <f t="shared" ca="1" si="16"/>
        <v>71</v>
      </c>
      <c r="K80" s="589">
        <f t="shared" ref="K80:K90" ca="1" si="19">VLOOKUP(J80,P$6:T$91,H80,FALSE)</f>
        <v>1.9926000000000013</v>
      </c>
      <c r="L80" s="125"/>
      <c r="M80" s="11"/>
      <c r="N80" s="11"/>
      <c r="P80" s="570">
        <f>P77+1</f>
        <v>83</v>
      </c>
      <c r="Q80" s="571">
        <f>Q77+R77</f>
        <v>2.077</v>
      </c>
      <c r="R80" s="572">
        <v>7.4000000000000024E-2</v>
      </c>
      <c r="S80" s="571">
        <f>S77+T77</f>
        <v>2.6998000000000006</v>
      </c>
      <c r="T80" s="573">
        <v>8.1600000000000075E-2</v>
      </c>
    </row>
    <row r="81" spans="2:20" ht="26" hidden="1" thickBot="1" x14ac:dyDescent="0.35">
      <c r="B81" s="807">
        <f t="shared" si="17"/>
        <v>77</v>
      </c>
      <c r="C81" s="859" t="str">
        <f>Deltakerliste!C84</f>
        <v>Henry</v>
      </c>
      <c r="D81" s="859" t="str">
        <f>Deltakerliste!D84</f>
        <v>Sundsetvik</v>
      </c>
      <c r="E81" s="120" t="str">
        <f t="shared" si="15"/>
        <v>HenrySundsetvik</v>
      </c>
      <c r="F81" s="859">
        <f>_xlfn.XLOOKUP(E81,Deltakerliste!E$5:E$98,Deltakerliste!F$5:F$98)</f>
        <v>246353</v>
      </c>
      <c r="G81" s="858" t="str">
        <f>_xlfn.XLOOKUP(E81,Deltakerliste!E$5:E$98,Deltakerliste!G$5:G$98)</f>
        <v>H</v>
      </c>
      <c r="H81" s="856">
        <f>_xlfn.XLOOKUP(E81,Deltakerliste!E$5:E$98,Deltakerliste!H$5:H$98)</f>
        <v>2</v>
      </c>
      <c r="I81" s="857">
        <f>_xlfn.XLOOKUP(E81,Deltakerliste!E$5:E$98,Deltakerliste!I$5:I$98)</f>
        <v>1940</v>
      </c>
      <c r="J81" s="590">
        <f t="shared" ca="1" si="16"/>
        <v>86</v>
      </c>
      <c r="K81" s="589">
        <f t="shared" ca="1" si="19"/>
        <v>2.3089999999999997</v>
      </c>
      <c r="L81" s="125"/>
      <c r="M81" s="11"/>
      <c r="N81" s="11"/>
      <c r="P81" s="570">
        <f t="shared" ref="P81:P92" si="20">P80+1</f>
        <v>84</v>
      </c>
      <c r="Q81" s="571">
        <f t="shared" si="9"/>
        <v>2.1509999999999998</v>
      </c>
      <c r="R81" s="572">
        <v>7.4000000000000024E-2</v>
      </c>
      <c r="S81" s="571">
        <f t="shared" si="10"/>
        <v>2.7814000000000005</v>
      </c>
      <c r="T81" s="573">
        <v>8.1600000000000075E-2</v>
      </c>
    </row>
    <row r="82" spans="2:20" ht="26" hidden="1" thickBot="1" x14ac:dyDescent="0.35">
      <c r="B82" s="807">
        <f t="shared" si="17"/>
        <v>78</v>
      </c>
      <c r="C82" s="859" t="str">
        <f>Deltakerliste!C85</f>
        <v>Berit</v>
      </c>
      <c r="D82" s="859" t="str">
        <f>Deltakerliste!D85</f>
        <v>Sunnset</v>
      </c>
      <c r="E82" s="120" t="str">
        <f t="shared" si="15"/>
        <v>BeritSunnset</v>
      </c>
      <c r="F82" s="859">
        <f>_xlfn.XLOOKUP(E82,Deltakerliste!E$5:E$98,Deltakerliste!F$5:F$98)</f>
        <v>537944</v>
      </c>
      <c r="G82" s="858" t="str">
        <f>_xlfn.XLOOKUP(E82,Deltakerliste!E$5:E$98,Deltakerliste!G$5:G$98)</f>
        <v>D</v>
      </c>
      <c r="H82" s="856">
        <f>_xlfn.XLOOKUP(E82,Deltakerliste!E$5:E$98,Deltakerliste!H$5:H$98)</f>
        <v>4</v>
      </c>
      <c r="I82" s="857">
        <f>_xlfn.XLOOKUP(E82,Deltakerliste!E$5:E$98,Deltakerliste!I$5:I$98)</f>
        <v>1963</v>
      </c>
      <c r="J82" s="590">
        <f t="shared" ca="1" si="16"/>
        <v>63</v>
      </c>
      <c r="K82" s="589">
        <f t="shared" ca="1" si="19"/>
        <v>1.7126000000000006</v>
      </c>
      <c r="L82" s="125"/>
      <c r="M82" s="11"/>
      <c r="N82" s="11"/>
      <c r="P82" s="570">
        <f t="shared" si="20"/>
        <v>85</v>
      </c>
      <c r="Q82" s="571">
        <f t="shared" si="9"/>
        <v>2.2249999999999996</v>
      </c>
      <c r="R82" s="572">
        <v>8.3999999999999991E-2</v>
      </c>
      <c r="S82" s="571">
        <f t="shared" si="10"/>
        <v>2.8630000000000004</v>
      </c>
      <c r="T82" s="573">
        <v>8.9999999999999775E-2</v>
      </c>
    </row>
    <row r="83" spans="2:20" ht="26" hidden="1" thickBot="1" x14ac:dyDescent="0.35">
      <c r="B83" s="807">
        <f t="shared" si="17"/>
        <v>79</v>
      </c>
      <c r="C83" s="859" t="str">
        <f>Deltakerliste!C86</f>
        <v>Trine</v>
      </c>
      <c r="D83" s="859" t="str">
        <f>Deltakerliste!D86</f>
        <v>Sunnset</v>
      </c>
      <c r="E83" s="120" t="str">
        <f t="shared" si="15"/>
        <v>TrineSunnset</v>
      </c>
      <c r="F83" s="859">
        <f>_xlfn.XLOOKUP(E83,Deltakerliste!E$5:E$98,Deltakerliste!F$5:F$98)</f>
        <v>537944</v>
      </c>
      <c r="G83" s="858" t="str">
        <f>_xlfn.XLOOKUP(E83,Deltakerliste!E$5:E$98,Deltakerliste!G$5:G$98)</f>
        <v>D</v>
      </c>
      <c r="H83" s="856">
        <f>_xlfn.XLOOKUP(E83,Deltakerliste!E$5:E$98,Deltakerliste!H$5:H$98)</f>
        <v>4</v>
      </c>
      <c r="I83" s="857">
        <f>_xlfn.XLOOKUP(E83,Deltakerliste!E$5:E$98,Deltakerliste!I$5:I$98)</f>
        <v>1963</v>
      </c>
      <c r="J83" s="590">
        <f t="shared" ca="1" si="16"/>
        <v>63</v>
      </c>
      <c r="K83" s="589">
        <f t="shared" ca="1" si="19"/>
        <v>1.7126000000000006</v>
      </c>
      <c r="L83" s="11"/>
      <c r="P83" s="570">
        <f t="shared" si="20"/>
        <v>86</v>
      </c>
      <c r="Q83" s="571">
        <f t="shared" si="9"/>
        <v>2.3089999999999997</v>
      </c>
      <c r="R83" s="572">
        <v>8.3999999999999991E-2</v>
      </c>
      <c r="S83" s="571">
        <f t="shared" si="10"/>
        <v>2.9530000000000003</v>
      </c>
      <c r="T83" s="573">
        <v>8.9999999999999775E-2</v>
      </c>
    </row>
    <row r="84" spans="2:20" ht="26" thickBot="1" x14ac:dyDescent="0.35">
      <c r="B84" s="807">
        <f t="shared" si="17"/>
        <v>80</v>
      </c>
      <c r="C84" s="859" t="str">
        <f>Deltakerliste!C87</f>
        <v>Eigil</v>
      </c>
      <c r="D84" s="859" t="str">
        <f>Deltakerliste!D87</f>
        <v>Sørli</v>
      </c>
      <c r="E84" s="120" t="str">
        <f t="shared" si="15"/>
        <v>EigilSørli</v>
      </c>
      <c r="F84" s="859">
        <f>_xlfn.XLOOKUP(E84,Deltakerliste!E$5:E$98,Deltakerliste!F$5:F$98)</f>
        <v>522360</v>
      </c>
      <c r="G84" s="858" t="str">
        <f>_xlfn.XLOOKUP(E84,Deltakerliste!E$5:E$98,Deltakerliste!G$5:G$98)</f>
        <v>H</v>
      </c>
      <c r="H84" s="856">
        <f>_xlfn.XLOOKUP(E84,Deltakerliste!E$5:E$98,Deltakerliste!H$5:H$98)</f>
        <v>2</v>
      </c>
      <c r="I84" s="857">
        <f>_xlfn.XLOOKUP(E84,Deltakerliste!E$5:E$98,Deltakerliste!I$5:I$98)</f>
        <v>1940</v>
      </c>
      <c r="J84" s="590">
        <f t="shared" ca="1" si="16"/>
        <v>86</v>
      </c>
      <c r="K84" s="589">
        <f t="shared" ca="1" si="19"/>
        <v>2.3089999999999997</v>
      </c>
      <c r="L84" s="11"/>
      <c r="P84" s="570">
        <f t="shared" si="20"/>
        <v>87</v>
      </c>
      <c r="Q84" s="571">
        <f t="shared" si="9"/>
        <v>2.3929999999999998</v>
      </c>
      <c r="R84" s="572">
        <v>8.3999999999999991E-2</v>
      </c>
      <c r="S84" s="571">
        <f t="shared" si="10"/>
        <v>3.0430000000000001</v>
      </c>
      <c r="T84" s="573">
        <v>8.9999999999999775E-2</v>
      </c>
    </row>
    <row r="85" spans="2:20" ht="26" thickBot="1" x14ac:dyDescent="0.35">
      <c r="B85" s="807">
        <f t="shared" si="17"/>
        <v>81</v>
      </c>
      <c r="C85" s="859" t="str">
        <f>Deltakerliste!C88</f>
        <v>Nils Olav</v>
      </c>
      <c r="D85" s="859" t="str">
        <f>Deltakerliste!D88</f>
        <v>Vennevik</v>
      </c>
      <c r="E85" s="120" t="str">
        <f t="shared" si="15"/>
        <v>Nils OlavVennevik</v>
      </c>
      <c r="F85" s="859">
        <f>_xlfn.XLOOKUP(E85,Deltakerliste!E$5:E$98,Deltakerliste!F$5:F$98)</f>
        <v>515194</v>
      </c>
      <c r="G85" s="858" t="str">
        <f>_xlfn.XLOOKUP(E85,Deltakerliste!E$5:E$98,Deltakerliste!G$5:G$98)</f>
        <v>H</v>
      </c>
      <c r="H85" s="856">
        <f>_xlfn.XLOOKUP(E85,Deltakerliste!E$5:E$98,Deltakerliste!H$5:H$98)</f>
        <v>2</v>
      </c>
      <c r="I85" s="857">
        <f>_xlfn.XLOOKUP(E85,Deltakerliste!E$5:E$98,Deltakerliste!I$5:I$98)</f>
        <v>1948</v>
      </c>
      <c r="J85" s="590">
        <f t="shared" ca="1" si="16"/>
        <v>78</v>
      </c>
      <c r="K85" s="589">
        <f t="shared" ca="1" si="19"/>
        <v>1.7550000000000001</v>
      </c>
      <c r="L85" s="11"/>
      <c r="P85" s="570">
        <f t="shared" si="20"/>
        <v>88</v>
      </c>
      <c r="Q85" s="571">
        <f t="shared" si="9"/>
        <v>2.4769999999999999</v>
      </c>
      <c r="R85" s="572">
        <v>8.3999999999999991E-2</v>
      </c>
      <c r="S85" s="571">
        <f t="shared" si="10"/>
        <v>3.133</v>
      </c>
      <c r="T85" s="573">
        <v>8.9999999999999775E-2</v>
      </c>
    </row>
    <row r="86" spans="2:20" ht="26" thickBot="1" x14ac:dyDescent="0.35">
      <c r="B86" s="807">
        <f t="shared" si="17"/>
        <v>82</v>
      </c>
      <c r="C86" s="859" t="str">
        <f>Deltakerliste!C89</f>
        <v>Arnulf</v>
      </c>
      <c r="D86" s="859" t="str">
        <f>Deltakerliste!D89</f>
        <v>Vilmo</v>
      </c>
      <c r="E86" s="120" t="str">
        <f t="shared" si="15"/>
        <v>ArnulfVilmo</v>
      </c>
      <c r="F86" s="859">
        <f>_xlfn.XLOOKUP(E86,Deltakerliste!E$5:E$98,Deltakerliste!F$5:F$98)</f>
        <v>518325</v>
      </c>
      <c r="G86" s="858" t="str">
        <f>_xlfn.XLOOKUP(E86,Deltakerliste!E$5:E$98,Deltakerliste!G$5:G$98)</f>
        <v>H</v>
      </c>
      <c r="H86" s="856">
        <f>_xlfn.XLOOKUP(E86,Deltakerliste!E$5:E$98,Deltakerliste!H$5:H$98)</f>
        <v>2</v>
      </c>
      <c r="I86" s="857">
        <f>_xlfn.XLOOKUP(E86,Deltakerliste!E$5:E$98,Deltakerliste!I$5:I$98)</f>
        <v>1953</v>
      </c>
      <c r="J86" s="591">
        <f t="shared" ca="1" si="16"/>
        <v>73</v>
      </c>
      <c r="K86" s="589">
        <f t="shared" ca="1" si="19"/>
        <v>1.5329999999999999</v>
      </c>
      <c r="L86" s="11"/>
      <c r="P86" s="570">
        <f t="shared" si="20"/>
        <v>89</v>
      </c>
      <c r="Q86" s="571">
        <f t="shared" si="9"/>
        <v>2.5609999999999999</v>
      </c>
      <c r="R86" s="572">
        <v>8.3999999999999991E-2</v>
      </c>
      <c r="S86" s="571">
        <f t="shared" si="10"/>
        <v>3.2229999999999999</v>
      </c>
      <c r="T86" s="573">
        <v>8.9999999999999775E-2</v>
      </c>
    </row>
    <row r="87" spans="2:20" ht="26" thickBot="1" x14ac:dyDescent="0.35">
      <c r="B87" s="807">
        <f t="shared" si="17"/>
        <v>83</v>
      </c>
      <c r="C87" s="859" t="str">
        <f>Deltakerliste!C90</f>
        <v>Øystein</v>
      </c>
      <c r="D87" s="859" t="str">
        <f>Deltakerliste!D90</f>
        <v>Wiggen</v>
      </c>
      <c r="E87" s="120" t="str">
        <f t="shared" si="15"/>
        <v>ØysteinWiggen</v>
      </c>
      <c r="F87" s="859">
        <f>_xlfn.XLOOKUP(E87,Deltakerliste!E$5:E$98,Deltakerliste!F$5:F$98)</f>
        <v>519433</v>
      </c>
      <c r="G87" s="858" t="str">
        <f>_xlfn.XLOOKUP(E87,Deltakerliste!E$5:E$98,Deltakerliste!G$5:G$98)</f>
        <v>H</v>
      </c>
      <c r="H87" s="856">
        <f>_xlfn.XLOOKUP(E87,Deltakerliste!E$5:E$98,Deltakerliste!H$5:H$98)</f>
        <v>2</v>
      </c>
      <c r="I87" s="857">
        <f>_xlfn.XLOOKUP(E87,Deltakerliste!E$5:E$98,Deltakerliste!I$5:I$98)</f>
        <v>1966</v>
      </c>
      <c r="J87" s="590">
        <f t="shared" ca="1" si="16"/>
        <v>60</v>
      </c>
      <c r="K87" s="589">
        <f t="shared" ca="1" si="19"/>
        <v>1.2000000000000002</v>
      </c>
      <c r="L87" s="11"/>
      <c r="P87" s="570">
        <f t="shared" si="20"/>
        <v>90</v>
      </c>
      <c r="Q87" s="571">
        <f t="shared" si="9"/>
        <v>2.645</v>
      </c>
      <c r="R87" s="572">
        <v>8.3999999999999991E-2</v>
      </c>
      <c r="S87" s="571">
        <f t="shared" si="10"/>
        <v>3.3129999999999997</v>
      </c>
      <c r="T87" s="573">
        <v>8.9999999999999775E-2</v>
      </c>
    </row>
    <row r="88" spans="2:20" ht="26" thickBot="1" x14ac:dyDescent="0.35">
      <c r="B88" s="807">
        <f t="shared" si="17"/>
        <v>84</v>
      </c>
      <c r="C88" s="859" t="str">
        <f>Deltakerliste!C91</f>
        <v>Rolf</v>
      </c>
      <c r="D88" s="859" t="str">
        <f>Deltakerliste!D91</f>
        <v>Wærnes</v>
      </c>
      <c r="E88" s="120" t="str">
        <f t="shared" si="15"/>
        <v>RolfWærnes</v>
      </c>
      <c r="F88" s="859">
        <f>_xlfn.XLOOKUP(E88,Deltakerliste!E$5:E$98,Deltakerliste!F$5:F$98)</f>
        <v>520913</v>
      </c>
      <c r="G88" s="858" t="str">
        <f>_xlfn.XLOOKUP(E88,Deltakerliste!E$5:E$98,Deltakerliste!G$5:G$98)</f>
        <v>H</v>
      </c>
      <c r="H88" s="856">
        <f>_xlfn.XLOOKUP(E88,Deltakerliste!E$5:E$98,Deltakerliste!H$5:H$98)</f>
        <v>2</v>
      </c>
      <c r="I88" s="857">
        <f>_xlfn.XLOOKUP(E88,Deltakerliste!E$5:E$98,Deltakerliste!I$5:I$98)</f>
        <v>1951</v>
      </c>
      <c r="J88" s="590">
        <f t="shared" ca="1" si="16"/>
        <v>75</v>
      </c>
      <c r="K88" s="589">
        <f t="shared" ca="1" si="19"/>
        <v>1.605</v>
      </c>
      <c r="L88" s="11"/>
      <c r="P88" s="570">
        <f t="shared" si="20"/>
        <v>91</v>
      </c>
      <c r="Q88" s="571">
        <f t="shared" si="9"/>
        <v>2.7290000000000001</v>
      </c>
      <c r="R88" s="572">
        <v>8.3999999999999991E-2</v>
      </c>
      <c r="S88" s="580"/>
      <c r="T88" s="575"/>
    </row>
    <row r="89" spans="2:20" ht="26" thickBot="1" x14ac:dyDescent="0.35">
      <c r="B89" s="807">
        <f t="shared" si="17"/>
        <v>85</v>
      </c>
      <c r="C89" s="859" t="str">
        <f>Deltakerliste!C92</f>
        <v>Anders</v>
      </c>
      <c r="D89" s="859" t="str">
        <f>Deltakerliste!D92</f>
        <v>Waage</v>
      </c>
      <c r="E89" s="120" t="str">
        <f t="shared" si="15"/>
        <v>AndersWaage</v>
      </c>
      <c r="F89" s="859">
        <f>_xlfn.XLOOKUP(E89,Deltakerliste!E$5:E$98,Deltakerliste!F$5:F$98)</f>
        <v>531437</v>
      </c>
      <c r="G89" s="858" t="str">
        <f>_xlfn.XLOOKUP(E89,Deltakerliste!E$5:E$98,Deltakerliste!G$5:G$98)</f>
        <v>H</v>
      </c>
      <c r="H89" s="856">
        <f>_xlfn.XLOOKUP(E89,Deltakerliste!E$5:E$98,Deltakerliste!H$5:H$98)</f>
        <v>2</v>
      </c>
      <c r="I89" s="857">
        <f>_xlfn.XLOOKUP(E89,Deltakerliste!E$5:E$98,Deltakerliste!I$5:I$98)</f>
        <v>1948</v>
      </c>
      <c r="J89" s="590">
        <f t="shared" ref="J89:J90" ca="1" si="21">YEAR(S$3)-I89</f>
        <v>78</v>
      </c>
      <c r="K89" s="589">
        <f t="shared" ca="1" si="19"/>
        <v>1.7550000000000001</v>
      </c>
      <c r="L89" s="11"/>
      <c r="P89" s="570">
        <f t="shared" si="20"/>
        <v>92</v>
      </c>
      <c r="Q89" s="571">
        <f t="shared" si="9"/>
        <v>2.8130000000000002</v>
      </c>
      <c r="R89" s="572">
        <v>8.3999999999999991E-2</v>
      </c>
      <c r="S89" s="580"/>
      <c r="T89" s="575"/>
    </row>
    <row r="90" spans="2:20" ht="26" hidden="1" thickBot="1" x14ac:dyDescent="0.35">
      <c r="B90" s="807">
        <f t="shared" ref="B90:B92" si="22">B89+1</f>
        <v>86</v>
      </c>
      <c r="C90" s="859" t="str">
        <f>Deltakerliste!C93</f>
        <v>Gunnar</v>
      </c>
      <c r="D90" s="859" t="str">
        <f>Deltakerliste!D93</f>
        <v>Østerbø</v>
      </c>
      <c r="E90" s="120" t="str">
        <f t="shared" si="15"/>
        <v>GunnarØsterbø</v>
      </c>
      <c r="F90" s="859">
        <f>_xlfn.XLOOKUP(E90,Deltakerliste!E$5:E$98,Deltakerliste!F$5:F$98)</f>
        <v>533352</v>
      </c>
      <c r="G90" s="858" t="str">
        <f>_xlfn.XLOOKUP(E90,Deltakerliste!E$5:E$98,Deltakerliste!G$5:G$98)</f>
        <v>H</v>
      </c>
      <c r="H90" s="856">
        <f>_xlfn.XLOOKUP(E90,Deltakerliste!E$5:E$98,Deltakerliste!H$5:H$98)</f>
        <v>2</v>
      </c>
      <c r="I90" s="857">
        <f>_xlfn.XLOOKUP(E90,Deltakerliste!E$5:E$98,Deltakerliste!I$5:I$98)</f>
        <v>1939</v>
      </c>
      <c r="J90" s="590">
        <f t="shared" ca="1" si="21"/>
        <v>87</v>
      </c>
      <c r="K90" s="589">
        <f t="shared" ca="1" si="19"/>
        <v>2.3929999999999998</v>
      </c>
      <c r="L90" s="11"/>
      <c r="P90" s="570">
        <f t="shared" si="20"/>
        <v>93</v>
      </c>
      <c r="Q90" s="571">
        <f t="shared" si="9"/>
        <v>2.8970000000000002</v>
      </c>
      <c r="R90" s="572">
        <v>8.3999999999999991E-2</v>
      </c>
      <c r="S90" s="580"/>
      <c r="T90" s="575"/>
    </row>
    <row r="91" spans="2:20" ht="26" thickBot="1" x14ac:dyDescent="0.35">
      <c r="B91" s="807">
        <f t="shared" si="22"/>
        <v>87</v>
      </c>
      <c r="C91" s="859" t="str">
        <f>Deltakerliste!C94</f>
        <v>Stein</v>
      </c>
      <c r="D91" s="859" t="str">
        <f>Deltakerliste!D94</f>
        <v>Øvstedal</v>
      </c>
      <c r="E91" s="120" t="str">
        <f t="shared" ref="E91:E92" si="23">_xlfn.CONCAT(C91:D91)</f>
        <v>SteinØvstedal</v>
      </c>
      <c r="F91" s="859">
        <f>_xlfn.XLOOKUP(E91,Deltakerliste!E$5:E$98,Deltakerliste!F$5:F$98)</f>
        <v>533300</v>
      </c>
      <c r="G91" s="858" t="str">
        <f>_xlfn.XLOOKUP(E91,Deltakerliste!E$5:E$98,Deltakerliste!G$5:G$98)</f>
        <v>H</v>
      </c>
      <c r="H91" s="856">
        <f>_xlfn.XLOOKUP(E91,Deltakerliste!E$5:E$98,Deltakerliste!H$5:H$98)</f>
        <v>2</v>
      </c>
      <c r="I91" s="857">
        <f>_xlfn.XLOOKUP(E91,Deltakerliste!E$5:E$98,Deltakerliste!I$5:I$98)</f>
        <v>1951</v>
      </c>
      <c r="J91" s="590">
        <f t="shared" ref="J91:J92" ca="1" si="24">YEAR(S$3)-I91</f>
        <v>75</v>
      </c>
      <c r="K91" s="589">
        <f t="shared" ref="K91:K92" ca="1" si="25">VLOOKUP(J91,P$6:T$91,H91,FALSE)</f>
        <v>1.605</v>
      </c>
      <c r="L91" s="11"/>
      <c r="P91" s="570">
        <f t="shared" si="20"/>
        <v>94</v>
      </c>
      <c r="Q91" s="571">
        <f t="shared" ref="Q91:Q92" si="26">Q90+R90</f>
        <v>2.9810000000000003</v>
      </c>
      <c r="R91" s="572">
        <v>8.3999999999999991E-2</v>
      </c>
      <c r="S91" s="580"/>
      <c r="T91" s="575"/>
    </row>
    <row r="92" spans="2:20" ht="26" thickBot="1" x14ac:dyDescent="0.35">
      <c r="B92" s="807">
        <f t="shared" si="22"/>
        <v>88</v>
      </c>
      <c r="C92" s="859" t="str">
        <f>Deltakerliste!C95</f>
        <v>Øistein</v>
      </c>
      <c r="D92" s="859" t="str">
        <f>Deltakerliste!D95</f>
        <v>Åsmul</v>
      </c>
      <c r="E92" s="120" t="str">
        <f t="shared" si="23"/>
        <v>ØisteinÅsmul</v>
      </c>
      <c r="F92" s="859">
        <f>_xlfn.XLOOKUP(E92,Deltakerliste!E$5:E$98,Deltakerliste!F$5:F$98)</f>
        <v>543396</v>
      </c>
      <c r="G92" s="858" t="str">
        <f>_xlfn.XLOOKUP(E92,Deltakerliste!E$5:E$98,Deltakerliste!G$5:G$98)</f>
        <v>H</v>
      </c>
      <c r="H92" s="856">
        <f>_xlfn.XLOOKUP(E92,Deltakerliste!E$5:E$98,Deltakerliste!H$5:H$98)</f>
        <v>2</v>
      </c>
      <c r="I92" s="857">
        <f>_xlfn.XLOOKUP(E92,Deltakerliste!E$5:E$98,Deltakerliste!I$5:I$98)</f>
        <v>1945</v>
      </c>
      <c r="J92" s="590">
        <f t="shared" ca="1" si="24"/>
        <v>81</v>
      </c>
      <c r="K92" s="589">
        <f t="shared" ca="1" si="25"/>
        <v>1.9290000000000003</v>
      </c>
      <c r="L92" s="11"/>
      <c r="P92" s="576">
        <f t="shared" si="20"/>
        <v>95</v>
      </c>
      <c r="Q92" s="577">
        <f t="shared" si="26"/>
        <v>3.0650000000000004</v>
      </c>
      <c r="R92" s="578">
        <v>8.3999999999999991E-2</v>
      </c>
      <c r="S92" s="581"/>
      <c r="T92" s="579"/>
    </row>
  </sheetData>
  <autoFilter ref="C5:L88" xr:uid="{BCEC2855-DA55-0E45-B44B-701862E37F2B}">
    <sortState xmlns:xlrd2="http://schemas.microsoft.com/office/spreadsheetml/2017/richdata2" ref="C6:L88">
      <sortCondition ref="D5:D88"/>
    </sortState>
  </autoFilter>
  <pageMargins left="0.7" right="0.7" top="0.75" bottom="0.75" header="0.3" footer="0.3"/>
  <pageSetup paperSize="9" scale="45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AA266-6B0D-1B45-A191-3F38268E1190}">
  <sheetPr>
    <tabColor rgb="FFFFFF89"/>
  </sheetPr>
  <dimension ref="B4:O99"/>
  <sheetViews>
    <sheetView topLeftCell="A4" zoomScale="56" zoomScaleNormal="56" workbookViewId="0">
      <selection activeCell="C19" sqref="C19"/>
    </sheetView>
  </sheetViews>
  <sheetFormatPr baseColWidth="10" defaultRowHeight="16" x14ac:dyDescent="0.2"/>
  <cols>
    <col min="2" max="2" width="15.6640625" customWidth="1"/>
    <col min="3" max="3" width="20.5" customWidth="1"/>
    <col min="4" max="4" width="6" customWidth="1"/>
    <col min="5" max="6" width="13.83203125" customWidth="1"/>
    <col min="7" max="7" width="6" customWidth="1"/>
    <col min="8" max="9" width="10.83203125" customWidth="1"/>
    <col min="10" max="10" width="6" hidden="1" customWidth="1"/>
    <col min="11" max="12" width="0" hidden="1" customWidth="1"/>
    <col min="13" max="13" width="6" customWidth="1"/>
  </cols>
  <sheetData>
    <row r="4" spans="2:15" ht="17" thickBot="1" x14ac:dyDescent="0.25"/>
    <row r="5" spans="2:15" ht="25" customHeight="1" thickTop="1" x14ac:dyDescent="0.35">
      <c r="B5" s="899" t="s">
        <v>400</v>
      </c>
      <c r="E5" s="924" t="s">
        <v>290</v>
      </c>
      <c r="F5" s="924" t="s">
        <v>295</v>
      </c>
      <c r="G5" s="650"/>
      <c r="H5" s="927" t="s">
        <v>50</v>
      </c>
      <c r="I5" s="928"/>
      <c r="K5" s="933" t="s">
        <v>289</v>
      </c>
      <c r="L5" s="934"/>
      <c r="M5" s="650"/>
      <c r="N5" s="920" t="s">
        <v>398</v>
      </c>
      <c r="O5" s="921"/>
    </row>
    <row r="6" spans="2:15" ht="31" x14ac:dyDescent="0.35">
      <c r="B6" s="900">
        <f>Poengsammendrag!J124</f>
        <v>29</v>
      </c>
      <c r="E6" s="925"/>
      <c r="F6" s="925"/>
      <c r="G6" s="650"/>
      <c r="H6" s="929"/>
      <c r="I6" s="930"/>
      <c r="K6" s="935"/>
      <c r="L6" s="936"/>
      <c r="M6" s="650"/>
      <c r="N6" s="922"/>
      <c r="O6" s="923"/>
    </row>
    <row r="7" spans="2:15" ht="26" thickBot="1" x14ac:dyDescent="0.25">
      <c r="E7" s="925"/>
      <c r="F7" s="925"/>
      <c r="G7" s="650"/>
      <c r="H7" s="931"/>
      <c r="I7" s="932"/>
      <c r="K7" s="937"/>
      <c r="L7" s="938"/>
      <c r="M7" s="650"/>
      <c r="N7" s="868">
        <f>Poengsammendrag!Q3</f>
        <v>4</v>
      </c>
      <c r="O7" s="869" t="s">
        <v>31</v>
      </c>
    </row>
    <row r="8" spans="2:15" ht="35" thickBot="1" x14ac:dyDescent="0.25">
      <c r="E8" s="926"/>
      <c r="F8" s="926"/>
      <c r="H8" s="608" t="s">
        <v>285</v>
      </c>
      <c r="I8" s="609" t="s">
        <v>284</v>
      </c>
      <c r="K8" s="654" t="s">
        <v>285</v>
      </c>
      <c r="L8" s="655" t="s">
        <v>284</v>
      </c>
      <c r="M8" s="612"/>
      <c r="N8" s="870" t="s">
        <v>285</v>
      </c>
      <c r="O8" s="871" t="s">
        <v>284</v>
      </c>
    </row>
    <row r="9" spans="2:15" ht="25" hidden="1" thickBot="1" x14ac:dyDescent="0.25">
      <c r="E9" s="652"/>
      <c r="F9" s="652"/>
      <c r="G9" s="38"/>
      <c r="H9" s="606"/>
      <c r="I9" s="607"/>
      <c r="K9" s="656"/>
      <c r="L9" s="657"/>
      <c r="M9" s="605"/>
      <c r="N9" s="872"/>
      <c r="O9" s="873"/>
    </row>
    <row r="10" spans="2:15" ht="26" customHeight="1" thickBot="1" x14ac:dyDescent="0.25">
      <c r="B10" s="123" t="str">
        <f>Poengsammendrag!C10</f>
        <v>Bjørn</v>
      </c>
      <c r="C10" s="621" t="str">
        <f>Poengsammendrag!D10</f>
        <v>Berger</v>
      </c>
      <c r="D10" s="891"/>
      <c r="E10" s="653">
        <f>Poengsammendrag!G10</f>
        <v>22</v>
      </c>
      <c r="F10" s="653">
        <f>Poengsammendrag!H10</f>
        <v>2</v>
      </c>
      <c r="G10" s="892"/>
      <c r="H10" s="893">
        <f>Poengsammendrag!J10</f>
        <v>2054</v>
      </c>
      <c r="I10" s="894">
        <f>Poengsammendrag!K10</f>
        <v>2012</v>
      </c>
      <c r="J10" s="895"/>
      <c r="K10" s="658">
        <f>Poengsammendrag!M10</f>
        <v>93.36363636363636</v>
      </c>
      <c r="L10" s="896">
        <f>Poengsammendrag!N10</f>
        <v>91.454545454545453</v>
      </c>
      <c r="M10" s="897"/>
      <c r="N10" s="898">
        <f>IF(Poengsammendrag!P10&gt;0,Poengsammendrag!P10,Poengsammendrag!M10)</f>
        <v>93.36363636363636</v>
      </c>
      <c r="O10" s="875">
        <f>IF(Poengsammendrag!Q10&gt;0,Poengsammendrag!Q10,Poengsammendrag!N10)</f>
        <v>91.454545454545453</v>
      </c>
    </row>
    <row r="11" spans="2:15" ht="26" customHeight="1" thickBot="1" x14ac:dyDescent="0.25">
      <c r="B11" s="123" t="str">
        <f>Poengsammendrag!C11</f>
        <v>Gunnhild</v>
      </c>
      <c r="C11" s="621" t="str">
        <f>Poengsammendrag!D11</f>
        <v>Oftedal</v>
      </c>
      <c r="D11" s="891"/>
      <c r="E11" s="653">
        <f>Poengsammendrag!G11</f>
        <v>28</v>
      </c>
      <c r="F11" s="653">
        <f>Poengsammendrag!H11</f>
        <v>0</v>
      </c>
      <c r="G11" s="892"/>
      <c r="H11" s="893">
        <f>Poengsammendrag!J11</f>
        <v>2036</v>
      </c>
      <c r="I11" s="894">
        <f>Poengsammendrag!K11</f>
        <v>2557</v>
      </c>
      <c r="J11" s="895"/>
      <c r="K11" s="658">
        <f>Poengsammendrag!M11</f>
        <v>72.714285714285708</v>
      </c>
      <c r="L11" s="896">
        <f>Poengsammendrag!N11</f>
        <v>91.321428571428569</v>
      </c>
      <c r="M11" s="897"/>
      <c r="N11" s="898">
        <f>IF(Poengsammendrag!P11&gt;0,Poengsammendrag!P11,Poengsammendrag!M11)</f>
        <v>72.714285714285708</v>
      </c>
      <c r="O11" s="875">
        <f>IF(Poengsammendrag!Q11&gt;0,Poengsammendrag!Q11,Poengsammendrag!N11)</f>
        <v>91.321428571428569</v>
      </c>
    </row>
    <row r="12" spans="2:15" ht="26" customHeight="1" thickBot="1" x14ac:dyDescent="0.25">
      <c r="B12" s="123" t="str">
        <f>Poengsammendrag!C12</f>
        <v>Arne</v>
      </c>
      <c r="C12" s="621" t="str">
        <f>Poengsammendrag!D12</f>
        <v>Mikkelsen</v>
      </c>
      <c r="D12" s="891"/>
      <c r="E12" s="653">
        <f>Poengsammendrag!G12</f>
        <v>25</v>
      </c>
      <c r="F12" s="653">
        <f>Poengsammendrag!H12</f>
        <v>3</v>
      </c>
      <c r="G12" s="892"/>
      <c r="H12" s="893">
        <f>Poengsammendrag!J12</f>
        <v>2380</v>
      </c>
      <c r="I12" s="894">
        <f>Poengsammendrag!K12</f>
        <v>2225</v>
      </c>
      <c r="J12" s="895"/>
      <c r="K12" s="658">
        <f>Poengsammendrag!M12</f>
        <v>95.2</v>
      </c>
      <c r="L12" s="896">
        <f>Poengsammendrag!N12</f>
        <v>89</v>
      </c>
      <c r="M12" s="897"/>
      <c r="N12" s="898">
        <f>IF(Poengsammendrag!P12&gt;0,Poengsammendrag!P12,Poengsammendrag!M12)</f>
        <v>95.2</v>
      </c>
      <c r="O12" s="875">
        <f>IF(Poengsammendrag!Q12&gt;0,Poengsammendrag!Q12,Poengsammendrag!N12)</f>
        <v>89</v>
      </c>
    </row>
    <row r="13" spans="2:15" ht="26" customHeight="1" thickBot="1" x14ac:dyDescent="0.25">
      <c r="B13" s="123" t="str">
        <f>Poengsammendrag!C13</f>
        <v>Leif</v>
      </c>
      <c r="C13" s="621" t="str">
        <f>Poengsammendrag!D13</f>
        <v>Engen</v>
      </c>
      <c r="D13" s="891"/>
      <c r="E13" s="653">
        <f>Poengsammendrag!G13</f>
        <v>26</v>
      </c>
      <c r="F13" s="653">
        <f>Poengsammendrag!H13</f>
        <v>2</v>
      </c>
      <c r="G13" s="892"/>
      <c r="H13" s="893">
        <f>Poengsammendrag!J13</f>
        <v>1746</v>
      </c>
      <c r="I13" s="894">
        <f>Poengsammendrag!K13</f>
        <v>2245</v>
      </c>
      <c r="J13" s="895"/>
      <c r="K13" s="658">
        <f>Poengsammendrag!M13</f>
        <v>67.15384615384616</v>
      </c>
      <c r="L13" s="896">
        <f>Poengsammendrag!N13</f>
        <v>86.34615384615384</v>
      </c>
      <c r="M13" s="897"/>
      <c r="N13" s="898">
        <f>IF(Poengsammendrag!P13&gt;0,Poengsammendrag!P13,Poengsammendrag!M13)</f>
        <v>67.15384615384616</v>
      </c>
      <c r="O13" s="875">
        <f>IF(Poengsammendrag!Q13&gt;0,Poengsammendrag!Q13,Poengsammendrag!N13)</f>
        <v>86.34615384615384</v>
      </c>
    </row>
    <row r="14" spans="2:15" ht="26" customHeight="1" thickBot="1" x14ac:dyDescent="0.25">
      <c r="B14" s="123" t="str">
        <f>Poengsammendrag!C14</f>
        <v>Edgar</v>
      </c>
      <c r="C14" s="621" t="str">
        <f>Poengsammendrag!D14</f>
        <v>Furuholt</v>
      </c>
      <c r="D14" s="891"/>
      <c r="E14" s="653">
        <f>Poengsammendrag!G14</f>
        <v>24</v>
      </c>
      <c r="F14" s="653">
        <f>Poengsammendrag!H14</f>
        <v>2</v>
      </c>
      <c r="G14" s="892"/>
      <c r="H14" s="893">
        <f>Poengsammendrag!J14</f>
        <v>1870</v>
      </c>
      <c r="I14" s="894">
        <f>Poengsammendrag!K14</f>
        <v>2062</v>
      </c>
      <c r="J14" s="895"/>
      <c r="K14" s="658">
        <f>Poengsammendrag!M14</f>
        <v>77.916666666666671</v>
      </c>
      <c r="L14" s="896">
        <f>Poengsammendrag!N14</f>
        <v>85.916666666666671</v>
      </c>
      <c r="M14" s="897"/>
      <c r="N14" s="898">
        <f>IF(Poengsammendrag!P14&gt;0,Poengsammendrag!P14,Poengsammendrag!M14)</f>
        <v>77.916666666666671</v>
      </c>
      <c r="O14" s="875">
        <f>IF(Poengsammendrag!Q14&gt;0,Poengsammendrag!Q14,Poengsammendrag!N14)</f>
        <v>85.916666666666671</v>
      </c>
    </row>
    <row r="15" spans="2:15" ht="26" customHeight="1" thickBot="1" x14ac:dyDescent="0.25">
      <c r="B15" s="123" t="str">
        <f>Poengsammendrag!C16</f>
        <v>Harald</v>
      </c>
      <c r="C15" s="621" t="str">
        <f>Poengsammendrag!D16</f>
        <v>Oftedal</v>
      </c>
      <c r="D15" s="891"/>
      <c r="E15" s="653">
        <f>Poengsammendrag!G16</f>
        <v>29</v>
      </c>
      <c r="F15" s="653">
        <f>Poengsammendrag!H16</f>
        <v>6</v>
      </c>
      <c r="G15" s="892"/>
      <c r="H15" s="893">
        <f>Poengsammendrag!J16</f>
        <v>2493</v>
      </c>
      <c r="I15" s="894">
        <f>Poengsammendrag!K16</f>
        <v>2376</v>
      </c>
      <c r="J15" s="895"/>
      <c r="K15" s="658">
        <f>Poengsammendrag!M16</f>
        <v>85.965517241379317</v>
      </c>
      <c r="L15" s="896">
        <f>Poengsammendrag!N16</f>
        <v>81.931034482758619</v>
      </c>
      <c r="M15" s="897"/>
      <c r="N15" s="898">
        <f>IF(Poengsammendrag!P16&gt;0,Poengsammendrag!P16,Poengsammendrag!M16)</f>
        <v>85.965517241379317</v>
      </c>
      <c r="O15" s="875">
        <f>IF(Poengsammendrag!Q16&gt;0,Poengsammendrag!Q16,Poengsammendrag!N16)</f>
        <v>81.931034482758619</v>
      </c>
    </row>
    <row r="16" spans="2:15" ht="26" customHeight="1" thickBot="1" x14ac:dyDescent="0.25">
      <c r="B16" s="123" t="str">
        <f>Poengsammendrag!C17</f>
        <v>Bente</v>
      </c>
      <c r="C16" s="621" t="str">
        <f>Poengsammendrag!D17</f>
        <v>Skorge</v>
      </c>
      <c r="D16" s="891"/>
      <c r="E16" s="653">
        <f>Poengsammendrag!G17</f>
        <v>20</v>
      </c>
      <c r="F16" s="653">
        <f>Poengsammendrag!H17</f>
        <v>0</v>
      </c>
      <c r="G16" s="892"/>
      <c r="H16" s="893">
        <f>Poengsammendrag!J17</f>
        <v>1444</v>
      </c>
      <c r="I16" s="894">
        <f>Poengsammendrag!K17</f>
        <v>1618</v>
      </c>
      <c r="J16" s="895"/>
      <c r="K16" s="658">
        <f>Poengsammendrag!M17</f>
        <v>72.2</v>
      </c>
      <c r="L16" s="896">
        <f>Poengsammendrag!N17</f>
        <v>80.900000000000006</v>
      </c>
      <c r="M16" s="897"/>
      <c r="N16" s="898">
        <f>IF(Poengsammendrag!P17&gt;0,Poengsammendrag!P17,Poengsammendrag!M17)</f>
        <v>72.2</v>
      </c>
      <c r="O16" s="875">
        <f>IF(Poengsammendrag!Q17&gt;0,Poengsammendrag!Q17,Poengsammendrag!N17)</f>
        <v>80.900000000000006</v>
      </c>
    </row>
    <row r="17" spans="2:15" ht="26" customHeight="1" thickBot="1" x14ac:dyDescent="0.25">
      <c r="B17" s="123" t="str">
        <f>Poengsammendrag!C18</f>
        <v>Eigil</v>
      </c>
      <c r="C17" s="621" t="str">
        <f>Poengsammendrag!D18</f>
        <v>Sørli</v>
      </c>
      <c r="D17" s="891"/>
      <c r="E17" s="653">
        <f>Poengsammendrag!G18</f>
        <v>27</v>
      </c>
      <c r="F17" s="653">
        <f>Poengsammendrag!H18</f>
        <v>2</v>
      </c>
      <c r="G17" s="892"/>
      <c r="H17" s="893">
        <f>Poengsammendrag!J18</f>
        <v>1651</v>
      </c>
      <c r="I17" s="894">
        <f>Poengsammendrag!K18</f>
        <v>2174</v>
      </c>
      <c r="J17" s="895"/>
      <c r="K17" s="658">
        <f>Poengsammendrag!M18</f>
        <v>61.148148148148145</v>
      </c>
      <c r="L17" s="896">
        <f>Poengsammendrag!N18</f>
        <v>80.518518518518519</v>
      </c>
      <c r="M17" s="897"/>
      <c r="N17" s="898">
        <f>IF(Poengsammendrag!P18&gt;0,Poengsammendrag!P18,Poengsammendrag!M18)</f>
        <v>61.148148148148145</v>
      </c>
      <c r="O17" s="875">
        <f>IF(Poengsammendrag!Q18&gt;0,Poengsammendrag!Q18,Poengsammendrag!N18)</f>
        <v>80.518518518518519</v>
      </c>
    </row>
    <row r="18" spans="2:15" ht="26" customHeight="1" thickBot="1" x14ac:dyDescent="0.25">
      <c r="B18" s="123" t="str">
        <f>Poengsammendrag!C19</f>
        <v>Jon Arne</v>
      </c>
      <c r="C18" s="621" t="str">
        <f>Poengsammendrag!D19</f>
        <v>Klemetsaune</v>
      </c>
      <c r="D18" s="891"/>
      <c r="E18" s="653">
        <f>Poengsammendrag!G19</f>
        <v>24</v>
      </c>
      <c r="F18" s="653">
        <f>Poengsammendrag!H19</f>
        <v>2</v>
      </c>
      <c r="G18" s="892"/>
      <c r="H18" s="893">
        <f>Poengsammendrag!J19</f>
        <v>1876</v>
      </c>
      <c r="I18" s="894">
        <f>Poengsammendrag!K19</f>
        <v>1912</v>
      </c>
      <c r="J18" s="895"/>
      <c r="K18" s="658">
        <f>Poengsammendrag!M19</f>
        <v>78.166666666666671</v>
      </c>
      <c r="L18" s="896">
        <f>Poengsammendrag!N19</f>
        <v>79.666666666666671</v>
      </c>
      <c r="M18" s="897"/>
      <c r="N18" s="898">
        <f>IF(Poengsammendrag!P19&gt;0,Poengsammendrag!P19,Poengsammendrag!M19)</f>
        <v>78.166666666666671</v>
      </c>
      <c r="O18" s="875">
        <f>IF(Poengsammendrag!Q19&gt;0,Poengsammendrag!Q19,Poengsammendrag!N19)</f>
        <v>79.666666666666671</v>
      </c>
    </row>
    <row r="19" spans="2:15" ht="26" customHeight="1" thickBot="1" x14ac:dyDescent="0.25">
      <c r="B19" s="123" t="str">
        <f>Poengsammendrag!C20</f>
        <v>Hilde</v>
      </c>
      <c r="C19" s="621" t="str">
        <f>Poengsammendrag!D20</f>
        <v>Forbord</v>
      </c>
      <c r="D19" s="891"/>
      <c r="E19" s="653">
        <f>Poengsammendrag!G20</f>
        <v>5</v>
      </c>
      <c r="F19" s="653">
        <f>Poengsammendrag!H20</f>
        <v>0</v>
      </c>
      <c r="G19" s="892"/>
      <c r="H19" s="893">
        <f>Poengsammendrag!J20</f>
        <v>402</v>
      </c>
      <c r="I19" s="894">
        <f>Poengsammendrag!K20</f>
        <v>398</v>
      </c>
      <c r="J19" s="895"/>
      <c r="K19" s="658">
        <f>Poengsammendrag!M20</f>
        <v>80.400000000000006</v>
      </c>
      <c r="L19" s="896">
        <f>Poengsammendrag!N20</f>
        <v>79.599999999999994</v>
      </c>
      <c r="M19" s="897"/>
      <c r="N19" s="898">
        <f>IF(Poengsammendrag!P20&gt;0,Poengsammendrag!P20,Poengsammendrag!M20)</f>
        <v>80.400000000000006</v>
      </c>
      <c r="O19" s="875">
        <f>IF(Poengsammendrag!Q20&gt;0,Poengsammendrag!Q20,Poengsammendrag!N20)</f>
        <v>79.599999999999994</v>
      </c>
    </row>
    <row r="20" spans="2:15" ht="26" customHeight="1" thickBot="1" x14ac:dyDescent="0.25">
      <c r="B20" s="123" t="str">
        <f>Poengsammendrag!C21</f>
        <v>Inge</v>
      </c>
      <c r="C20" s="621" t="str">
        <f>Poengsammendrag!D21</f>
        <v>Nørstebø</v>
      </c>
      <c r="D20" s="891"/>
      <c r="E20" s="653">
        <f>Poengsammendrag!G21</f>
        <v>26</v>
      </c>
      <c r="F20" s="653">
        <f>Poengsammendrag!H21</f>
        <v>2</v>
      </c>
      <c r="G20" s="892"/>
      <c r="H20" s="893">
        <f>Poengsammendrag!J21</f>
        <v>2362</v>
      </c>
      <c r="I20" s="894">
        <f>Poengsammendrag!K21</f>
        <v>2063</v>
      </c>
      <c r="J20" s="895"/>
      <c r="K20" s="658">
        <f>Poengsammendrag!M21</f>
        <v>90.84615384615384</v>
      </c>
      <c r="L20" s="896">
        <f>Poengsammendrag!N21</f>
        <v>79.34615384615384</v>
      </c>
      <c r="M20" s="897"/>
      <c r="N20" s="898">
        <f>IF(Poengsammendrag!P21&gt;0,Poengsammendrag!P21,Poengsammendrag!M21)</f>
        <v>90.84615384615384</v>
      </c>
      <c r="O20" s="875">
        <f>IF(Poengsammendrag!Q21&gt;0,Poengsammendrag!Q21,Poengsammendrag!N21)</f>
        <v>79.34615384615384</v>
      </c>
    </row>
    <row r="21" spans="2:15" ht="26" customHeight="1" thickBot="1" x14ac:dyDescent="0.25">
      <c r="B21" s="123" t="str">
        <f>Poengsammendrag!C22</f>
        <v>Klaus</v>
      </c>
      <c r="C21" s="621" t="str">
        <f>Poengsammendrag!D22</f>
        <v>Livik</v>
      </c>
      <c r="D21" s="891"/>
      <c r="E21" s="653">
        <f>Poengsammendrag!G22</f>
        <v>22</v>
      </c>
      <c r="F21" s="653">
        <f>Poengsammendrag!H22</f>
        <v>2</v>
      </c>
      <c r="G21" s="892"/>
      <c r="H21" s="893">
        <f>Poengsammendrag!J22</f>
        <v>1881</v>
      </c>
      <c r="I21" s="894">
        <f>Poengsammendrag!K22</f>
        <v>1724</v>
      </c>
      <c r="J21" s="895"/>
      <c r="K21" s="658">
        <f>Poengsammendrag!M22</f>
        <v>85.5</v>
      </c>
      <c r="L21" s="896">
        <f>Poengsammendrag!N22</f>
        <v>78.36363636363636</v>
      </c>
      <c r="M21" s="897"/>
      <c r="N21" s="898">
        <f>IF(Poengsammendrag!P22&gt;0,Poengsammendrag!P22,Poengsammendrag!M22)</f>
        <v>85.5</v>
      </c>
      <c r="O21" s="875">
        <f>IF(Poengsammendrag!Q22&gt;0,Poengsammendrag!Q22,Poengsammendrag!N22)</f>
        <v>78.36363636363636</v>
      </c>
    </row>
    <row r="22" spans="2:15" ht="26" customHeight="1" thickBot="1" x14ac:dyDescent="0.25">
      <c r="B22" s="123" t="str">
        <f>Poengsammendrag!C23</f>
        <v xml:space="preserve">Kjell </v>
      </c>
      <c r="C22" s="621" t="str">
        <f>Poengsammendrag!D23</f>
        <v>Maroni</v>
      </c>
      <c r="D22" s="891"/>
      <c r="E22" s="653">
        <f>Poengsammendrag!G23</f>
        <v>16</v>
      </c>
      <c r="F22" s="653">
        <f>Poengsammendrag!H23</f>
        <v>1</v>
      </c>
      <c r="G22" s="892"/>
      <c r="H22" s="893">
        <f>Poengsammendrag!J23</f>
        <v>1400</v>
      </c>
      <c r="I22" s="894">
        <f>Poengsammendrag!K23</f>
        <v>1245</v>
      </c>
      <c r="J22" s="895"/>
      <c r="K22" s="658">
        <f>Poengsammendrag!M23</f>
        <v>87.5</v>
      </c>
      <c r="L22" s="896">
        <f>Poengsammendrag!N23</f>
        <v>77.8125</v>
      </c>
      <c r="M22" s="897"/>
      <c r="N22" s="898">
        <f>IF(Poengsammendrag!P23&gt;0,Poengsammendrag!P23,Poengsammendrag!M23)</f>
        <v>87.5</v>
      </c>
      <c r="O22" s="875">
        <f>IF(Poengsammendrag!Q23&gt;0,Poengsammendrag!Q23,Poengsammendrag!N23)</f>
        <v>77.8125</v>
      </c>
    </row>
    <row r="23" spans="2:15" ht="26" customHeight="1" thickBot="1" x14ac:dyDescent="0.25">
      <c r="B23" s="123" t="str">
        <f>Poengsammendrag!C24</f>
        <v>Halvor</v>
      </c>
      <c r="C23" s="621" t="str">
        <f>Poengsammendrag!D24</f>
        <v>Flatberg</v>
      </c>
      <c r="D23" s="891"/>
      <c r="E23" s="653">
        <f>Poengsammendrag!G24</f>
        <v>18</v>
      </c>
      <c r="F23" s="653">
        <f>Poengsammendrag!H24</f>
        <v>3</v>
      </c>
      <c r="G23" s="892"/>
      <c r="H23" s="893">
        <f>Poengsammendrag!J24</f>
        <v>1310</v>
      </c>
      <c r="I23" s="894">
        <f>Poengsammendrag!K24</f>
        <v>1399</v>
      </c>
      <c r="J23" s="895"/>
      <c r="K23" s="658">
        <f>Poengsammendrag!M24</f>
        <v>72.777777777777771</v>
      </c>
      <c r="L23" s="896">
        <f>Poengsammendrag!N24</f>
        <v>77.722222222222229</v>
      </c>
      <c r="M23" s="897"/>
      <c r="N23" s="898">
        <f>IF(Poengsammendrag!P24&gt;0,Poengsammendrag!P24,Poengsammendrag!M24)</f>
        <v>72.777777777777771</v>
      </c>
      <c r="O23" s="875">
        <f>IF(Poengsammendrag!Q24&gt;0,Poengsammendrag!Q24,Poengsammendrag!N24)</f>
        <v>77.722222222222229</v>
      </c>
    </row>
    <row r="24" spans="2:15" ht="26" customHeight="1" thickBot="1" x14ac:dyDescent="0.25">
      <c r="B24" s="123" t="str">
        <f>Poengsammendrag!C25</f>
        <v>Magnus</v>
      </c>
      <c r="C24" s="621" t="str">
        <f>Poengsammendrag!D25</f>
        <v>Landstad</v>
      </c>
      <c r="D24" s="891"/>
      <c r="E24" s="653">
        <f>Poengsammendrag!G25</f>
        <v>24</v>
      </c>
      <c r="F24" s="653">
        <f>Poengsammendrag!H25</f>
        <v>0</v>
      </c>
      <c r="G24" s="892"/>
      <c r="H24" s="893">
        <f>Poengsammendrag!J25</f>
        <v>1491</v>
      </c>
      <c r="I24" s="894">
        <f>Poengsammendrag!K25</f>
        <v>1845</v>
      </c>
      <c r="J24" s="895"/>
      <c r="K24" s="658">
        <f>Poengsammendrag!M25</f>
        <v>62.125</v>
      </c>
      <c r="L24" s="896">
        <f>Poengsammendrag!N25</f>
        <v>76.875</v>
      </c>
      <c r="M24" s="897"/>
      <c r="N24" s="898">
        <f>IF(Poengsammendrag!P25&gt;0,Poengsammendrag!P25,Poengsammendrag!M25)</f>
        <v>62.125</v>
      </c>
      <c r="O24" s="875">
        <f>IF(Poengsammendrag!Q25&gt;0,Poengsammendrag!Q25,Poengsammendrag!N25)</f>
        <v>76.875</v>
      </c>
    </row>
    <row r="25" spans="2:15" ht="26" customHeight="1" thickBot="1" x14ac:dyDescent="0.25">
      <c r="B25" s="123" t="str">
        <f>Poengsammendrag!C26</f>
        <v xml:space="preserve">Heidi </v>
      </c>
      <c r="C25" s="621" t="str">
        <f>Poengsammendrag!D26</f>
        <v>Midttun</v>
      </c>
      <c r="D25" s="891"/>
      <c r="E25" s="653">
        <f>Poengsammendrag!G26</f>
        <v>23</v>
      </c>
      <c r="F25" s="653">
        <f>Poengsammendrag!H26</f>
        <v>0</v>
      </c>
      <c r="G25" s="892"/>
      <c r="H25" s="893">
        <f>Poengsammendrag!J26</f>
        <v>1460</v>
      </c>
      <c r="I25" s="894">
        <f>Poengsammendrag!K26</f>
        <v>1763</v>
      </c>
      <c r="J25" s="895"/>
      <c r="K25" s="658">
        <f>Poengsammendrag!M26</f>
        <v>63.478260869565219</v>
      </c>
      <c r="L25" s="896">
        <f>Poengsammendrag!N26</f>
        <v>76.652173913043484</v>
      </c>
      <c r="M25" s="897"/>
      <c r="N25" s="898">
        <f>IF(Poengsammendrag!P26&gt;0,Poengsammendrag!P26,Poengsammendrag!M26)</f>
        <v>63.478260869565219</v>
      </c>
      <c r="O25" s="875">
        <f>IF(Poengsammendrag!Q26&gt;0,Poengsammendrag!Q26,Poengsammendrag!N26)</f>
        <v>76.652173913043484</v>
      </c>
    </row>
    <row r="26" spans="2:15" ht="26" customHeight="1" thickBot="1" x14ac:dyDescent="0.25">
      <c r="B26" s="123" t="str">
        <f>Poengsammendrag!C27</f>
        <v>Tore</v>
      </c>
      <c r="C26" s="621" t="str">
        <f>Poengsammendrag!D27</f>
        <v>Kiste</v>
      </c>
      <c r="D26" s="891"/>
      <c r="E26" s="653">
        <f>Poengsammendrag!G27</f>
        <v>9</v>
      </c>
      <c r="F26" s="653">
        <f>Poengsammendrag!H27</f>
        <v>5</v>
      </c>
      <c r="G26" s="892"/>
      <c r="H26" s="893">
        <f>Poengsammendrag!J27</f>
        <v>676</v>
      </c>
      <c r="I26" s="894">
        <f>Poengsammendrag!K27</f>
        <v>688</v>
      </c>
      <c r="J26" s="895"/>
      <c r="K26" s="658">
        <f>Poengsammendrag!M27</f>
        <v>75.111111111111114</v>
      </c>
      <c r="L26" s="896">
        <f>Poengsammendrag!N27</f>
        <v>76.444444444444443</v>
      </c>
      <c r="M26" s="897"/>
      <c r="N26" s="898">
        <f>IF(Poengsammendrag!P27&gt;0,Poengsammendrag!P27,Poengsammendrag!M27)</f>
        <v>75.111111111111114</v>
      </c>
      <c r="O26" s="875">
        <f>IF(Poengsammendrag!Q27&gt;0,Poengsammendrag!Q27,Poengsammendrag!N27)</f>
        <v>76.444444444444443</v>
      </c>
    </row>
    <row r="27" spans="2:15" ht="26" customHeight="1" thickBot="1" x14ac:dyDescent="0.25">
      <c r="B27" s="123" t="str">
        <f>Poengsammendrag!C28</f>
        <v>Rolf</v>
      </c>
      <c r="C27" s="621" t="str">
        <f>Poengsammendrag!D28</f>
        <v>Wærnes</v>
      </c>
      <c r="D27" s="891"/>
      <c r="E27" s="653">
        <f>Poengsammendrag!G28</f>
        <v>16</v>
      </c>
      <c r="F27" s="653">
        <f>Poengsammendrag!H28</f>
        <v>0</v>
      </c>
      <c r="G27" s="892"/>
      <c r="H27" s="893">
        <f>Poengsammendrag!J28</f>
        <v>1258</v>
      </c>
      <c r="I27" s="894">
        <f>Poengsammendrag!K28</f>
        <v>1209</v>
      </c>
      <c r="J27" s="895"/>
      <c r="K27" s="658">
        <f>Poengsammendrag!M28</f>
        <v>78.625</v>
      </c>
      <c r="L27" s="896">
        <f>Poengsammendrag!N28</f>
        <v>75.5625</v>
      </c>
      <c r="M27" s="897"/>
      <c r="N27" s="898">
        <f>IF(Poengsammendrag!P28&gt;0,Poengsammendrag!P28,Poengsammendrag!M28)</f>
        <v>78.625</v>
      </c>
      <c r="O27" s="875">
        <f>IF(Poengsammendrag!Q28&gt;0,Poengsammendrag!Q28,Poengsammendrag!N28)</f>
        <v>75.5625</v>
      </c>
    </row>
    <row r="28" spans="2:15" ht="26" customHeight="1" thickBot="1" x14ac:dyDescent="0.25">
      <c r="B28" s="123" t="str">
        <f>Poengsammendrag!C29</f>
        <v>Anders</v>
      </c>
      <c r="C28" s="621" t="str">
        <f>Poengsammendrag!D29</f>
        <v>Waage</v>
      </c>
      <c r="D28" s="891"/>
      <c r="E28" s="653">
        <f>Poengsammendrag!G29</f>
        <v>26</v>
      </c>
      <c r="F28" s="653">
        <f>Poengsammendrag!H29</f>
        <v>1</v>
      </c>
      <c r="G28" s="892"/>
      <c r="H28" s="893">
        <f>Poengsammendrag!J29</f>
        <v>1873</v>
      </c>
      <c r="I28" s="894">
        <f>Poengsammendrag!K29</f>
        <v>1958</v>
      </c>
      <c r="J28" s="895"/>
      <c r="K28" s="658">
        <f>Poengsammendrag!M29</f>
        <v>72.038461538461533</v>
      </c>
      <c r="L28" s="896">
        <f>Poengsammendrag!N29</f>
        <v>75.307692307692307</v>
      </c>
      <c r="M28" s="897"/>
      <c r="N28" s="898">
        <f>IF(Poengsammendrag!P29&gt;0,Poengsammendrag!P29,Poengsammendrag!M29)</f>
        <v>72.038461538461533</v>
      </c>
      <c r="O28" s="875">
        <f>IF(Poengsammendrag!Q29&gt;0,Poengsammendrag!Q29,Poengsammendrag!N29)</f>
        <v>75.307692307692307</v>
      </c>
    </row>
    <row r="29" spans="2:15" ht="26" customHeight="1" thickBot="1" x14ac:dyDescent="0.25">
      <c r="B29" s="123" t="str">
        <f>Poengsammendrag!C30</f>
        <v>Stig</v>
      </c>
      <c r="C29" s="621" t="str">
        <f>Poengsammendrag!D30</f>
        <v>Haugskott</v>
      </c>
      <c r="D29" s="891"/>
      <c r="E29" s="653">
        <f>Poengsammendrag!G30</f>
        <v>23</v>
      </c>
      <c r="F29" s="653">
        <f>Poengsammendrag!H30</f>
        <v>0</v>
      </c>
      <c r="G29" s="892"/>
      <c r="H29" s="893">
        <f>Poengsammendrag!J30</f>
        <v>1267</v>
      </c>
      <c r="I29" s="894">
        <f>Poengsammendrag!K30</f>
        <v>1712</v>
      </c>
      <c r="J29" s="895"/>
      <c r="K29" s="658">
        <f>Poengsammendrag!M30</f>
        <v>55.086956521739133</v>
      </c>
      <c r="L29" s="896">
        <f>Poengsammendrag!N30</f>
        <v>74.434782608695656</v>
      </c>
      <c r="M29" s="897"/>
      <c r="N29" s="898">
        <f>IF(Poengsammendrag!P30&gt;0,Poengsammendrag!P30,Poengsammendrag!M30)</f>
        <v>55.086956521739133</v>
      </c>
      <c r="O29" s="875">
        <f>IF(Poengsammendrag!Q30&gt;0,Poengsammendrag!Q30,Poengsammendrag!N30)</f>
        <v>74.434782608695656</v>
      </c>
    </row>
    <row r="30" spans="2:15" ht="26" customHeight="1" thickBot="1" x14ac:dyDescent="0.25">
      <c r="B30" s="123" t="str">
        <f>Poengsammendrag!C31</f>
        <v>Anne</v>
      </c>
      <c r="C30" s="621" t="str">
        <f>Poengsammendrag!D31</f>
        <v>Furuholt</v>
      </c>
      <c r="D30" s="891"/>
      <c r="E30" s="653">
        <f>Poengsammendrag!G31</f>
        <v>8</v>
      </c>
      <c r="F30" s="653">
        <f>Poengsammendrag!H31</f>
        <v>3</v>
      </c>
      <c r="G30" s="892"/>
      <c r="H30" s="893">
        <f>Poengsammendrag!J31</f>
        <v>534</v>
      </c>
      <c r="I30" s="894">
        <f>Poengsammendrag!K31</f>
        <v>595</v>
      </c>
      <c r="J30" s="895"/>
      <c r="K30" s="658">
        <f>Poengsammendrag!M31</f>
        <v>66.75</v>
      </c>
      <c r="L30" s="896">
        <f>Poengsammendrag!N31</f>
        <v>74.375</v>
      </c>
      <c r="M30" s="897"/>
      <c r="N30" s="898">
        <f>IF(Poengsammendrag!P31&gt;0,Poengsammendrag!P31,Poengsammendrag!M31)</f>
        <v>66.75</v>
      </c>
      <c r="O30" s="875">
        <f>IF(Poengsammendrag!Q31&gt;0,Poengsammendrag!Q31,Poengsammendrag!N31)</f>
        <v>74.375</v>
      </c>
    </row>
    <row r="31" spans="2:15" ht="26" customHeight="1" thickBot="1" x14ac:dyDescent="0.25">
      <c r="B31" s="123" t="str">
        <f>Poengsammendrag!C32</f>
        <v>Martin</v>
      </c>
      <c r="C31" s="621" t="str">
        <f>Poengsammendrag!D32</f>
        <v>Melhuus</v>
      </c>
      <c r="D31" s="891"/>
      <c r="E31" s="653">
        <f>Poengsammendrag!G32</f>
        <v>24</v>
      </c>
      <c r="F31" s="653">
        <f>Poengsammendrag!H32</f>
        <v>1</v>
      </c>
      <c r="G31" s="892"/>
      <c r="H31" s="893">
        <f>Poengsammendrag!J32</f>
        <v>1485</v>
      </c>
      <c r="I31" s="894">
        <f>Poengsammendrag!K32</f>
        <v>1751</v>
      </c>
      <c r="J31" s="895"/>
      <c r="K31" s="658">
        <f>Poengsammendrag!M32</f>
        <v>61.875</v>
      </c>
      <c r="L31" s="896">
        <f>Poengsammendrag!N32</f>
        <v>72.958333333333329</v>
      </c>
      <c r="M31" s="897"/>
      <c r="N31" s="898">
        <f>IF(Poengsammendrag!P32&gt;0,Poengsammendrag!P32,Poengsammendrag!M32)</f>
        <v>61.875</v>
      </c>
      <c r="O31" s="875">
        <f>IF(Poengsammendrag!Q32&gt;0,Poengsammendrag!Q32,Poengsammendrag!N32)</f>
        <v>72.958333333333329</v>
      </c>
    </row>
    <row r="32" spans="2:15" ht="26" customHeight="1" thickBot="1" x14ac:dyDescent="0.25">
      <c r="B32" s="123" t="str">
        <f>Poengsammendrag!C33</f>
        <v>Arnulf</v>
      </c>
      <c r="C32" s="621" t="str">
        <f>Poengsammendrag!D33</f>
        <v>Vilmo</v>
      </c>
      <c r="D32" s="891"/>
      <c r="E32" s="653">
        <f>Poengsammendrag!G33</f>
        <v>24</v>
      </c>
      <c r="F32" s="653">
        <f>Poengsammendrag!H33</f>
        <v>2</v>
      </c>
      <c r="G32" s="892"/>
      <c r="H32" s="893">
        <f>Poengsammendrag!J33</f>
        <v>1857</v>
      </c>
      <c r="I32" s="894">
        <f>Poengsammendrag!K33</f>
        <v>1746</v>
      </c>
      <c r="J32" s="895"/>
      <c r="K32" s="658">
        <f>Poengsammendrag!M33</f>
        <v>77.375</v>
      </c>
      <c r="L32" s="896">
        <f>Poengsammendrag!N33</f>
        <v>72.75</v>
      </c>
      <c r="M32" s="897"/>
      <c r="N32" s="898">
        <f>IF(Poengsammendrag!P33&gt;0,Poengsammendrag!P33,Poengsammendrag!M33)</f>
        <v>77.375</v>
      </c>
      <c r="O32" s="875">
        <f>IF(Poengsammendrag!Q33&gt;0,Poengsammendrag!Q33,Poengsammendrag!N33)</f>
        <v>72.75</v>
      </c>
    </row>
    <row r="33" spans="2:15" ht="26" customHeight="1" thickBot="1" x14ac:dyDescent="0.25">
      <c r="B33" s="123" t="str">
        <f>Poengsammendrag!C34</f>
        <v>Arne</v>
      </c>
      <c r="C33" s="621" t="str">
        <f>Poengsammendrag!D34</f>
        <v>Helland</v>
      </c>
      <c r="D33" s="891"/>
      <c r="E33" s="653">
        <f>Poengsammendrag!G34</f>
        <v>10</v>
      </c>
      <c r="F33" s="653">
        <f>Poengsammendrag!H34</f>
        <v>0</v>
      </c>
      <c r="G33" s="892"/>
      <c r="H33" s="893">
        <f>Poengsammendrag!J34</f>
        <v>950</v>
      </c>
      <c r="I33" s="894">
        <f>Poengsammendrag!K34</f>
        <v>718</v>
      </c>
      <c r="J33" s="895"/>
      <c r="K33" s="658">
        <f>Poengsammendrag!M34</f>
        <v>95</v>
      </c>
      <c r="L33" s="896">
        <f>Poengsammendrag!N34</f>
        <v>71.8</v>
      </c>
      <c r="M33" s="897"/>
      <c r="N33" s="898">
        <f>IF(Poengsammendrag!P34&gt;0,Poengsammendrag!P34,Poengsammendrag!M34)</f>
        <v>95</v>
      </c>
      <c r="O33" s="875">
        <f>IF(Poengsammendrag!Q34&gt;0,Poengsammendrag!Q34,Poengsammendrag!N34)</f>
        <v>71.8</v>
      </c>
    </row>
    <row r="34" spans="2:15" ht="26" customHeight="1" thickBot="1" x14ac:dyDescent="0.25">
      <c r="B34" s="123" t="str">
        <f>Poengsammendrag!C35</f>
        <v>Robert</v>
      </c>
      <c r="C34" s="621" t="str">
        <f>Poengsammendrag!D35</f>
        <v>Hirsch</v>
      </c>
      <c r="D34" s="891"/>
      <c r="E34" s="653">
        <f>Poengsammendrag!G35</f>
        <v>13</v>
      </c>
      <c r="F34" s="653">
        <f>Poengsammendrag!H35</f>
        <v>3</v>
      </c>
      <c r="G34" s="892"/>
      <c r="H34" s="893">
        <f>Poengsammendrag!J35</f>
        <v>1056</v>
      </c>
      <c r="I34" s="894">
        <f>Poengsammendrag!K35</f>
        <v>926</v>
      </c>
      <c r="J34" s="895"/>
      <c r="K34" s="658">
        <f>Poengsammendrag!M35</f>
        <v>81.230769230769226</v>
      </c>
      <c r="L34" s="896">
        <f>Poengsammendrag!N35</f>
        <v>71.230769230769226</v>
      </c>
      <c r="M34" s="897"/>
      <c r="N34" s="898">
        <f>IF(Poengsammendrag!P35&gt;0,Poengsammendrag!P35,Poengsammendrag!M35)</f>
        <v>81.230769230769226</v>
      </c>
      <c r="O34" s="875">
        <f>IF(Poengsammendrag!Q35&gt;0,Poengsammendrag!Q35,Poengsammendrag!N35)</f>
        <v>71.230769230769226</v>
      </c>
    </row>
    <row r="35" spans="2:15" ht="26" customHeight="1" thickBot="1" x14ac:dyDescent="0.25">
      <c r="B35" s="123" t="str">
        <f>Poengsammendrag!C36</f>
        <v>Even</v>
      </c>
      <c r="C35" s="621" t="str">
        <f>Poengsammendrag!D36</f>
        <v>Hofstad</v>
      </c>
      <c r="D35" s="891"/>
      <c r="E35" s="653">
        <f>Poengsammendrag!G36</f>
        <v>27</v>
      </c>
      <c r="F35" s="653">
        <f>Poengsammendrag!H36</f>
        <v>2</v>
      </c>
      <c r="G35" s="892"/>
      <c r="H35" s="893">
        <f>Poengsammendrag!J36</f>
        <v>2061</v>
      </c>
      <c r="I35" s="894">
        <f>Poengsammendrag!K36</f>
        <v>1891</v>
      </c>
      <c r="J35" s="895"/>
      <c r="K35" s="658">
        <f>Poengsammendrag!M36</f>
        <v>76.333333333333329</v>
      </c>
      <c r="L35" s="896">
        <f>Poengsammendrag!N36</f>
        <v>70.037037037037038</v>
      </c>
      <c r="M35" s="897"/>
      <c r="N35" s="898">
        <f>IF(Poengsammendrag!P36&gt;0,Poengsammendrag!P36,Poengsammendrag!M36)</f>
        <v>76.333333333333329</v>
      </c>
      <c r="O35" s="875">
        <f>IF(Poengsammendrag!Q36&gt;0,Poengsammendrag!Q36,Poengsammendrag!N36)</f>
        <v>70.037037037037038</v>
      </c>
    </row>
    <row r="36" spans="2:15" ht="26" customHeight="1" thickBot="1" x14ac:dyDescent="0.25">
      <c r="B36" s="123" t="str">
        <f>Poengsammendrag!C37</f>
        <v>Tore</v>
      </c>
      <c r="C36" s="621" t="str">
        <f>Poengsammendrag!D37</f>
        <v>Heggem</v>
      </c>
      <c r="D36" s="891"/>
      <c r="E36" s="653">
        <f>Poengsammendrag!G37</f>
        <v>20</v>
      </c>
      <c r="F36" s="653">
        <f>Poengsammendrag!H37</f>
        <v>2</v>
      </c>
      <c r="G36" s="892"/>
      <c r="H36" s="893">
        <f>Poengsammendrag!J37</f>
        <v>1519</v>
      </c>
      <c r="I36" s="894">
        <f>Poengsammendrag!K37</f>
        <v>1393</v>
      </c>
      <c r="J36" s="895"/>
      <c r="K36" s="658">
        <f>Poengsammendrag!M37</f>
        <v>75.95</v>
      </c>
      <c r="L36" s="896">
        <f>Poengsammendrag!N37</f>
        <v>69.650000000000006</v>
      </c>
      <c r="M36" s="897"/>
      <c r="N36" s="898">
        <f>IF(Poengsammendrag!P37&gt;0,Poengsammendrag!P37,Poengsammendrag!M37)</f>
        <v>75.95</v>
      </c>
      <c r="O36" s="875">
        <f>IF(Poengsammendrag!Q37&gt;0,Poengsammendrag!Q37,Poengsammendrag!N37)</f>
        <v>69.650000000000006</v>
      </c>
    </row>
    <row r="37" spans="2:15" ht="26" customHeight="1" thickBot="1" x14ac:dyDescent="0.25">
      <c r="B37" s="123" t="str">
        <f>Poengsammendrag!C38</f>
        <v>Øistein</v>
      </c>
      <c r="C37" s="621" t="str">
        <f>Poengsammendrag!D38</f>
        <v>Åsmul</v>
      </c>
      <c r="D37" s="891"/>
      <c r="E37" s="653">
        <f>Poengsammendrag!G38</f>
        <v>26</v>
      </c>
      <c r="F37" s="653">
        <f>Poengsammendrag!H38</f>
        <v>1</v>
      </c>
      <c r="G37" s="892"/>
      <c r="H37" s="893">
        <f>Poengsammendrag!J38</f>
        <v>1572</v>
      </c>
      <c r="I37" s="894">
        <f>Poengsammendrag!K38</f>
        <v>1772</v>
      </c>
      <c r="J37" s="895"/>
      <c r="K37" s="658">
        <f>Poengsammendrag!M38</f>
        <v>60.46153846153846</v>
      </c>
      <c r="L37" s="896">
        <f>Poengsammendrag!N38</f>
        <v>68.15384615384616</v>
      </c>
      <c r="M37" s="897"/>
      <c r="N37" s="898">
        <f>IF(Poengsammendrag!P38&gt;0,Poengsammendrag!P38,Poengsammendrag!M38)</f>
        <v>60.46153846153846</v>
      </c>
      <c r="O37" s="875">
        <f>IF(Poengsammendrag!Q38&gt;0,Poengsammendrag!Q38,Poengsammendrag!N38)</f>
        <v>68.15384615384616</v>
      </c>
    </row>
    <row r="38" spans="2:15" ht="26" customHeight="1" thickBot="1" x14ac:dyDescent="0.25">
      <c r="B38" s="123" t="str">
        <f>Poengsammendrag!C39</f>
        <v>Øyvind</v>
      </c>
      <c r="C38" s="621" t="str">
        <f>Poengsammendrag!D39</f>
        <v>Schjelderup</v>
      </c>
      <c r="D38" s="891"/>
      <c r="E38" s="653">
        <f>Poengsammendrag!G39</f>
        <v>4</v>
      </c>
      <c r="F38" s="653">
        <f>Poengsammendrag!H39</f>
        <v>0</v>
      </c>
      <c r="G38" s="892"/>
      <c r="H38" s="893">
        <f>Poengsammendrag!J39</f>
        <v>370</v>
      </c>
      <c r="I38" s="894">
        <f>Poengsammendrag!K39</f>
        <v>272</v>
      </c>
      <c r="J38" s="895"/>
      <c r="K38" s="658">
        <f>Poengsammendrag!M39</f>
        <v>92.5</v>
      </c>
      <c r="L38" s="896">
        <f>Poengsammendrag!N39</f>
        <v>68</v>
      </c>
      <c r="M38" s="897"/>
      <c r="N38" s="898">
        <f>IF(Poengsammendrag!P39&gt;0,Poengsammendrag!P39,Poengsammendrag!M39)</f>
        <v>92.5</v>
      </c>
      <c r="O38" s="875">
        <f>IF(Poengsammendrag!Q39&gt;0,Poengsammendrag!Q39,Poengsammendrag!N39)</f>
        <v>68</v>
      </c>
    </row>
    <row r="39" spans="2:15" ht="26" customHeight="1" thickBot="1" x14ac:dyDescent="0.25">
      <c r="B39" s="123" t="str">
        <f>Poengsammendrag!C40</f>
        <v>Øystein</v>
      </c>
      <c r="C39" s="621" t="str">
        <f>Poengsammendrag!D40</f>
        <v>Wiggen</v>
      </c>
      <c r="D39" s="891"/>
      <c r="E39" s="653">
        <f>Poengsammendrag!G40</f>
        <v>17</v>
      </c>
      <c r="F39" s="653">
        <f>Poengsammendrag!H40</f>
        <v>0</v>
      </c>
      <c r="G39" s="892"/>
      <c r="H39" s="893">
        <f>Poengsammendrag!J40</f>
        <v>1551</v>
      </c>
      <c r="I39" s="894">
        <f>Poengsammendrag!K40</f>
        <v>1148</v>
      </c>
      <c r="J39" s="895"/>
      <c r="K39" s="658">
        <f>Poengsammendrag!M40</f>
        <v>91.235294117647058</v>
      </c>
      <c r="L39" s="896">
        <f>Poengsammendrag!N40</f>
        <v>67.529411764705884</v>
      </c>
      <c r="M39" s="897"/>
      <c r="N39" s="898">
        <f>IF(Poengsammendrag!P40&gt;0,Poengsammendrag!P40,Poengsammendrag!M40)</f>
        <v>91.235294117647058</v>
      </c>
      <c r="O39" s="875">
        <f>IF(Poengsammendrag!Q40&gt;0,Poengsammendrag!Q40,Poengsammendrag!N40)</f>
        <v>67.529411764705884</v>
      </c>
    </row>
    <row r="40" spans="2:15" ht="26" customHeight="1" thickBot="1" x14ac:dyDescent="0.25">
      <c r="B40" s="123" t="str">
        <f>Poengsammendrag!C41</f>
        <v>Terje</v>
      </c>
      <c r="C40" s="621" t="str">
        <f>Poengsammendrag!D41</f>
        <v>Hanssen</v>
      </c>
      <c r="D40" s="891"/>
      <c r="E40" s="653">
        <f>Poengsammendrag!G41</f>
        <v>21</v>
      </c>
      <c r="F40" s="653">
        <f>Poengsammendrag!H41</f>
        <v>1</v>
      </c>
      <c r="G40" s="892"/>
      <c r="H40" s="893">
        <f>Poengsammendrag!J41</f>
        <v>1342</v>
      </c>
      <c r="I40" s="894">
        <f>Poengsammendrag!K41</f>
        <v>1413</v>
      </c>
      <c r="J40" s="895"/>
      <c r="K40" s="658">
        <f>Poengsammendrag!M41</f>
        <v>63.904761904761905</v>
      </c>
      <c r="L40" s="896">
        <f>Poengsammendrag!N41</f>
        <v>67.285714285714292</v>
      </c>
      <c r="M40" s="897"/>
      <c r="N40" s="898">
        <f>IF(Poengsammendrag!P41&gt;0,Poengsammendrag!P41,Poengsammendrag!M41)</f>
        <v>63.904761904761905</v>
      </c>
      <c r="O40" s="875">
        <f>IF(Poengsammendrag!Q41&gt;0,Poengsammendrag!Q41,Poengsammendrag!N41)</f>
        <v>67.285714285714292</v>
      </c>
    </row>
    <row r="41" spans="2:15" ht="26" customHeight="1" thickBot="1" x14ac:dyDescent="0.25">
      <c r="B41" s="123" t="str">
        <f>Poengsammendrag!C42</f>
        <v>Egil</v>
      </c>
      <c r="C41" s="621" t="str">
        <f>Poengsammendrag!D42</f>
        <v>Repvik</v>
      </c>
      <c r="D41" s="891"/>
      <c r="E41" s="653">
        <f>Poengsammendrag!G42</f>
        <v>27</v>
      </c>
      <c r="F41" s="653">
        <f>Poengsammendrag!H42</f>
        <v>0</v>
      </c>
      <c r="G41" s="892"/>
      <c r="H41" s="893">
        <f>Poengsammendrag!J42</f>
        <v>1636</v>
      </c>
      <c r="I41" s="894">
        <f>Poengsammendrag!K42</f>
        <v>1814</v>
      </c>
      <c r="J41" s="895"/>
      <c r="K41" s="658">
        <f>Poengsammendrag!M42</f>
        <v>60.592592592592595</v>
      </c>
      <c r="L41" s="896">
        <f>Poengsammendrag!N42</f>
        <v>67.18518518518519</v>
      </c>
      <c r="M41" s="897"/>
      <c r="N41" s="898">
        <f>IF(Poengsammendrag!P42&gt;0,Poengsammendrag!P42,Poengsammendrag!M42)</f>
        <v>60.592592592592595</v>
      </c>
      <c r="O41" s="875">
        <f>IF(Poengsammendrag!Q42&gt;0,Poengsammendrag!Q42,Poengsammendrag!N42)</f>
        <v>67.18518518518519</v>
      </c>
    </row>
    <row r="42" spans="2:15" ht="26" customHeight="1" thickBot="1" x14ac:dyDescent="0.25">
      <c r="B42" s="123" t="str">
        <f>Poengsammendrag!C43</f>
        <v>Stein</v>
      </c>
      <c r="C42" s="621" t="str">
        <f>Poengsammendrag!D43</f>
        <v>Øvstedal</v>
      </c>
      <c r="D42" s="891"/>
      <c r="E42" s="653">
        <f>Poengsammendrag!G43</f>
        <v>23</v>
      </c>
      <c r="F42" s="653">
        <f>Poengsammendrag!H43</f>
        <v>1</v>
      </c>
      <c r="G42" s="892"/>
      <c r="H42" s="893">
        <f>Poengsammendrag!J43</f>
        <v>1572</v>
      </c>
      <c r="I42" s="894">
        <f>Poengsammendrag!K43</f>
        <v>1544</v>
      </c>
      <c r="J42" s="895"/>
      <c r="K42" s="658">
        <f>Poengsammendrag!M43</f>
        <v>68.347826086956516</v>
      </c>
      <c r="L42" s="896">
        <f>Poengsammendrag!N43</f>
        <v>67.130434782608702</v>
      </c>
      <c r="M42" s="897"/>
      <c r="N42" s="898">
        <f>IF(Poengsammendrag!P43&gt;0,Poengsammendrag!P43,Poengsammendrag!M43)</f>
        <v>68.347826086956516</v>
      </c>
      <c r="O42" s="875">
        <f>IF(Poengsammendrag!Q43&gt;0,Poengsammendrag!Q43,Poengsammendrag!N43)</f>
        <v>67.130434782608702</v>
      </c>
    </row>
    <row r="43" spans="2:15" ht="26" customHeight="1" thickBot="1" x14ac:dyDescent="0.25">
      <c r="B43" s="123" t="str">
        <f>Poengsammendrag!C44</f>
        <v>Bjørn</v>
      </c>
      <c r="C43" s="621" t="str">
        <f>Poengsammendrag!D44</f>
        <v>Hafskjold</v>
      </c>
      <c r="D43" s="891"/>
      <c r="E43" s="653">
        <f>Poengsammendrag!G44</f>
        <v>13</v>
      </c>
      <c r="F43" s="653">
        <f>Poengsammendrag!H44</f>
        <v>0</v>
      </c>
      <c r="G43" s="892"/>
      <c r="H43" s="893">
        <f>Poengsammendrag!J44</f>
        <v>816</v>
      </c>
      <c r="I43" s="894">
        <f>Poengsammendrag!K44</f>
        <v>867</v>
      </c>
      <c r="J43" s="895"/>
      <c r="K43" s="658">
        <f>Poengsammendrag!M44</f>
        <v>62.769230769230766</v>
      </c>
      <c r="L43" s="896">
        <f>Poengsammendrag!N44</f>
        <v>66.692307692307693</v>
      </c>
      <c r="M43" s="897"/>
      <c r="N43" s="898">
        <f>IF(Poengsammendrag!P44&gt;0,Poengsammendrag!P44,Poengsammendrag!M44)</f>
        <v>62.769230769230766</v>
      </c>
      <c r="O43" s="875">
        <f>IF(Poengsammendrag!Q44&gt;0,Poengsammendrag!Q44,Poengsammendrag!N44)</f>
        <v>66.692307692307693</v>
      </c>
    </row>
    <row r="44" spans="2:15" ht="26" customHeight="1" thickBot="1" x14ac:dyDescent="0.25">
      <c r="B44" s="123" t="str">
        <f>Poengsammendrag!C45</f>
        <v>Kåre</v>
      </c>
      <c r="C44" s="621" t="str">
        <f>Poengsammendrag!D45</f>
        <v>Eggereide</v>
      </c>
      <c r="D44" s="891"/>
      <c r="E44" s="653">
        <f>Poengsammendrag!G45</f>
        <v>25</v>
      </c>
      <c r="F44" s="653">
        <f>Poengsammendrag!H45</f>
        <v>2</v>
      </c>
      <c r="G44" s="892"/>
      <c r="H44" s="893">
        <f>Poengsammendrag!J45</f>
        <v>1665</v>
      </c>
      <c r="I44" s="894">
        <f>Poengsammendrag!K45</f>
        <v>1653</v>
      </c>
      <c r="J44" s="895"/>
      <c r="K44" s="658">
        <f>Poengsammendrag!M45</f>
        <v>66.599999999999994</v>
      </c>
      <c r="L44" s="896">
        <f>Poengsammendrag!N45</f>
        <v>66.12</v>
      </c>
      <c r="M44" s="897"/>
      <c r="N44" s="898">
        <f>IF(Poengsammendrag!P45&gt;0,Poengsammendrag!P45,Poengsammendrag!M45)</f>
        <v>66.599999999999994</v>
      </c>
      <c r="O44" s="875">
        <f>IF(Poengsammendrag!Q45&gt;0,Poengsammendrag!Q45,Poengsammendrag!N45)</f>
        <v>66.12</v>
      </c>
    </row>
    <row r="45" spans="2:15" ht="26" customHeight="1" thickBot="1" x14ac:dyDescent="0.25">
      <c r="B45" s="123" t="str">
        <f>Poengsammendrag!C47</f>
        <v>Svein</v>
      </c>
      <c r="C45" s="621" t="str">
        <f>Poengsammendrag!D47</f>
        <v>Hove</v>
      </c>
      <c r="D45" s="891"/>
      <c r="E45" s="653">
        <f>Poengsammendrag!G47</f>
        <v>16</v>
      </c>
      <c r="F45" s="653">
        <f>Poengsammendrag!H47</f>
        <v>0</v>
      </c>
      <c r="G45" s="892"/>
      <c r="H45" s="893">
        <f>Poengsammendrag!J47</f>
        <v>955</v>
      </c>
      <c r="I45" s="894">
        <f>Poengsammendrag!K47</f>
        <v>1035</v>
      </c>
      <c r="J45" s="895"/>
      <c r="K45" s="658">
        <f>Poengsammendrag!M47</f>
        <v>59.6875</v>
      </c>
      <c r="L45" s="896">
        <f>Poengsammendrag!N47</f>
        <v>64.6875</v>
      </c>
      <c r="M45" s="897"/>
      <c r="N45" s="898">
        <f>IF(Poengsammendrag!P47&gt;0,Poengsammendrag!P47,Poengsammendrag!M47)</f>
        <v>59.6875</v>
      </c>
      <c r="O45" s="875">
        <f>IF(Poengsammendrag!Q47&gt;0,Poengsammendrag!Q47,Poengsammendrag!N47)</f>
        <v>64.6875</v>
      </c>
    </row>
    <row r="46" spans="2:15" ht="26" customHeight="1" thickBot="1" x14ac:dyDescent="0.25">
      <c r="B46" s="123" t="str">
        <f>Poengsammendrag!C48</f>
        <v>Anders</v>
      </c>
      <c r="C46" s="621" t="str">
        <f>Poengsammendrag!D48</f>
        <v>Lauglo</v>
      </c>
      <c r="D46" s="891"/>
      <c r="E46" s="653">
        <f>Poengsammendrag!G48</f>
        <v>15</v>
      </c>
      <c r="F46" s="653">
        <f>Poengsammendrag!H48</f>
        <v>0</v>
      </c>
      <c r="G46" s="892"/>
      <c r="H46" s="893">
        <f>Poengsammendrag!J48</f>
        <v>774</v>
      </c>
      <c r="I46" s="894">
        <f>Poengsammendrag!K48</f>
        <v>967</v>
      </c>
      <c r="J46" s="895"/>
      <c r="K46" s="658">
        <f>Poengsammendrag!M48</f>
        <v>51.6</v>
      </c>
      <c r="L46" s="896">
        <f>Poengsammendrag!N48</f>
        <v>64.466666666666669</v>
      </c>
      <c r="M46" s="897"/>
      <c r="N46" s="898">
        <f>IF(Poengsammendrag!P48&gt;0,Poengsammendrag!P48,Poengsammendrag!M48)</f>
        <v>51.6</v>
      </c>
      <c r="O46" s="875">
        <f>IF(Poengsammendrag!Q48&gt;0,Poengsammendrag!Q48,Poengsammendrag!N48)</f>
        <v>64.466666666666669</v>
      </c>
    </row>
    <row r="47" spans="2:15" ht="26" customHeight="1" thickBot="1" x14ac:dyDescent="0.25">
      <c r="B47" s="123" t="str">
        <f>Poengsammendrag!C49</f>
        <v>Reidun</v>
      </c>
      <c r="C47" s="621" t="str">
        <f>Poengsammendrag!D49</f>
        <v>Smaavik</v>
      </c>
      <c r="D47" s="891"/>
      <c r="E47" s="653">
        <f>Poengsammendrag!G49</f>
        <v>9</v>
      </c>
      <c r="F47" s="653">
        <f>Poengsammendrag!H49</f>
        <v>1</v>
      </c>
      <c r="G47" s="892"/>
      <c r="H47" s="893">
        <f>Poengsammendrag!J49</f>
        <v>525</v>
      </c>
      <c r="I47" s="894">
        <f>Poengsammendrag!K49</f>
        <v>580</v>
      </c>
      <c r="J47" s="895"/>
      <c r="K47" s="658">
        <f>Poengsammendrag!M49</f>
        <v>58.333333333333336</v>
      </c>
      <c r="L47" s="896">
        <f>Poengsammendrag!N49</f>
        <v>64.444444444444443</v>
      </c>
      <c r="M47" s="897"/>
      <c r="N47" s="898">
        <f>IF(Poengsammendrag!P49&gt;0,Poengsammendrag!P49,Poengsammendrag!M49)</f>
        <v>58.333333333333336</v>
      </c>
      <c r="O47" s="875">
        <f>IF(Poengsammendrag!Q49&gt;0,Poengsammendrag!Q49,Poengsammendrag!N49)</f>
        <v>64.444444444444443</v>
      </c>
    </row>
    <row r="48" spans="2:15" ht="26" customHeight="1" thickBot="1" x14ac:dyDescent="0.25">
      <c r="B48" s="123" t="str">
        <f>Poengsammendrag!C50</f>
        <v>Tore</v>
      </c>
      <c r="C48" s="621" t="str">
        <f>Poengsammendrag!D50</f>
        <v>Fornes</v>
      </c>
      <c r="D48" s="891"/>
      <c r="E48" s="653">
        <f>Poengsammendrag!G50</f>
        <v>25</v>
      </c>
      <c r="F48" s="653">
        <f>Poengsammendrag!H50</f>
        <v>1</v>
      </c>
      <c r="G48" s="892"/>
      <c r="H48" s="893">
        <f>Poengsammendrag!J50</f>
        <v>1945</v>
      </c>
      <c r="I48" s="894">
        <f>Poengsammendrag!K50</f>
        <v>1601</v>
      </c>
      <c r="J48" s="895"/>
      <c r="K48" s="658">
        <f>Poengsammendrag!M50</f>
        <v>77.8</v>
      </c>
      <c r="L48" s="896">
        <f>Poengsammendrag!N50</f>
        <v>64.040000000000006</v>
      </c>
      <c r="M48" s="897"/>
      <c r="N48" s="898">
        <f>IF(Poengsammendrag!P50&gt;0,Poengsammendrag!P50,Poengsammendrag!M50)</f>
        <v>77.8</v>
      </c>
      <c r="O48" s="875">
        <f>IF(Poengsammendrag!Q50&gt;0,Poengsammendrag!Q50,Poengsammendrag!N50)</f>
        <v>64.040000000000006</v>
      </c>
    </row>
    <row r="49" spans="2:15" ht="26" customHeight="1" thickBot="1" x14ac:dyDescent="0.25">
      <c r="B49" s="123" t="str">
        <f>Poengsammendrag!C51</f>
        <v>Vigdis</v>
      </c>
      <c r="C49" s="621" t="str">
        <f>Poengsammendrag!D51</f>
        <v>Heimly</v>
      </c>
      <c r="D49" s="891"/>
      <c r="E49" s="653">
        <f>Poengsammendrag!G51</f>
        <v>8</v>
      </c>
      <c r="F49" s="653">
        <f>Poengsammendrag!H51</f>
        <v>0</v>
      </c>
      <c r="G49" s="892"/>
      <c r="H49" s="893">
        <f>Poengsammendrag!J51</f>
        <v>476</v>
      </c>
      <c r="I49" s="894">
        <f>Poengsammendrag!K51</f>
        <v>507</v>
      </c>
      <c r="J49" s="895"/>
      <c r="K49" s="658">
        <f>Poengsammendrag!M51</f>
        <v>59.5</v>
      </c>
      <c r="L49" s="896">
        <f>Poengsammendrag!N51</f>
        <v>63.375</v>
      </c>
      <c r="M49" s="897"/>
      <c r="N49" s="898">
        <f>IF(Poengsammendrag!P51&gt;0,Poengsammendrag!P51,Poengsammendrag!M51)</f>
        <v>59.5</v>
      </c>
      <c r="O49" s="875">
        <f>IF(Poengsammendrag!Q51&gt;0,Poengsammendrag!Q51,Poengsammendrag!N51)</f>
        <v>63.375</v>
      </c>
    </row>
    <row r="50" spans="2:15" ht="26" customHeight="1" thickBot="1" x14ac:dyDescent="0.25">
      <c r="B50" s="123" t="str">
        <f>Poengsammendrag!C52</f>
        <v>Øystein</v>
      </c>
      <c r="C50" s="621" t="str">
        <f>Poengsammendrag!D52</f>
        <v>Nytrø</v>
      </c>
      <c r="D50" s="891"/>
      <c r="E50" s="653">
        <f>Poengsammendrag!G52</f>
        <v>11</v>
      </c>
      <c r="F50" s="653">
        <f>Poengsammendrag!H52</f>
        <v>0</v>
      </c>
      <c r="G50" s="892"/>
      <c r="H50" s="893">
        <f>Poengsammendrag!J52</f>
        <v>810</v>
      </c>
      <c r="I50" s="894">
        <f>Poengsammendrag!K52</f>
        <v>695</v>
      </c>
      <c r="J50" s="895"/>
      <c r="K50" s="658">
        <f>Poengsammendrag!M52</f>
        <v>73.63636363636364</v>
      </c>
      <c r="L50" s="896">
        <f>Poengsammendrag!N52</f>
        <v>63.18181818181818</v>
      </c>
      <c r="M50" s="897"/>
      <c r="N50" s="898">
        <f>IF(Poengsammendrag!P52&gt;0,Poengsammendrag!P52,Poengsammendrag!M52)</f>
        <v>73.63636363636364</v>
      </c>
      <c r="O50" s="875">
        <f>IF(Poengsammendrag!Q52&gt;0,Poengsammendrag!Q52,Poengsammendrag!N52)</f>
        <v>63.18181818181818</v>
      </c>
    </row>
    <row r="51" spans="2:15" ht="26" customHeight="1" thickBot="1" x14ac:dyDescent="0.25">
      <c r="B51" s="123" t="str">
        <f>Poengsammendrag!C53</f>
        <v>Jan</v>
      </c>
      <c r="C51" s="621" t="str">
        <f>Poengsammendrag!D53</f>
        <v>Bøhle</v>
      </c>
      <c r="D51" s="891"/>
      <c r="E51" s="653">
        <f>Poengsammendrag!G53</f>
        <v>22</v>
      </c>
      <c r="F51" s="653">
        <f>Poengsammendrag!H53</f>
        <v>0</v>
      </c>
      <c r="G51" s="892"/>
      <c r="H51" s="893">
        <f>Poengsammendrag!J53</f>
        <v>1438</v>
      </c>
      <c r="I51" s="894">
        <f>Poengsammendrag!K53</f>
        <v>1387</v>
      </c>
      <c r="J51" s="895"/>
      <c r="K51" s="658">
        <f>Poengsammendrag!M53</f>
        <v>65.36363636363636</v>
      </c>
      <c r="L51" s="896">
        <f>Poengsammendrag!N53</f>
        <v>63.045454545454547</v>
      </c>
      <c r="M51" s="897"/>
      <c r="N51" s="898">
        <f>IF(Poengsammendrag!P53&gt;0,Poengsammendrag!P53,Poengsammendrag!M53)</f>
        <v>65.36363636363636</v>
      </c>
      <c r="O51" s="875">
        <f>IF(Poengsammendrag!Q53&gt;0,Poengsammendrag!Q53,Poengsammendrag!N53)</f>
        <v>63.045454545454547</v>
      </c>
    </row>
    <row r="52" spans="2:15" ht="26" customHeight="1" thickBot="1" x14ac:dyDescent="0.25">
      <c r="B52" s="123" t="str">
        <f>Poengsammendrag!C54</f>
        <v>Olav</v>
      </c>
      <c r="C52" s="621" t="str">
        <f>Poengsammendrag!D54</f>
        <v>Kvittem</v>
      </c>
      <c r="D52" s="891"/>
      <c r="E52" s="653">
        <f>Poengsammendrag!G54</f>
        <v>8</v>
      </c>
      <c r="F52" s="653">
        <f>Poengsammendrag!H54</f>
        <v>0</v>
      </c>
      <c r="G52" s="892"/>
      <c r="H52" s="893">
        <f>Poengsammendrag!J54</f>
        <v>570</v>
      </c>
      <c r="I52" s="894">
        <f>Poengsammendrag!K54</f>
        <v>501</v>
      </c>
      <c r="J52" s="895"/>
      <c r="K52" s="658">
        <f>Poengsammendrag!M54</f>
        <v>71.25</v>
      </c>
      <c r="L52" s="896">
        <f>Poengsammendrag!N54</f>
        <v>62.625</v>
      </c>
      <c r="M52" s="897"/>
      <c r="N52" s="898">
        <f>IF(Poengsammendrag!P54&gt;0,Poengsammendrag!P54,Poengsammendrag!M54)</f>
        <v>71.25</v>
      </c>
      <c r="O52" s="875">
        <f>IF(Poengsammendrag!Q54&gt;0,Poengsammendrag!Q54,Poengsammendrag!N54)</f>
        <v>62.625</v>
      </c>
    </row>
    <row r="53" spans="2:15" ht="26" customHeight="1" thickBot="1" x14ac:dyDescent="0.25">
      <c r="B53" s="123" t="str">
        <f>Poengsammendrag!C55</f>
        <v>Tor</v>
      </c>
      <c r="C53" s="621" t="str">
        <f>Poengsammendrag!D55</f>
        <v>Gjermstad</v>
      </c>
      <c r="D53" s="891"/>
      <c r="E53" s="653">
        <f>Poengsammendrag!G55</f>
        <v>23</v>
      </c>
      <c r="F53" s="653">
        <f>Poengsammendrag!H55</f>
        <v>1</v>
      </c>
      <c r="G53" s="892"/>
      <c r="H53" s="893">
        <f>Poengsammendrag!J55</f>
        <v>1473</v>
      </c>
      <c r="I53" s="894">
        <f>Poengsammendrag!K55</f>
        <v>1440</v>
      </c>
      <c r="J53" s="895"/>
      <c r="K53" s="658">
        <f>Poengsammendrag!M55</f>
        <v>64.043478260869563</v>
      </c>
      <c r="L53" s="896">
        <f>Poengsammendrag!N55</f>
        <v>62.608695652173914</v>
      </c>
      <c r="M53" s="897"/>
      <c r="N53" s="898">
        <f>IF(Poengsammendrag!P55&gt;0,Poengsammendrag!P55,Poengsammendrag!M55)</f>
        <v>64.043478260869563</v>
      </c>
      <c r="O53" s="875">
        <f>IF(Poengsammendrag!Q55&gt;0,Poengsammendrag!Q55,Poengsammendrag!N55)</f>
        <v>62.608695652173914</v>
      </c>
    </row>
    <row r="54" spans="2:15" ht="26" customHeight="1" thickBot="1" x14ac:dyDescent="0.25">
      <c r="B54" s="123" t="str">
        <f>Poengsammendrag!C56</f>
        <v>Reinold</v>
      </c>
      <c r="C54" s="621" t="str">
        <f>Poengsammendrag!D56</f>
        <v>Ellingsen</v>
      </c>
      <c r="D54" s="891"/>
      <c r="E54" s="653">
        <f>Poengsammendrag!G56</f>
        <v>15</v>
      </c>
      <c r="F54" s="653">
        <f>Poengsammendrag!H56</f>
        <v>1</v>
      </c>
      <c r="G54" s="892"/>
      <c r="H54" s="893">
        <f>Poengsammendrag!J56</f>
        <v>941</v>
      </c>
      <c r="I54" s="894">
        <f>Poengsammendrag!K56</f>
        <v>927</v>
      </c>
      <c r="J54" s="895"/>
      <c r="K54" s="658">
        <f>Poengsammendrag!M56</f>
        <v>62.733333333333334</v>
      </c>
      <c r="L54" s="896">
        <f>Poengsammendrag!N56</f>
        <v>61.8</v>
      </c>
      <c r="M54" s="897"/>
      <c r="N54" s="898">
        <f>IF(Poengsammendrag!P56&gt;0,Poengsammendrag!P56,Poengsammendrag!M56)</f>
        <v>62.733333333333334</v>
      </c>
      <c r="O54" s="875">
        <f>IF(Poengsammendrag!Q56&gt;0,Poengsammendrag!Q56,Poengsammendrag!N56)</f>
        <v>61.8</v>
      </c>
    </row>
    <row r="55" spans="2:15" ht="26" customHeight="1" thickBot="1" x14ac:dyDescent="0.25">
      <c r="B55" s="123" t="str">
        <f>Poengsammendrag!C57</f>
        <v>Nils Olav</v>
      </c>
      <c r="C55" s="621" t="str">
        <f>Poengsammendrag!D57</f>
        <v>Vennevik</v>
      </c>
      <c r="D55" s="891"/>
      <c r="E55" s="653">
        <f>Poengsammendrag!G57</f>
        <v>22</v>
      </c>
      <c r="F55" s="653">
        <f>Poengsammendrag!H57</f>
        <v>2</v>
      </c>
      <c r="G55" s="892"/>
      <c r="H55" s="893">
        <f>Poengsammendrag!J57</f>
        <v>1283</v>
      </c>
      <c r="I55" s="894">
        <f>Poengsammendrag!K57</f>
        <v>1353</v>
      </c>
      <c r="J55" s="895"/>
      <c r="K55" s="658">
        <f>Poengsammendrag!M57</f>
        <v>58.31818181818182</v>
      </c>
      <c r="L55" s="896">
        <f>Poengsammendrag!N57</f>
        <v>61.5</v>
      </c>
      <c r="M55" s="897"/>
      <c r="N55" s="898">
        <f>IF(Poengsammendrag!P57&gt;0,Poengsammendrag!P57,Poengsammendrag!M57)</f>
        <v>58.31818181818182</v>
      </c>
      <c r="O55" s="875">
        <f>IF(Poengsammendrag!Q57&gt;0,Poengsammendrag!Q57,Poengsammendrag!N57)</f>
        <v>61.5</v>
      </c>
    </row>
    <row r="56" spans="2:15" ht="26" customHeight="1" thickBot="1" x14ac:dyDescent="0.25">
      <c r="B56" s="123" t="str">
        <f>Poengsammendrag!C58</f>
        <v>Ottar</v>
      </c>
      <c r="C56" s="621" t="str">
        <f>Poengsammendrag!D58</f>
        <v>Kristiansen</v>
      </c>
      <c r="D56" s="891"/>
      <c r="E56" s="653">
        <f>Poengsammendrag!G58</f>
        <v>7</v>
      </c>
      <c r="F56" s="653">
        <f>Poengsammendrag!H58</f>
        <v>0</v>
      </c>
      <c r="G56" s="892"/>
      <c r="H56" s="893">
        <f>Poengsammendrag!J58</f>
        <v>420</v>
      </c>
      <c r="I56" s="894">
        <f>Poengsammendrag!K58</f>
        <v>426</v>
      </c>
      <c r="J56" s="895"/>
      <c r="K56" s="658">
        <f>Poengsammendrag!M58</f>
        <v>60</v>
      </c>
      <c r="L56" s="896">
        <f>Poengsammendrag!N58</f>
        <v>60.857142857142854</v>
      </c>
      <c r="M56" s="897"/>
      <c r="N56" s="898">
        <f>IF(Poengsammendrag!P58&gt;0,Poengsammendrag!P58,Poengsammendrag!M58)</f>
        <v>60</v>
      </c>
      <c r="O56" s="875">
        <f>IF(Poengsammendrag!Q58&gt;0,Poengsammendrag!Q58,Poengsammendrag!N58)</f>
        <v>60.857142857142854</v>
      </c>
    </row>
    <row r="57" spans="2:15" ht="26" customHeight="1" thickBot="1" x14ac:dyDescent="0.25">
      <c r="B57" s="123" t="str">
        <f>Poengsammendrag!C59</f>
        <v>Jan Erik</v>
      </c>
      <c r="C57" s="621" t="str">
        <f>Poengsammendrag!D59</f>
        <v>Kofoed</v>
      </c>
      <c r="D57" s="891"/>
      <c r="E57" s="653">
        <f>Poengsammendrag!G59</f>
        <v>6</v>
      </c>
      <c r="F57" s="653">
        <f>Poengsammendrag!H59</f>
        <v>0</v>
      </c>
      <c r="G57" s="892"/>
      <c r="H57" s="893">
        <f>Poengsammendrag!J59</f>
        <v>390</v>
      </c>
      <c r="I57" s="894">
        <f>Poengsammendrag!K59</f>
        <v>364</v>
      </c>
      <c r="J57" s="895"/>
      <c r="K57" s="658">
        <f>Poengsammendrag!M59</f>
        <v>65</v>
      </c>
      <c r="L57" s="896">
        <f>Poengsammendrag!N59</f>
        <v>60.666666666666664</v>
      </c>
      <c r="M57" s="897"/>
      <c r="N57" s="898">
        <f>IF(Poengsammendrag!P59&gt;0,Poengsammendrag!P59,Poengsammendrag!M59)</f>
        <v>65</v>
      </c>
      <c r="O57" s="875">
        <f>IF(Poengsammendrag!Q59&gt;0,Poengsammendrag!Q59,Poengsammendrag!N59)</f>
        <v>60.666666666666664</v>
      </c>
    </row>
    <row r="58" spans="2:15" ht="26" customHeight="1" thickBot="1" x14ac:dyDescent="0.25">
      <c r="B58" s="123" t="str">
        <f>Poengsammendrag!C60</f>
        <v>Finn Faye</v>
      </c>
      <c r="C58" s="621" t="str">
        <f>Poengsammendrag!D60</f>
        <v>Knudsen</v>
      </c>
      <c r="D58" s="891"/>
      <c r="E58" s="653">
        <f>Poengsammendrag!G60</f>
        <v>17</v>
      </c>
      <c r="F58" s="653">
        <f>Poengsammendrag!H60</f>
        <v>0</v>
      </c>
      <c r="G58" s="892"/>
      <c r="H58" s="893">
        <f>Poengsammendrag!J60</f>
        <v>886</v>
      </c>
      <c r="I58" s="894">
        <f>Poengsammendrag!K60</f>
        <v>1022</v>
      </c>
      <c r="J58" s="895"/>
      <c r="K58" s="658">
        <f>Poengsammendrag!M60</f>
        <v>52.117647058823529</v>
      </c>
      <c r="L58" s="896">
        <f>Poengsammendrag!N60</f>
        <v>60.117647058823529</v>
      </c>
      <c r="M58" s="897"/>
      <c r="N58" s="898">
        <f>IF(Poengsammendrag!P60&gt;0,Poengsammendrag!P60,Poengsammendrag!M60)</f>
        <v>52.117647058823529</v>
      </c>
      <c r="O58" s="875">
        <f>IF(Poengsammendrag!Q60&gt;0,Poengsammendrag!Q60,Poengsammendrag!N60)</f>
        <v>60.117647058823529</v>
      </c>
    </row>
    <row r="59" spans="2:15" ht="26" customHeight="1" thickBot="1" x14ac:dyDescent="0.25">
      <c r="B59" s="123" t="str">
        <f>Poengsammendrag!C61</f>
        <v>Roar</v>
      </c>
      <c r="C59" s="621" t="str">
        <f>Poengsammendrag!D61</f>
        <v>Forbord</v>
      </c>
      <c r="D59" s="891"/>
      <c r="E59" s="653">
        <f>Poengsammendrag!G61</f>
        <v>16</v>
      </c>
      <c r="F59" s="653">
        <f>Poengsammendrag!H61</f>
        <v>3</v>
      </c>
      <c r="G59" s="892"/>
      <c r="H59" s="893">
        <f>Poengsammendrag!J61</f>
        <v>944</v>
      </c>
      <c r="I59" s="894">
        <f>Poengsammendrag!K61</f>
        <v>945</v>
      </c>
      <c r="J59" s="895"/>
      <c r="K59" s="658">
        <f>Poengsammendrag!M61</f>
        <v>59</v>
      </c>
      <c r="L59" s="896">
        <f>Poengsammendrag!N61</f>
        <v>59.0625</v>
      </c>
      <c r="M59" s="897"/>
      <c r="N59" s="898">
        <f>IF(Poengsammendrag!P61&gt;0,Poengsammendrag!P61,Poengsammendrag!M61)</f>
        <v>59</v>
      </c>
      <c r="O59" s="875">
        <f>IF(Poengsammendrag!Q61&gt;0,Poengsammendrag!Q61,Poengsammendrag!N61)</f>
        <v>59.0625</v>
      </c>
    </row>
    <row r="60" spans="2:15" ht="26" customHeight="1" thickBot="1" x14ac:dyDescent="0.25">
      <c r="B60" s="123" t="str">
        <f>Poengsammendrag!C62</f>
        <v>Atle</v>
      </c>
      <c r="C60" s="621" t="str">
        <f>Poengsammendrag!D62</f>
        <v>Mørk</v>
      </c>
      <c r="D60" s="891"/>
      <c r="E60" s="653">
        <f>Poengsammendrag!G62</f>
        <v>23</v>
      </c>
      <c r="F60" s="653">
        <f>Poengsammendrag!H62</f>
        <v>3</v>
      </c>
      <c r="G60" s="892"/>
      <c r="H60" s="893">
        <f>Poengsammendrag!J62</f>
        <v>1344</v>
      </c>
      <c r="I60" s="894">
        <f>Poengsammendrag!K62</f>
        <v>1350</v>
      </c>
      <c r="J60" s="895"/>
      <c r="K60" s="658">
        <f>Poengsammendrag!M62</f>
        <v>58.434782608695649</v>
      </c>
      <c r="L60" s="896">
        <f>Poengsammendrag!N62</f>
        <v>58.695652173913047</v>
      </c>
      <c r="M60" s="897"/>
      <c r="N60" s="898">
        <f>IF(Poengsammendrag!P62&gt;0,Poengsammendrag!P62,Poengsammendrag!M62)</f>
        <v>58.434782608695649</v>
      </c>
      <c r="O60" s="875">
        <f>IF(Poengsammendrag!Q62&gt;0,Poengsammendrag!Q62,Poengsammendrag!N62)</f>
        <v>58.695652173913047</v>
      </c>
    </row>
    <row r="61" spans="2:15" ht="26" customHeight="1" thickBot="1" x14ac:dyDescent="0.25">
      <c r="B61" s="123" t="str">
        <f>Poengsammendrag!C63</f>
        <v>Kåre</v>
      </c>
      <c r="C61" s="621" t="str">
        <f>Poengsammendrag!D63</f>
        <v>Onsøyen</v>
      </c>
      <c r="D61" s="891"/>
      <c r="E61" s="653">
        <f>Poengsammendrag!G63</f>
        <v>8</v>
      </c>
      <c r="F61" s="653">
        <f>Poengsammendrag!H63</f>
        <v>0</v>
      </c>
      <c r="G61" s="892"/>
      <c r="H61" s="893">
        <f>Poengsammendrag!J63</f>
        <v>451</v>
      </c>
      <c r="I61" s="894">
        <f>Poengsammendrag!K63</f>
        <v>469</v>
      </c>
      <c r="J61" s="895"/>
      <c r="K61" s="658">
        <f>Poengsammendrag!M63</f>
        <v>56.375</v>
      </c>
      <c r="L61" s="896">
        <f>Poengsammendrag!N63</f>
        <v>58.625</v>
      </c>
      <c r="M61" s="897"/>
      <c r="N61" s="898">
        <f>IF(Poengsammendrag!P63&gt;0,Poengsammendrag!P63,Poengsammendrag!M63)</f>
        <v>56.375</v>
      </c>
      <c r="O61" s="875">
        <f>IF(Poengsammendrag!Q63&gt;0,Poengsammendrag!Q63,Poengsammendrag!N63)</f>
        <v>58.625</v>
      </c>
    </row>
    <row r="62" spans="2:15" ht="26" customHeight="1" thickBot="1" x14ac:dyDescent="0.25">
      <c r="B62" s="123" t="str">
        <f>Poengsammendrag!C64</f>
        <v>Frank</v>
      </c>
      <c r="C62" s="621" t="str">
        <f>Poengsammendrag!D64</f>
        <v>Bjarkø</v>
      </c>
      <c r="D62" s="891"/>
      <c r="E62" s="653">
        <f>Poengsammendrag!G64</f>
        <v>4</v>
      </c>
      <c r="F62" s="653">
        <f>Poengsammendrag!H64</f>
        <v>0</v>
      </c>
      <c r="G62" s="892"/>
      <c r="H62" s="893">
        <f>Poengsammendrag!J64</f>
        <v>237</v>
      </c>
      <c r="I62" s="894">
        <f>Poengsammendrag!K64</f>
        <v>225</v>
      </c>
      <c r="J62" s="895"/>
      <c r="K62" s="658">
        <f>Poengsammendrag!M64</f>
        <v>59.25</v>
      </c>
      <c r="L62" s="896">
        <f>Poengsammendrag!N64</f>
        <v>56.25</v>
      </c>
      <c r="M62" s="897"/>
      <c r="N62" s="898">
        <f>IF(Poengsammendrag!P64&gt;0,Poengsammendrag!P64,Poengsammendrag!M64)</f>
        <v>59.25</v>
      </c>
      <c r="O62" s="875">
        <f>IF(Poengsammendrag!Q64&gt;0,Poengsammendrag!Q64,Poengsammendrag!N64)</f>
        <v>56.25</v>
      </c>
    </row>
    <row r="63" spans="2:15" ht="26" customHeight="1" thickBot="1" x14ac:dyDescent="0.25">
      <c r="B63" s="123" t="str">
        <f>Poengsammendrag!C65</f>
        <v>Rune</v>
      </c>
      <c r="C63" s="621" t="str">
        <f>Poengsammendrag!D65</f>
        <v>Holt</v>
      </c>
      <c r="D63" s="891"/>
      <c r="E63" s="653">
        <f>Poengsammendrag!G65</f>
        <v>25</v>
      </c>
      <c r="F63" s="653">
        <f>Poengsammendrag!H65</f>
        <v>1</v>
      </c>
      <c r="G63" s="892"/>
      <c r="H63" s="893">
        <f>Poengsammendrag!J65</f>
        <v>1457</v>
      </c>
      <c r="I63" s="894">
        <f>Poengsammendrag!K65</f>
        <v>1397</v>
      </c>
      <c r="J63" s="895"/>
      <c r="K63" s="658">
        <f>Poengsammendrag!M65</f>
        <v>58.28</v>
      </c>
      <c r="L63" s="896">
        <f>Poengsammendrag!N65</f>
        <v>55.88</v>
      </c>
      <c r="M63" s="897"/>
      <c r="N63" s="898">
        <f>IF(Poengsammendrag!P65&gt;0,Poengsammendrag!P65,Poengsammendrag!M65)</f>
        <v>58.28</v>
      </c>
      <c r="O63" s="875">
        <f>IF(Poengsammendrag!Q65&gt;0,Poengsammendrag!Q65,Poengsammendrag!N65)</f>
        <v>55.88</v>
      </c>
    </row>
    <row r="64" spans="2:15" ht="26" customHeight="1" thickBot="1" x14ac:dyDescent="0.25">
      <c r="B64" s="123" t="str">
        <f>Poengsammendrag!C66</f>
        <v>Erik</v>
      </c>
      <c r="C64" s="621" t="str">
        <f>Poengsammendrag!D66</f>
        <v>Lund</v>
      </c>
      <c r="D64" s="891"/>
      <c r="E64" s="653">
        <f>Poengsammendrag!G66</f>
        <v>14</v>
      </c>
      <c r="F64" s="653">
        <f>Poengsammendrag!H66</f>
        <v>0</v>
      </c>
      <c r="G64" s="892"/>
      <c r="H64" s="893">
        <f>Poengsammendrag!J66</f>
        <v>724</v>
      </c>
      <c r="I64" s="894">
        <f>Poengsammendrag!K66</f>
        <v>779</v>
      </c>
      <c r="J64" s="895"/>
      <c r="K64" s="658">
        <f>Poengsammendrag!M66</f>
        <v>51.714285714285715</v>
      </c>
      <c r="L64" s="896">
        <f>Poengsammendrag!N66</f>
        <v>55.642857142857146</v>
      </c>
      <c r="M64" s="897"/>
      <c r="N64" s="898">
        <f>IF(Poengsammendrag!P66&gt;0,Poengsammendrag!P66,Poengsammendrag!M66)</f>
        <v>51.714285714285715</v>
      </c>
      <c r="O64" s="875">
        <f>IF(Poengsammendrag!Q66&gt;0,Poengsammendrag!Q66,Poengsammendrag!N66)</f>
        <v>55.642857142857146</v>
      </c>
    </row>
    <row r="65" spans="2:15" ht="26" customHeight="1" thickBot="1" x14ac:dyDescent="0.25">
      <c r="B65" s="123" t="str">
        <f>Poengsammendrag!C67</f>
        <v>Jostein</v>
      </c>
      <c r="C65" s="621" t="str">
        <f>Poengsammendrag!D67</f>
        <v>Grepstad</v>
      </c>
      <c r="D65" s="891"/>
      <c r="E65" s="653">
        <f>Poengsammendrag!G67</f>
        <v>15</v>
      </c>
      <c r="F65" s="653">
        <f>Poengsammendrag!H67</f>
        <v>1</v>
      </c>
      <c r="G65" s="892"/>
      <c r="H65" s="893">
        <f>Poengsammendrag!J67</f>
        <v>836</v>
      </c>
      <c r="I65" s="894">
        <f>Poengsammendrag!K67</f>
        <v>825</v>
      </c>
      <c r="J65" s="895"/>
      <c r="K65" s="658">
        <f>Poengsammendrag!M67</f>
        <v>55.733333333333334</v>
      </c>
      <c r="L65" s="896">
        <f>Poengsammendrag!N67</f>
        <v>55</v>
      </c>
      <c r="M65" s="897"/>
      <c r="N65" s="898">
        <f>IF(Poengsammendrag!P67&gt;0,Poengsammendrag!P67,Poengsammendrag!M67)</f>
        <v>55.733333333333334</v>
      </c>
      <c r="O65" s="875">
        <f>IF(Poengsammendrag!Q67&gt;0,Poengsammendrag!Q67,Poengsammendrag!N67)</f>
        <v>55</v>
      </c>
    </row>
    <row r="66" spans="2:15" ht="26" customHeight="1" thickBot="1" x14ac:dyDescent="0.25">
      <c r="B66" s="123" t="str">
        <f>Poengsammendrag!C68</f>
        <v>Per Olav</v>
      </c>
      <c r="C66" s="621" t="str">
        <f>Poengsammendrag!D68</f>
        <v>Johansen</v>
      </c>
      <c r="D66" s="891"/>
      <c r="E66" s="653">
        <f>Poengsammendrag!G68</f>
        <v>12</v>
      </c>
      <c r="F66" s="653">
        <f>Poengsammendrag!H68</f>
        <v>0</v>
      </c>
      <c r="G66" s="892"/>
      <c r="H66" s="893">
        <f>Poengsammendrag!J68</f>
        <v>732</v>
      </c>
      <c r="I66" s="894">
        <f>Poengsammendrag!K68</f>
        <v>651</v>
      </c>
      <c r="J66" s="895"/>
      <c r="K66" s="658">
        <f>Poengsammendrag!M68</f>
        <v>61</v>
      </c>
      <c r="L66" s="896">
        <f>Poengsammendrag!N68</f>
        <v>54.25</v>
      </c>
      <c r="M66" s="897"/>
      <c r="N66" s="898">
        <f>IF(Poengsammendrag!P68&gt;0,Poengsammendrag!P68,Poengsammendrag!M68)</f>
        <v>61</v>
      </c>
      <c r="O66" s="875">
        <f>IF(Poengsammendrag!Q68&gt;0,Poengsammendrag!Q68,Poengsammendrag!N68)</f>
        <v>54.25</v>
      </c>
    </row>
    <row r="67" spans="2:15" ht="26" customHeight="1" thickBot="1" x14ac:dyDescent="0.25">
      <c r="B67" s="123" t="str">
        <f>Poengsammendrag!C69</f>
        <v>Henry</v>
      </c>
      <c r="C67" s="621" t="str">
        <f>Poengsammendrag!D69</f>
        <v>Sundsetvik</v>
      </c>
      <c r="D67" s="891"/>
      <c r="E67" s="653">
        <f>Poengsammendrag!G69</f>
        <v>5</v>
      </c>
      <c r="F67" s="653">
        <f>Poengsammendrag!H69</f>
        <v>0</v>
      </c>
      <c r="G67" s="892"/>
      <c r="H67" s="893">
        <f>Poengsammendrag!J69</f>
        <v>250</v>
      </c>
      <c r="I67" s="894">
        <f>Poengsammendrag!K69</f>
        <v>271</v>
      </c>
      <c r="J67" s="895"/>
      <c r="K67" s="658">
        <f>Poengsammendrag!M69</f>
        <v>50</v>
      </c>
      <c r="L67" s="896">
        <f>Poengsammendrag!N69</f>
        <v>54.2</v>
      </c>
      <c r="M67" s="897"/>
      <c r="N67" s="898">
        <f>IF(Poengsammendrag!P69&gt;0,Poengsammendrag!P69,Poengsammendrag!M69)</f>
        <v>50</v>
      </c>
      <c r="O67" s="875">
        <f>IF(Poengsammendrag!Q69&gt;0,Poengsammendrag!Q69,Poengsammendrag!N69)</f>
        <v>54.2</v>
      </c>
    </row>
    <row r="68" spans="2:15" ht="26" customHeight="1" thickBot="1" x14ac:dyDescent="0.25">
      <c r="B68" s="123" t="str">
        <f>Poengsammendrag!C70</f>
        <v>Kjellrun</v>
      </c>
      <c r="C68" s="621" t="str">
        <f>Poengsammendrag!D70</f>
        <v>Sporild</v>
      </c>
      <c r="D68" s="891"/>
      <c r="E68" s="653">
        <f>Poengsammendrag!G70</f>
        <v>2</v>
      </c>
      <c r="F68" s="653">
        <f>Poengsammendrag!H70</f>
        <v>0</v>
      </c>
      <c r="G68" s="892"/>
      <c r="H68" s="893">
        <f>Poengsammendrag!J70</f>
        <v>180</v>
      </c>
      <c r="I68" s="894">
        <f>Poengsammendrag!K70</f>
        <v>200</v>
      </c>
      <c r="J68" s="895"/>
      <c r="K68" s="658">
        <f>Poengsammendrag!M70</f>
        <v>90</v>
      </c>
      <c r="L68" s="896">
        <f>Poengsammendrag!N70</f>
        <v>100</v>
      </c>
      <c r="M68" s="897"/>
      <c r="N68" s="903">
        <f>IF(Poengsammendrag!P70&gt;0,Poengsammendrag!P70,Poengsammendrag!M70)</f>
        <v>90</v>
      </c>
      <c r="O68" s="904">
        <f>IF(Poengsammendrag!Q70&gt;0,Poengsammendrag!Q70,Poengsammendrag!N70)</f>
        <v>100</v>
      </c>
    </row>
    <row r="69" spans="2:15" ht="26" customHeight="1" thickBot="1" x14ac:dyDescent="0.25">
      <c r="B69" s="123" t="str">
        <f>Poengsammendrag!C71</f>
        <v>Gunnar</v>
      </c>
      <c r="C69" s="621" t="str">
        <f>Poengsammendrag!D71</f>
        <v>Østerbø</v>
      </c>
      <c r="D69" s="891"/>
      <c r="E69" s="653">
        <f>Poengsammendrag!G71</f>
        <v>3</v>
      </c>
      <c r="F69" s="653">
        <f>Poengsammendrag!H71</f>
        <v>0</v>
      </c>
      <c r="G69" s="892"/>
      <c r="H69" s="893">
        <f>Poengsammendrag!J71</f>
        <v>221</v>
      </c>
      <c r="I69" s="894">
        <f>Poengsammendrag!K71</f>
        <v>297</v>
      </c>
      <c r="J69" s="895"/>
      <c r="K69" s="658">
        <f>Poengsammendrag!M71</f>
        <v>73.666666666666671</v>
      </c>
      <c r="L69" s="896">
        <f>Poengsammendrag!N71</f>
        <v>99</v>
      </c>
      <c r="M69" s="897"/>
      <c r="N69" s="903">
        <f>IF(Poengsammendrag!P71&gt;0,Poengsammendrag!P71,Poengsammendrag!M71)</f>
        <v>73.666666666666671</v>
      </c>
      <c r="O69" s="904">
        <f>IF(Poengsammendrag!Q71&gt;0,Poengsammendrag!Q71,Poengsammendrag!N71)</f>
        <v>99</v>
      </c>
    </row>
    <row r="70" spans="2:15" ht="26" customHeight="1" thickBot="1" x14ac:dyDescent="0.25">
      <c r="B70" s="123" t="str">
        <f>Poengsammendrag!C72</f>
        <v>Torid</v>
      </c>
      <c r="C70" s="621" t="str">
        <f>Poengsammendrag!D72</f>
        <v>Kvaal</v>
      </c>
      <c r="D70" s="891"/>
      <c r="E70" s="653">
        <f>Poengsammendrag!G72</f>
        <v>3</v>
      </c>
      <c r="F70" s="653">
        <f>Poengsammendrag!H72</f>
        <v>0</v>
      </c>
      <c r="G70" s="892"/>
      <c r="H70" s="893">
        <f>Poengsammendrag!J72</f>
        <v>175</v>
      </c>
      <c r="I70" s="894">
        <f>Poengsammendrag!K72</f>
        <v>289</v>
      </c>
      <c r="J70" s="895"/>
      <c r="K70" s="658">
        <f>Poengsammendrag!M72</f>
        <v>58.333333333333336</v>
      </c>
      <c r="L70" s="896">
        <f>Poengsammendrag!N72</f>
        <v>96.333333333333329</v>
      </c>
      <c r="M70" s="897"/>
      <c r="N70" s="903">
        <f>IF(Poengsammendrag!P72&gt;0,Poengsammendrag!P72,Poengsammendrag!M72)</f>
        <v>58.333333333333336</v>
      </c>
      <c r="O70" s="904">
        <f>IF(Poengsammendrag!Q72&gt;0,Poengsammendrag!Q72,Poengsammendrag!N72)</f>
        <v>96.333333333333329</v>
      </c>
    </row>
    <row r="71" spans="2:15" ht="26" customHeight="1" thickBot="1" x14ac:dyDescent="0.25">
      <c r="B71" s="123" t="str">
        <f>Poengsammendrag!C73</f>
        <v>Stina</v>
      </c>
      <c r="C71" s="621" t="str">
        <f>Poengsammendrag!D73</f>
        <v>Elfving</v>
      </c>
      <c r="D71" s="891"/>
      <c r="E71" s="653">
        <f>Poengsammendrag!G73</f>
        <v>1</v>
      </c>
      <c r="F71" s="653">
        <f>Poengsammendrag!H73</f>
        <v>1</v>
      </c>
      <c r="G71" s="892"/>
      <c r="H71" s="893">
        <f>Poengsammendrag!J73</f>
        <v>94</v>
      </c>
      <c r="I71" s="894">
        <f>Poengsammendrag!K73</f>
        <v>94</v>
      </c>
      <c r="J71" s="895"/>
      <c r="K71" s="658">
        <f>Poengsammendrag!M73</f>
        <v>94</v>
      </c>
      <c r="L71" s="896">
        <f>Poengsammendrag!N73</f>
        <v>94</v>
      </c>
      <c r="M71" s="897"/>
      <c r="N71" s="903">
        <f>IF(Poengsammendrag!P73&gt;0,Poengsammendrag!P73,Poengsammendrag!M73)</f>
        <v>94</v>
      </c>
      <c r="O71" s="904">
        <f>IF(Poengsammendrag!Q73&gt;0,Poengsammendrag!Q73,Poengsammendrag!N73)</f>
        <v>94</v>
      </c>
    </row>
    <row r="72" spans="2:15" ht="26" customHeight="1" thickBot="1" x14ac:dyDescent="0.25">
      <c r="B72" s="123" t="str">
        <f>Poengsammendrag!C74</f>
        <v>Kristian</v>
      </c>
      <c r="C72" s="621" t="str">
        <f>Poengsammendrag!D74</f>
        <v>Fougner</v>
      </c>
      <c r="D72" s="891"/>
      <c r="E72" s="653">
        <f>Poengsammendrag!G74</f>
        <v>4</v>
      </c>
      <c r="F72" s="653">
        <f>Poengsammendrag!H74</f>
        <v>4</v>
      </c>
      <c r="G72" s="892"/>
      <c r="H72" s="893">
        <f>Poengsammendrag!J74</f>
        <v>376</v>
      </c>
      <c r="I72" s="894">
        <f>Poengsammendrag!K74</f>
        <v>376</v>
      </c>
      <c r="J72" s="895"/>
      <c r="K72" s="658">
        <f>Poengsammendrag!M74</f>
        <v>94</v>
      </c>
      <c r="L72" s="896">
        <f>Poengsammendrag!N74</f>
        <v>94</v>
      </c>
      <c r="M72" s="897"/>
      <c r="N72" s="903">
        <f>IF(Poengsammendrag!P74&gt;0,Poengsammendrag!P74,Poengsammendrag!M74)</f>
        <v>94</v>
      </c>
      <c r="O72" s="904">
        <f>IF(Poengsammendrag!Q74&gt;0,Poengsammendrag!Q74,Poengsammendrag!N74)</f>
        <v>94</v>
      </c>
    </row>
    <row r="73" spans="2:15" ht="26" customHeight="1" thickBot="1" x14ac:dyDescent="0.25">
      <c r="B73" s="123" t="str">
        <f>Poengsammendrag!C75</f>
        <v>Gerd</v>
      </c>
      <c r="C73" s="621" t="str">
        <f>Poengsammendrag!D75</f>
        <v>Bjørset</v>
      </c>
      <c r="D73" s="891"/>
      <c r="E73" s="653">
        <f>Poengsammendrag!G75</f>
        <v>3</v>
      </c>
      <c r="F73" s="653">
        <f>Poengsammendrag!H75</f>
        <v>0</v>
      </c>
      <c r="G73" s="892"/>
      <c r="H73" s="893">
        <f>Poengsammendrag!J75</f>
        <v>224</v>
      </c>
      <c r="I73" s="894">
        <f>Poengsammendrag!K75</f>
        <v>280</v>
      </c>
      <c r="J73" s="895"/>
      <c r="K73" s="658">
        <f>Poengsammendrag!M75</f>
        <v>74.666666666666671</v>
      </c>
      <c r="L73" s="896">
        <f>Poengsammendrag!N75</f>
        <v>93.333333333333329</v>
      </c>
      <c r="M73" s="897"/>
      <c r="N73" s="903">
        <f>IF(Poengsammendrag!P75&gt;0,Poengsammendrag!P75,Poengsammendrag!M75)</f>
        <v>74.666666666666671</v>
      </c>
      <c r="O73" s="904">
        <f>IF(Poengsammendrag!Q75&gt;0,Poengsammendrag!Q75,Poengsammendrag!N75)</f>
        <v>93.333333333333329</v>
      </c>
    </row>
    <row r="74" spans="2:15" ht="26" customHeight="1" thickBot="1" x14ac:dyDescent="0.25">
      <c r="B74" s="123" t="str">
        <f>Poengsammendrag!C76</f>
        <v>Anders</v>
      </c>
      <c r="C74" s="621" t="str">
        <f>Poengsammendrag!D76</f>
        <v>Gjermo</v>
      </c>
      <c r="D74" s="891"/>
      <c r="E74" s="653">
        <f>Poengsammendrag!G76</f>
        <v>2</v>
      </c>
      <c r="F74" s="653">
        <f>Poengsammendrag!H76</f>
        <v>0</v>
      </c>
      <c r="G74" s="892"/>
      <c r="H74" s="893">
        <f>Poengsammendrag!J76</f>
        <v>200</v>
      </c>
      <c r="I74" s="894">
        <f>Poengsammendrag!K76</f>
        <v>182</v>
      </c>
      <c r="J74" s="895"/>
      <c r="K74" s="658">
        <f>Poengsammendrag!M76</f>
        <v>100</v>
      </c>
      <c r="L74" s="896">
        <f>Poengsammendrag!N76</f>
        <v>91</v>
      </c>
      <c r="M74" s="897"/>
      <c r="N74" s="903">
        <f>IF(Poengsammendrag!P76&gt;0,Poengsammendrag!P76,Poengsammendrag!M76)</f>
        <v>100</v>
      </c>
      <c r="O74" s="904">
        <f>IF(Poengsammendrag!Q76&gt;0,Poengsammendrag!Q76,Poengsammendrag!N76)</f>
        <v>91</v>
      </c>
    </row>
    <row r="75" spans="2:15" ht="26" customHeight="1" thickBot="1" x14ac:dyDescent="0.25">
      <c r="B75" s="123" t="str">
        <f>Poengsammendrag!C77</f>
        <v>Knut</v>
      </c>
      <c r="C75" s="621" t="str">
        <f>Poengsammendrag!D77</f>
        <v>Helland</v>
      </c>
      <c r="D75" s="891"/>
      <c r="E75" s="653">
        <f>Poengsammendrag!G77</f>
        <v>2</v>
      </c>
      <c r="F75" s="653">
        <f>Poengsammendrag!H77</f>
        <v>0</v>
      </c>
      <c r="G75" s="892"/>
      <c r="H75" s="893">
        <f>Poengsammendrag!J77</f>
        <v>200</v>
      </c>
      <c r="I75" s="894">
        <f>Poengsammendrag!K77</f>
        <v>178</v>
      </c>
      <c r="J75" s="895"/>
      <c r="K75" s="658">
        <f>Poengsammendrag!M77</f>
        <v>100</v>
      </c>
      <c r="L75" s="896">
        <f>Poengsammendrag!N77</f>
        <v>89</v>
      </c>
      <c r="M75" s="897"/>
      <c r="N75" s="903">
        <f>IF(Poengsammendrag!P77&gt;0,Poengsammendrag!P77,Poengsammendrag!M77)</f>
        <v>100</v>
      </c>
      <c r="O75" s="904">
        <f>IF(Poengsammendrag!Q77&gt;0,Poengsammendrag!Q77,Poengsammendrag!N77)</f>
        <v>89</v>
      </c>
    </row>
    <row r="76" spans="2:15" ht="26" customHeight="1" thickBot="1" x14ac:dyDescent="0.25">
      <c r="B76" s="123" t="str">
        <f>Poengsammendrag!C78</f>
        <v>Arild</v>
      </c>
      <c r="C76" s="621" t="str">
        <f>Poengsammendrag!D78</f>
        <v>Clausen</v>
      </c>
      <c r="D76" s="891"/>
      <c r="E76" s="653">
        <f>Poengsammendrag!G78</f>
        <v>2</v>
      </c>
      <c r="F76" s="653">
        <f>Poengsammendrag!H78</f>
        <v>0</v>
      </c>
      <c r="G76" s="892"/>
      <c r="H76" s="893">
        <f>Poengsammendrag!J78</f>
        <v>185</v>
      </c>
      <c r="I76" s="894">
        <f>Poengsammendrag!K78</f>
        <v>146</v>
      </c>
      <c r="J76" s="895"/>
      <c r="K76" s="658">
        <f>Poengsammendrag!M78</f>
        <v>92.5</v>
      </c>
      <c r="L76" s="896">
        <f>Poengsammendrag!N78</f>
        <v>73</v>
      </c>
      <c r="M76" s="897"/>
      <c r="N76" s="903">
        <f>IF(Poengsammendrag!P78&gt;0,Poengsammendrag!P78,Poengsammendrag!M78)</f>
        <v>92.5</v>
      </c>
      <c r="O76" s="904">
        <f>IF(Poengsammendrag!Q78&gt;0,Poengsammendrag!Q78,Poengsammendrag!N78)</f>
        <v>73</v>
      </c>
    </row>
    <row r="77" spans="2:15" ht="26" customHeight="1" thickBot="1" x14ac:dyDescent="0.25">
      <c r="B77" s="123" t="str">
        <f>Poengsammendrag!C79</f>
        <v xml:space="preserve">Bjørn </v>
      </c>
      <c r="C77" s="621" t="str">
        <f>Poengsammendrag!D79</f>
        <v>Rindstad</v>
      </c>
      <c r="D77" s="891"/>
      <c r="E77" s="653">
        <f>Poengsammendrag!G79</f>
        <v>2</v>
      </c>
      <c r="F77" s="653">
        <f>Poengsammendrag!H79</f>
        <v>1</v>
      </c>
      <c r="G77" s="892"/>
      <c r="H77" s="893">
        <f>Poengsammendrag!J79</f>
        <v>144</v>
      </c>
      <c r="I77" s="894">
        <f>Poengsammendrag!K79</f>
        <v>144</v>
      </c>
      <c r="J77" s="895"/>
      <c r="K77" s="658">
        <f>Poengsammendrag!M79</f>
        <v>72</v>
      </c>
      <c r="L77" s="896">
        <f>Poengsammendrag!N79</f>
        <v>72</v>
      </c>
      <c r="M77" s="897"/>
      <c r="N77" s="903">
        <f>IF(Poengsammendrag!P79&gt;0,Poengsammendrag!P79,Poengsammendrag!M79)</f>
        <v>72</v>
      </c>
      <c r="O77" s="904">
        <f>IF(Poengsammendrag!Q79&gt;0,Poengsammendrag!Q79,Poengsammendrag!N79)</f>
        <v>72</v>
      </c>
    </row>
    <row r="78" spans="2:15" ht="26" customHeight="1" thickBot="1" x14ac:dyDescent="0.25">
      <c r="B78" s="123" t="str">
        <f>Poengsammendrag!C80</f>
        <v>Trond</v>
      </c>
      <c r="C78" s="621" t="str">
        <f>Poengsammendrag!D80</f>
        <v>Damås</v>
      </c>
      <c r="D78" s="891"/>
      <c r="E78" s="653">
        <f>Poengsammendrag!G80</f>
        <v>3</v>
      </c>
      <c r="F78" s="653">
        <f>Poengsammendrag!H80</f>
        <v>0</v>
      </c>
      <c r="G78" s="892"/>
      <c r="H78" s="893">
        <f>Poengsammendrag!J80</f>
        <v>209</v>
      </c>
      <c r="I78" s="894">
        <f>Poengsammendrag!K80</f>
        <v>207</v>
      </c>
      <c r="J78" s="895"/>
      <c r="K78" s="658">
        <f>Poengsammendrag!M80</f>
        <v>69.666666666666671</v>
      </c>
      <c r="L78" s="896">
        <f>Poengsammendrag!N80</f>
        <v>69</v>
      </c>
      <c r="M78" s="897"/>
      <c r="N78" s="903">
        <f>IF(Poengsammendrag!P80&gt;0,Poengsammendrag!P80,Poengsammendrag!M80)</f>
        <v>69.666666666666671</v>
      </c>
      <c r="O78" s="904">
        <f>IF(Poengsammendrag!Q80&gt;0,Poengsammendrag!Q80,Poengsammendrag!N80)</f>
        <v>69</v>
      </c>
    </row>
    <row r="79" spans="2:15" ht="26" customHeight="1" thickBot="1" x14ac:dyDescent="0.25">
      <c r="B79" s="123" t="str">
        <f>Poengsammendrag!C81</f>
        <v>Håkon</v>
      </c>
      <c r="C79" s="621" t="str">
        <f>Poengsammendrag!D81</f>
        <v>Arnesen</v>
      </c>
      <c r="D79" s="891"/>
      <c r="E79" s="653">
        <f>Poengsammendrag!G81</f>
        <v>1</v>
      </c>
      <c r="F79" s="653">
        <f>Poengsammendrag!H81</f>
        <v>0</v>
      </c>
      <c r="G79" s="892"/>
      <c r="H79" s="893">
        <f>Poengsammendrag!J81</f>
        <v>83</v>
      </c>
      <c r="I79" s="894">
        <f>Poengsammendrag!K81</f>
        <v>68</v>
      </c>
      <c r="J79" s="895"/>
      <c r="K79" s="658">
        <f>Poengsammendrag!M81</f>
        <v>83</v>
      </c>
      <c r="L79" s="896">
        <f>Poengsammendrag!N81</f>
        <v>68</v>
      </c>
      <c r="M79" s="897"/>
      <c r="N79" s="903">
        <f>IF(Poengsammendrag!P81&gt;0,Poengsammendrag!P81,Poengsammendrag!M81)</f>
        <v>83</v>
      </c>
      <c r="O79" s="904">
        <f>IF(Poengsammendrag!Q81&gt;0,Poengsammendrag!Q81,Poengsammendrag!N81)</f>
        <v>68</v>
      </c>
    </row>
    <row r="80" spans="2:15" ht="26" customHeight="1" thickBot="1" x14ac:dyDescent="0.25">
      <c r="B80" s="123" t="str">
        <f>Poengsammendrag!C82</f>
        <v>Åse Rita</v>
      </c>
      <c r="C80" s="621" t="str">
        <f>Poengsammendrag!D82</f>
        <v>Ellingsen</v>
      </c>
      <c r="D80" s="891"/>
      <c r="E80" s="653">
        <f>Poengsammendrag!G82</f>
        <v>3</v>
      </c>
      <c r="F80" s="653">
        <f>Poengsammendrag!H82</f>
        <v>0</v>
      </c>
      <c r="G80" s="892"/>
      <c r="H80" s="893">
        <f>Poengsammendrag!J82</f>
        <v>181</v>
      </c>
      <c r="I80" s="894">
        <f>Poengsammendrag!K82</f>
        <v>204</v>
      </c>
      <c r="J80" s="895"/>
      <c r="K80" s="658">
        <f>Poengsammendrag!M82</f>
        <v>60.333333333333336</v>
      </c>
      <c r="L80" s="896">
        <f>Poengsammendrag!N82</f>
        <v>68</v>
      </c>
      <c r="M80" s="897"/>
      <c r="N80" s="903">
        <f>IF(Poengsammendrag!P82&gt;0,Poengsammendrag!P82,Poengsammendrag!M82)</f>
        <v>60.333333333333336</v>
      </c>
      <c r="O80" s="904">
        <f>IF(Poengsammendrag!Q82&gt;0,Poengsammendrag!Q82,Poengsammendrag!N82)</f>
        <v>68</v>
      </c>
    </row>
    <row r="81" spans="2:15" ht="26" customHeight="1" thickBot="1" x14ac:dyDescent="0.25">
      <c r="B81" s="123" t="str">
        <f>Poengsammendrag!C83</f>
        <v>Øyvind</v>
      </c>
      <c r="C81" s="621" t="str">
        <f>Poengsammendrag!D83</f>
        <v>Rogndalen</v>
      </c>
      <c r="D81" s="891"/>
      <c r="E81" s="653">
        <f>Poengsammendrag!G83</f>
        <v>1</v>
      </c>
      <c r="F81" s="653">
        <f>Poengsammendrag!H83</f>
        <v>0</v>
      </c>
      <c r="G81" s="892"/>
      <c r="H81" s="893">
        <f>Poengsammendrag!J83</f>
        <v>56</v>
      </c>
      <c r="I81" s="894">
        <f>Poengsammendrag!K83</f>
        <v>68</v>
      </c>
      <c r="J81" s="895"/>
      <c r="K81" s="658">
        <f>Poengsammendrag!M83</f>
        <v>56</v>
      </c>
      <c r="L81" s="896">
        <f>Poengsammendrag!N83</f>
        <v>68</v>
      </c>
      <c r="M81" s="897"/>
      <c r="N81" s="903">
        <f>IF(Poengsammendrag!P83&gt;0,Poengsammendrag!P83,Poengsammendrag!M83)</f>
        <v>56</v>
      </c>
      <c r="O81" s="904">
        <f>IF(Poengsammendrag!Q83&gt;0,Poengsammendrag!Q83,Poengsammendrag!N83)</f>
        <v>68</v>
      </c>
    </row>
    <row r="82" spans="2:15" ht="26" customHeight="1" thickBot="1" x14ac:dyDescent="0.25">
      <c r="B82" s="123" t="str">
        <f>Poengsammendrag!C84</f>
        <v>Viggo</v>
      </c>
      <c r="C82" s="621" t="str">
        <f>Poengsammendrag!D84</f>
        <v>Schei</v>
      </c>
      <c r="D82" s="891"/>
      <c r="E82" s="653">
        <f>Poengsammendrag!G84</f>
        <v>3</v>
      </c>
      <c r="F82" s="653">
        <f>Poengsammendrag!H84</f>
        <v>0</v>
      </c>
      <c r="G82" s="892"/>
      <c r="H82" s="893">
        <f>Poengsammendrag!J84</f>
        <v>187</v>
      </c>
      <c r="I82" s="894">
        <f>Poengsammendrag!K84</f>
        <v>188</v>
      </c>
      <c r="J82" s="895"/>
      <c r="K82" s="658">
        <f>Poengsammendrag!M84</f>
        <v>62.333333333333336</v>
      </c>
      <c r="L82" s="896">
        <f>Poengsammendrag!N84</f>
        <v>62.666666666666664</v>
      </c>
      <c r="M82" s="897"/>
      <c r="N82" s="903">
        <f>IF(Poengsammendrag!P84&gt;0,Poengsammendrag!P84,Poengsammendrag!M84)</f>
        <v>62.333333333333336</v>
      </c>
      <c r="O82" s="904">
        <f>IF(Poengsammendrag!Q84&gt;0,Poengsammendrag!Q84,Poengsammendrag!N84)</f>
        <v>62.666666666666664</v>
      </c>
    </row>
    <row r="83" spans="2:15" ht="26" customHeight="1" thickBot="1" x14ac:dyDescent="0.25">
      <c r="B83" s="123" t="str">
        <f>Poengsammendrag!C85</f>
        <v>Bjørn</v>
      </c>
      <c r="C83" s="621" t="str">
        <f>Poengsammendrag!D85</f>
        <v>Brenne</v>
      </c>
      <c r="D83" s="891"/>
      <c r="E83" s="653">
        <f>Poengsammendrag!G85</f>
        <v>3</v>
      </c>
      <c r="F83" s="653">
        <f>Poengsammendrag!H85</f>
        <v>0</v>
      </c>
      <c r="G83" s="892"/>
      <c r="H83" s="893">
        <f>Poengsammendrag!J85</f>
        <v>157</v>
      </c>
      <c r="I83" s="894">
        <f>Poengsammendrag!K85</f>
        <v>178</v>
      </c>
      <c r="J83" s="895"/>
      <c r="K83" s="658">
        <f>Poengsammendrag!M85</f>
        <v>52.333333333333336</v>
      </c>
      <c r="L83" s="896">
        <f>Poengsammendrag!N85</f>
        <v>59.333333333333336</v>
      </c>
      <c r="M83" s="897"/>
      <c r="N83" s="903">
        <f>IF(Poengsammendrag!P85&gt;0,Poengsammendrag!P85,Poengsammendrag!M85)</f>
        <v>52.333333333333336</v>
      </c>
      <c r="O83" s="904">
        <f>IF(Poengsammendrag!Q85&gt;0,Poengsammendrag!Q85,Poengsammendrag!N85)</f>
        <v>59.333333333333336</v>
      </c>
    </row>
    <row r="84" spans="2:15" ht="26" customHeight="1" thickBot="1" x14ac:dyDescent="0.25">
      <c r="B84" s="123" t="str">
        <f>Poengsammendrag!C86</f>
        <v>Anne Lise</v>
      </c>
      <c r="C84" s="621" t="str">
        <f>Poengsammendrag!D86</f>
        <v>Brenne</v>
      </c>
      <c r="D84" s="891"/>
      <c r="E84" s="653">
        <f>Poengsammendrag!G86</f>
        <v>2</v>
      </c>
      <c r="F84" s="653">
        <f>Poengsammendrag!H86</f>
        <v>0</v>
      </c>
      <c r="G84" s="892"/>
      <c r="H84" s="893">
        <f>Poengsammendrag!J86</f>
        <v>100</v>
      </c>
      <c r="I84" s="894">
        <f>Poengsammendrag!K86</f>
        <v>115</v>
      </c>
      <c r="J84" s="895"/>
      <c r="K84" s="658">
        <f>Poengsammendrag!M86</f>
        <v>50</v>
      </c>
      <c r="L84" s="896">
        <f>Poengsammendrag!N86</f>
        <v>57.5</v>
      </c>
      <c r="M84" s="897"/>
      <c r="N84" s="903">
        <f>IF(Poengsammendrag!P86&gt;0,Poengsammendrag!P86,Poengsammendrag!M86)</f>
        <v>50</v>
      </c>
      <c r="O84" s="904">
        <f>IF(Poengsammendrag!Q86&gt;0,Poengsammendrag!Q86,Poengsammendrag!N86)</f>
        <v>57.5</v>
      </c>
    </row>
    <row r="85" spans="2:15" ht="26" customHeight="1" thickBot="1" x14ac:dyDescent="0.25">
      <c r="B85" s="123" t="str">
        <f>Poengsammendrag!C87</f>
        <v>Arnfinn</v>
      </c>
      <c r="C85" s="621" t="str">
        <f>Poengsammendrag!D87</f>
        <v>Langeland</v>
      </c>
      <c r="D85" s="891"/>
      <c r="E85" s="653">
        <f>Poengsammendrag!G87</f>
        <v>2</v>
      </c>
      <c r="F85" s="653">
        <f>Poengsammendrag!H87</f>
        <v>0</v>
      </c>
      <c r="G85" s="892"/>
      <c r="H85" s="893">
        <f>Poengsammendrag!J87</f>
        <v>100</v>
      </c>
      <c r="I85" s="894">
        <f>Poengsammendrag!K87</f>
        <v>108</v>
      </c>
      <c r="J85" s="895"/>
      <c r="K85" s="658">
        <f>Poengsammendrag!M87</f>
        <v>50</v>
      </c>
      <c r="L85" s="896">
        <f>Poengsammendrag!N87</f>
        <v>54</v>
      </c>
      <c r="M85" s="897"/>
      <c r="N85" s="903">
        <f>IF(Poengsammendrag!P87&gt;0,Poengsammendrag!P87,Poengsammendrag!M87)</f>
        <v>50</v>
      </c>
      <c r="O85" s="904">
        <f>IF(Poengsammendrag!Q87&gt;0,Poengsammendrag!Q87,Poengsammendrag!N87)</f>
        <v>54</v>
      </c>
    </row>
    <row r="86" spans="2:15" ht="26" customHeight="1" thickBot="1" x14ac:dyDescent="0.25">
      <c r="B86" s="123" t="str">
        <f>Poengsammendrag!C88</f>
        <v>Paul</v>
      </c>
      <c r="C86" s="621" t="str">
        <f>Poengsammendrag!D88</f>
        <v>Forseth</v>
      </c>
      <c r="D86" s="891"/>
      <c r="E86" s="653">
        <f>Poengsammendrag!G88</f>
        <v>1</v>
      </c>
      <c r="F86" s="653">
        <f>Poengsammendrag!H88</f>
        <v>0</v>
      </c>
      <c r="G86" s="892"/>
      <c r="H86" s="893">
        <f>Poengsammendrag!J88</f>
        <v>50</v>
      </c>
      <c r="I86" s="894">
        <f>Poengsammendrag!K88</f>
        <v>52</v>
      </c>
      <c r="J86" s="895"/>
      <c r="K86" s="658">
        <f>Poengsammendrag!M88</f>
        <v>50</v>
      </c>
      <c r="L86" s="896">
        <f>Poengsammendrag!N88</f>
        <v>52</v>
      </c>
      <c r="M86" s="897"/>
      <c r="N86" s="903">
        <f>IF(Poengsammendrag!P88&gt;0,Poengsammendrag!P88,Poengsammendrag!M88)</f>
        <v>50</v>
      </c>
      <c r="O86" s="904">
        <f>IF(Poengsammendrag!Q88&gt;0,Poengsammendrag!Q88,Poengsammendrag!N88)</f>
        <v>52</v>
      </c>
    </row>
    <row r="87" spans="2:15" ht="26" customHeight="1" thickBot="1" x14ac:dyDescent="0.25">
      <c r="B87" s="123" t="str">
        <f>Poengsammendrag!C89</f>
        <v>Børge</v>
      </c>
      <c r="C87" s="621" t="str">
        <f>Poengsammendrag!D89</f>
        <v>Nordli</v>
      </c>
      <c r="D87" s="891"/>
      <c r="E87" s="653">
        <f>Poengsammendrag!G89</f>
        <v>1</v>
      </c>
      <c r="F87" s="653">
        <f>Poengsammendrag!H89</f>
        <v>0</v>
      </c>
      <c r="G87" s="892"/>
      <c r="H87" s="893">
        <f>Poengsammendrag!J89</f>
        <v>83</v>
      </c>
      <c r="I87" s="894">
        <f>Poengsammendrag!K89</f>
        <v>52</v>
      </c>
      <c r="J87" s="895"/>
      <c r="K87" s="658">
        <f>Poengsammendrag!M89</f>
        <v>83</v>
      </c>
      <c r="L87" s="896">
        <f>Poengsammendrag!N89</f>
        <v>52</v>
      </c>
      <c r="M87" s="897"/>
      <c r="N87" s="903">
        <f>IF(Poengsammendrag!P89&gt;0,Poengsammendrag!P89,Poengsammendrag!M89)</f>
        <v>83</v>
      </c>
      <c r="O87" s="904">
        <f>IF(Poengsammendrag!Q89&gt;0,Poengsammendrag!Q89,Poengsammendrag!N89)</f>
        <v>52</v>
      </c>
    </row>
    <row r="88" spans="2:15" ht="26" customHeight="1" thickBot="1" x14ac:dyDescent="0.25">
      <c r="B88" s="123" t="str">
        <f>Poengsammendrag!C90</f>
        <v>Arild</v>
      </c>
      <c r="C88" s="621" t="str">
        <f>Poengsammendrag!D90</f>
        <v>Heggeset</v>
      </c>
      <c r="D88" s="891"/>
      <c r="E88" s="653">
        <f>Poengsammendrag!G90</f>
        <v>2</v>
      </c>
      <c r="F88" s="653">
        <f>Poengsammendrag!H90</f>
        <v>0</v>
      </c>
      <c r="G88" s="892"/>
      <c r="H88" s="893">
        <f>Poengsammendrag!J90</f>
        <v>131</v>
      </c>
      <c r="I88" s="894">
        <f>Poengsammendrag!K90</f>
        <v>101</v>
      </c>
      <c r="J88" s="895"/>
      <c r="K88" s="658">
        <f>Poengsammendrag!M90</f>
        <v>65.5</v>
      </c>
      <c r="L88" s="896">
        <f>Poengsammendrag!N90</f>
        <v>50.5</v>
      </c>
      <c r="M88" s="897"/>
      <c r="N88" s="903">
        <f>IF(Poengsammendrag!P90&gt;0,Poengsammendrag!P90,Poengsammendrag!M90)</f>
        <v>65.5</v>
      </c>
      <c r="O88" s="904">
        <f>IF(Poengsammendrag!Q90&gt;0,Poengsammendrag!Q90,Poengsammendrag!N90)</f>
        <v>50.5</v>
      </c>
    </row>
    <row r="89" spans="2:15" ht="26" customHeight="1" thickBot="1" x14ac:dyDescent="0.25">
      <c r="B89" s="123" t="str">
        <f>Poengsammendrag!C91</f>
        <v>Kjell Arne</v>
      </c>
      <c r="C89" s="621" t="str">
        <f>Poengsammendrag!D91</f>
        <v>Henninen</v>
      </c>
      <c r="D89" s="891"/>
      <c r="E89" s="653">
        <f>Poengsammendrag!G91</f>
        <v>1</v>
      </c>
      <c r="F89" s="653">
        <f>Poengsammendrag!H91</f>
        <v>0</v>
      </c>
      <c r="G89" s="892"/>
      <c r="H89" s="893">
        <f>Poengsammendrag!J91</f>
        <v>50</v>
      </c>
      <c r="I89" s="894">
        <f>Poengsammendrag!K91</f>
        <v>50</v>
      </c>
      <c r="J89" s="895"/>
      <c r="K89" s="658">
        <f>Poengsammendrag!M91</f>
        <v>50</v>
      </c>
      <c r="L89" s="896">
        <f>Poengsammendrag!N91</f>
        <v>50</v>
      </c>
      <c r="M89" s="897"/>
      <c r="N89" s="903">
        <f>IF(Poengsammendrag!P91&gt;0,Poengsammendrag!P91,Poengsammendrag!M91)</f>
        <v>50</v>
      </c>
      <c r="O89" s="904">
        <f>IF(Poengsammendrag!Q91&gt;0,Poengsammendrag!Q91,Poengsammendrag!N91)</f>
        <v>50</v>
      </c>
    </row>
    <row r="90" spans="2:15" ht="26" customHeight="1" thickBot="1" x14ac:dyDescent="0.25">
      <c r="B90" s="123" t="str">
        <f>Poengsammendrag!C92</f>
        <v>Jostein</v>
      </c>
      <c r="C90" s="621" t="str">
        <f>Poengsammendrag!D92</f>
        <v>Alvestad</v>
      </c>
      <c r="D90" s="891"/>
      <c r="E90" s="653">
        <f>Poengsammendrag!G92</f>
        <v>0</v>
      </c>
      <c r="F90" s="653">
        <f>Poengsammendrag!H92</f>
        <v>0</v>
      </c>
      <c r="G90" s="892"/>
      <c r="H90" s="893">
        <f>Poengsammendrag!J92</f>
        <v>0</v>
      </c>
      <c r="I90" s="894">
        <f>Poengsammendrag!K92</f>
        <v>0</v>
      </c>
      <c r="J90" s="895"/>
      <c r="K90" s="658">
        <f>Poengsammendrag!M92</f>
        <v>0</v>
      </c>
      <c r="L90" s="896">
        <f>Poengsammendrag!N92</f>
        <v>0</v>
      </c>
      <c r="M90" s="897"/>
      <c r="N90" s="903">
        <f>IF(Poengsammendrag!P92&gt;0,Poengsammendrag!P92,Poengsammendrag!M92)</f>
        <v>0</v>
      </c>
      <c r="O90" s="904">
        <f>IF(Poengsammendrag!Q92&gt;0,Poengsammendrag!Q92,Poengsammendrag!N92)</f>
        <v>0</v>
      </c>
    </row>
    <row r="91" spans="2:15" ht="26" customHeight="1" thickBot="1" x14ac:dyDescent="0.25">
      <c r="B91" s="123" t="str">
        <f>Poengsammendrag!C93</f>
        <v>Arne Kjell</v>
      </c>
      <c r="C91" s="621" t="str">
        <f>Poengsammendrag!D93</f>
        <v>Foldvik</v>
      </c>
      <c r="D91" s="891"/>
      <c r="E91" s="653">
        <f>Poengsammendrag!G93</f>
        <v>0</v>
      </c>
      <c r="F91" s="653">
        <f>Poengsammendrag!H93</f>
        <v>0</v>
      </c>
      <c r="G91" s="892"/>
      <c r="H91" s="893">
        <f>Poengsammendrag!J93</f>
        <v>0</v>
      </c>
      <c r="I91" s="894">
        <f>Poengsammendrag!K93</f>
        <v>0</v>
      </c>
      <c r="J91" s="895"/>
      <c r="K91" s="658">
        <f>Poengsammendrag!M93</f>
        <v>0</v>
      </c>
      <c r="L91" s="896">
        <f>Poengsammendrag!N93</f>
        <v>0</v>
      </c>
      <c r="M91" s="897"/>
      <c r="N91" s="903">
        <f>IF(Poengsammendrag!P93&gt;0,Poengsammendrag!P93,Poengsammendrag!M93)</f>
        <v>0</v>
      </c>
      <c r="O91" s="904">
        <f>IF(Poengsammendrag!Q93&gt;0,Poengsammendrag!Q93,Poengsammendrag!N93)</f>
        <v>0</v>
      </c>
    </row>
    <row r="92" spans="2:15" ht="26" customHeight="1" thickBot="1" x14ac:dyDescent="0.25">
      <c r="B92" s="123" t="str">
        <f>Poengsammendrag!C94</f>
        <v>Jens Øystein</v>
      </c>
      <c r="C92" s="621" t="str">
        <f>Poengsammendrag!D94</f>
        <v>Gjersvold</v>
      </c>
      <c r="D92" s="891"/>
      <c r="E92" s="653">
        <f>Poengsammendrag!G94</f>
        <v>0</v>
      </c>
      <c r="F92" s="653">
        <f>Poengsammendrag!H94</f>
        <v>0</v>
      </c>
      <c r="G92" s="892"/>
      <c r="H92" s="893">
        <f>Poengsammendrag!J94</f>
        <v>0</v>
      </c>
      <c r="I92" s="894">
        <f>Poengsammendrag!K94</f>
        <v>0</v>
      </c>
      <c r="J92" s="895"/>
      <c r="K92" s="658">
        <f>Poengsammendrag!M94</f>
        <v>0</v>
      </c>
      <c r="L92" s="896">
        <f>Poengsammendrag!N94</f>
        <v>0</v>
      </c>
      <c r="M92" s="897"/>
      <c r="N92" s="903">
        <f>IF(Poengsammendrag!P94&gt;0,Poengsammendrag!P94,Poengsammendrag!M94)</f>
        <v>0</v>
      </c>
      <c r="O92" s="904">
        <f>IF(Poengsammendrag!Q94&gt;0,Poengsammendrag!Q94,Poengsammendrag!N94)</f>
        <v>0</v>
      </c>
    </row>
    <row r="93" spans="2:15" ht="26" customHeight="1" thickBot="1" x14ac:dyDescent="0.25">
      <c r="B93" s="123" t="str">
        <f>Poengsammendrag!C95</f>
        <v>Odd</v>
      </c>
      <c r="C93" s="621" t="str">
        <f>Poengsammendrag!D95</f>
        <v>Musum</v>
      </c>
      <c r="D93" s="891"/>
      <c r="E93" s="653">
        <f>Poengsammendrag!G95</f>
        <v>0</v>
      </c>
      <c r="F93" s="653">
        <f>Poengsammendrag!H95</f>
        <v>0</v>
      </c>
      <c r="G93" s="892"/>
      <c r="H93" s="893">
        <f>Poengsammendrag!J95</f>
        <v>0</v>
      </c>
      <c r="I93" s="894">
        <f>Poengsammendrag!K95</f>
        <v>0</v>
      </c>
      <c r="J93" s="895"/>
      <c r="K93" s="658">
        <f>Poengsammendrag!M95</f>
        <v>0</v>
      </c>
      <c r="L93" s="896">
        <f>Poengsammendrag!N95</f>
        <v>0</v>
      </c>
      <c r="M93" s="897"/>
      <c r="N93" s="903">
        <f>IF(Poengsammendrag!P95&gt;0,Poengsammendrag!P95,Poengsammendrag!M95)</f>
        <v>0</v>
      </c>
      <c r="O93" s="904">
        <f>IF(Poengsammendrag!Q95&gt;0,Poengsammendrag!Q95,Poengsammendrag!N95)</f>
        <v>0</v>
      </c>
    </row>
    <row r="94" spans="2:15" ht="26" customHeight="1" thickBot="1" x14ac:dyDescent="0.25">
      <c r="B94" s="123" t="str">
        <f>Poengsammendrag!C96</f>
        <v>Jarle</v>
      </c>
      <c r="C94" s="621" t="str">
        <f>Poengsammendrag!D96</f>
        <v>Nestvold</v>
      </c>
      <c r="D94" s="891"/>
      <c r="E94" s="653">
        <f>Poengsammendrag!G96</f>
        <v>0</v>
      </c>
      <c r="F94" s="653">
        <f>Poengsammendrag!H96</f>
        <v>0</v>
      </c>
      <c r="G94" s="892"/>
      <c r="H94" s="893">
        <f>Poengsammendrag!J96</f>
        <v>0</v>
      </c>
      <c r="I94" s="894">
        <f>Poengsammendrag!K96</f>
        <v>0</v>
      </c>
      <c r="J94" s="895"/>
      <c r="K94" s="658">
        <f>Poengsammendrag!M96</f>
        <v>0</v>
      </c>
      <c r="L94" s="896">
        <f>Poengsammendrag!N96</f>
        <v>0</v>
      </c>
      <c r="M94" s="897"/>
      <c r="N94" s="903">
        <f>IF(Poengsammendrag!P96&gt;0,Poengsammendrag!P96,Poengsammendrag!M96)</f>
        <v>0</v>
      </c>
      <c r="O94" s="904">
        <f>IF(Poengsammendrag!Q96&gt;0,Poengsammendrag!Q96,Poengsammendrag!N96)</f>
        <v>0</v>
      </c>
    </row>
    <row r="95" spans="2:15" ht="26" customHeight="1" thickBot="1" x14ac:dyDescent="0.25">
      <c r="B95" s="123" t="str">
        <f>Poengsammendrag!C97</f>
        <v>Grete Berge</v>
      </c>
      <c r="C95" s="621" t="str">
        <f>Poengsammendrag!D97</f>
        <v>Owren</v>
      </c>
      <c r="D95" s="891"/>
      <c r="E95" s="653">
        <f>Poengsammendrag!G97</f>
        <v>0</v>
      </c>
      <c r="F95" s="653">
        <f>Poengsammendrag!H97</f>
        <v>0</v>
      </c>
      <c r="G95" s="892"/>
      <c r="H95" s="893">
        <f>Poengsammendrag!J97</f>
        <v>0</v>
      </c>
      <c r="I95" s="894">
        <f>Poengsammendrag!K97</f>
        <v>0</v>
      </c>
      <c r="J95" s="895"/>
      <c r="K95" s="658">
        <f>Poengsammendrag!M97</f>
        <v>0</v>
      </c>
      <c r="L95" s="896">
        <f>Poengsammendrag!N97</f>
        <v>0</v>
      </c>
      <c r="M95" s="897"/>
      <c r="N95" s="903">
        <f>IF(Poengsammendrag!P97&gt;0,Poengsammendrag!P97,Poengsammendrag!M97)</f>
        <v>0</v>
      </c>
      <c r="O95" s="904">
        <f>IF(Poengsammendrag!Q97&gt;0,Poengsammendrag!Q97,Poengsammendrag!N97)</f>
        <v>0</v>
      </c>
    </row>
    <row r="96" spans="2:15" ht="26" thickBot="1" x14ac:dyDescent="0.25">
      <c r="B96" s="123" t="str">
        <f>Poengsammendrag!C98</f>
        <v>May-Lis</v>
      </c>
      <c r="C96" s="621" t="str">
        <f>Poengsammendrag!D98</f>
        <v>Rønning</v>
      </c>
      <c r="D96" s="891"/>
      <c r="E96" s="653">
        <f>Poengsammendrag!G98</f>
        <v>0</v>
      </c>
      <c r="F96" s="653">
        <f>Poengsammendrag!H98</f>
        <v>0</v>
      </c>
      <c r="G96" s="892"/>
      <c r="H96" s="893">
        <f>Poengsammendrag!J98</f>
        <v>0</v>
      </c>
      <c r="I96" s="894">
        <f>Poengsammendrag!K98</f>
        <v>0</v>
      </c>
      <c r="J96" s="895"/>
      <c r="K96" s="658">
        <f>Poengsammendrag!M98</f>
        <v>0</v>
      </c>
      <c r="L96" s="896">
        <f>Poengsammendrag!N98</f>
        <v>0</v>
      </c>
      <c r="M96" s="897"/>
      <c r="N96" s="903">
        <f>IF(Poengsammendrag!P98&gt;0,Poengsammendrag!P98,Poengsammendrag!M98)</f>
        <v>0</v>
      </c>
      <c r="O96" s="904">
        <f>IF(Poengsammendrag!Q98&gt;0,Poengsammendrag!Q98,Poengsammendrag!N98)</f>
        <v>0</v>
      </c>
    </row>
    <row r="97" spans="2:15" ht="26" thickBot="1" x14ac:dyDescent="0.25">
      <c r="B97" s="123" t="str">
        <f>Poengsammendrag!C99</f>
        <v>Berit</v>
      </c>
      <c r="C97" s="621" t="str">
        <f>Poengsammendrag!D99</f>
        <v>Sunnset</v>
      </c>
      <c r="D97" s="891"/>
      <c r="E97" s="653">
        <f>Poengsammendrag!G99</f>
        <v>0</v>
      </c>
      <c r="F97" s="653">
        <f>Poengsammendrag!H99</f>
        <v>0</v>
      </c>
      <c r="G97" s="892"/>
      <c r="H97" s="893">
        <f>Poengsammendrag!J99</f>
        <v>0</v>
      </c>
      <c r="I97" s="894">
        <f>Poengsammendrag!K99</f>
        <v>0</v>
      </c>
      <c r="J97" s="895"/>
      <c r="K97" s="658">
        <f>Poengsammendrag!M99</f>
        <v>0</v>
      </c>
      <c r="L97" s="896">
        <f>Poengsammendrag!N99</f>
        <v>0</v>
      </c>
      <c r="M97" s="897"/>
      <c r="N97" s="903">
        <f>IF(Poengsammendrag!P99&gt;0,Poengsammendrag!P99,Poengsammendrag!M99)</f>
        <v>0</v>
      </c>
      <c r="O97" s="904">
        <f>IF(Poengsammendrag!Q99&gt;0,Poengsammendrag!Q99,Poengsammendrag!N99)</f>
        <v>0</v>
      </c>
    </row>
    <row r="98" spans="2:15" ht="26" thickBot="1" x14ac:dyDescent="0.25">
      <c r="B98" s="123" t="str">
        <f>Poengsammendrag!C100</f>
        <v>Trine</v>
      </c>
      <c r="C98" s="621" t="str">
        <f>Poengsammendrag!D100</f>
        <v>Sunnset</v>
      </c>
      <c r="D98" s="891"/>
      <c r="E98" s="653">
        <f>Poengsammendrag!G100</f>
        <v>0</v>
      </c>
      <c r="F98" s="653">
        <f>Poengsammendrag!H100</f>
        <v>0</v>
      </c>
      <c r="G98" s="892"/>
      <c r="H98" s="893">
        <f>Poengsammendrag!J100</f>
        <v>0</v>
      </c>
      <c r="I98" s="894">
        <f>Poengsammendrag!K100</f>
        <v>0</v>
      </c>
      <c r="J98" s="895"/>
      <c r="K98" s="658">
        <f>Poengsammendrag!M100</f>
        <v>0</v>
      </c>
      <c r="L98" s="896">
        <f>Poengsammendrag!N100</f>
        <v>0</v>
      </c>
      <c r="M98" s="897"/>
      <c r="N98" s="903">
        <f>IF(Poengsammendrag!P100&gt;0,Poengsammendrag!P100,Poengsammendrag!M100)</f>
        <v>0</v>
      </c>
      <c r="O98" s="904">
        <f>IF(Poengsammendrag!Q100&gt;0,Poengsammendrag!Q100,Poengsammendrag!N100)</f>
        <v>0</v>
      </c>
    </row>
    <row r="99" spans="2:15" ht="25" thickBot="1" x14ac:dyDescent="0.25">
      <c r="B99" s="123">
        <f>Poengsammendrag!C101</f>
        <v>0</v>
      </c>
      <c r="C99" s="621">
        <f>Poengsammendrag!D101</f>
        <v>0</v>
      </c>
      <c r="D99" s="891"/>
      <c r="E99" s="653">
        <f>Poengsammendrag!G101</f>
        <v>0</v>
      </c>
      <c r="F99" s="653">
        <f>Poengsammendrag!H101</f>
        <v>0</v>
      </c>
      <c r="G99" s="892"/>
      <c r="H99" s="893">
        <f>Poengsammendrag!J101</f>
        <v>0</v>
      </c>
      <c r="I99" s="894">
        <f>Poengsammendrag!K101</f>
        <v>0</v>
      </c>
      <c r="J99" s="895"/>
      <c r="K99" s="658">
        <f>Poengsammendrag!M101</f>
        <v>0</v>
      </c>
      <c r="L99" s="896">
        <f>Poengsammendrag!N101</f>
        <v>0</v>
      </c>
      <c r="M99" s="897"/>
      <c r="N99" s="903">
        <f>IF(Poengsammendrag!P101&gt;0,Poengsammendrag!P101,Poengsammendrag!M101)</f>
        <v>0</v>
      </c>
      <c r="O99" s="904">
        <f>IF(Poengsammendrag!Q101&gt;0,Poengsammendrag!Q101,Poengsammendrag!N101)</f>
        <v>0</v>
      </c>
    </row>
  </sheetData>
  <mergeCells count="5">
    <mergeCell ref="K5:L7"/>
    <mergeCell ref="N5:O6"/>
    <mergeCell ref="E5:E8"/>
    <mergeCell ref="F5:F8"/>
    <mergeCell ref="H5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BD80A-6C8F-0645-A4EE-B956A883897E}">
  <dimension ref="B1:AC110"/>
  <sheetViews>
    <sheetView topLeftCell="A62" workbookViewId="0">
      <selection activeCell="K102" sqref="K102"/>
    </sheetView>
  </sheetViews>
  <sheetFormatPr baseColWidth="10" defaultColWidth="10.83203125" defaultRowHeight="16" x14ac:dyDescent="0.2"/>
  <cols>
    <col min="3" max="3" width="14.5" customWidth="1"/>
    <col min="4" max="4" width="20.1640625" customWidth="1"/>
    <col min="5" max="5" width="20.1640625" hidden="1" customWidth="1"/>
    <col min="6" max="6" width="14.5" style="15" customWidth="1"/>
    <col min="7" max="7" width="14.5" style="15" hidden="1" customWidth="1"/>
    <col min="8" max="8" width="14" style="15" customWidth="1"/>
    <col min="9" max="10" width="19.1640625" style="15" customWidth="1"/>
    <col min="11" max="11" width="17.6640625" customWidth="1"/>
    <col min="12" max="15" width="10.83203125" style="15"/>
    <col min="18" max="18" width="12.5" customWidth="1"/>
    <col min="19" max="19" width="13.5" customWidth="1"/>
    <col min="22" max="22" width="1.83203125" customWidth="1"/>
    <col min="23" max="23" width="15.83203125" style="728" customWidth="1"/>
    <col min="24" max="24" width="11" style="15" customWidth="1"/>
  </cols>
  <sheetData>
    <row r="1" spans="2:29" ht="8" customHeight="1" x14ac:dyDescent="0.2"/>
    <row r="2" spans="2:29" ht="8" customHeight="1" x14ac:dyDescent="0.2"/>
    <row r="5" spans="2:29" ht="26" x14ac:dyDescent="0.3">
      <c r="B5" s="21" t="s">
        <v>193</v>
      </c>
      <c r="C5" s="245" t="s">
        <v>301</v>
      </c>
      <c r="F5" s="667"/>
      <c r="G5" s="667"/>
      <c r="H5" s="671" t="s">
        <v>189</v>
      </c>
      <c r="I5" s="670">
        <v>45937</v>
      </c>
    </row>
    <row r="6" spans="2:29" ht="15.75" thickBot="1" x14ac:dyDescent="0.25">
      <c r="B6" s="15"/>
    </row>
    <row r="7" spans="2:29" ht="59" customHeight="1" thickBot="1" x14ac:dyDescent="0.35">
      <c r="B7" s="12" t="s">
        <v>194</v>
      </c>
      <c r="C7" s="662" t="s">
        <v>57</v>
      </c>
      <c r="D7" s="391" t="s">
        <v>58</v>
      </c>
      <c r="E7" s="663"/>
      <c r="F7" s="663" t="s">
        <v>234</v>
      </c>
      <c r="G7" s="391" t="s">
        <v>280</v>
      </c>
      <c r="H7" s="391" t="s">
        <v>235</v>
      </c>
      <c r="I7" s="391" t="s">
        <v>302</v>
      </c>
      <c r="J7" s="391" t="s">
        <v>303</v>
      </c>
      <c r="K7" s="391" t="s">
        <v>192</v>
      </c>
      <c r="L7" s="194" t="s">
        <v>209</v>
      </c>
      <c r="M7" s="392" t="s">
        <v>55</v>
      </c>
      <c r="N7" s="393" t="s">
        <v>242</v>
      </c>
      <c r="O7" s="393" t="s">
        <v>240</v>
      </c>
      <c r="Q7" s="319"/>
      <c r="R7" s="319"/>
      <c r="S7" s="755" t="s">
        <v>320</v>
      </c>
      <c r="T7" s="754" t="s">
        <v>301</v>
      </c>
      <c r="U7" s="730"/>
      <c r="V7" s="730"/>
      <c r="W7" s="941"/>
      <c r="X7" s="941"/>
    </row>
    <row r="8" spans="2:29" ht="23" customHeight="1" thickTop="1" thickBot="1" x14ac:dyDescent="0.35">
      <c r="B8" s="22"/>
      <c r="C8" s="394"/>
      <c r="D8" s="395"/>
      <c r="E8" s="597"/>
      <c r="F8" s="668"/>
      <c r="G8" s="668"/>
      <c r="H8" s="664"/>
      <c r="I8" s="391">
        <v>1.9</v>
      </c>
      <c r="J8" s="391">
        <v>2.9</v>
      </c>
      <c r="K8" s="391"/>
      <c r="N8" s="720"/>
      <c r="O8" s="721"/>
      <c r="S8" s="942" t="s">
        <v>312</v>
      </c>
      <c r="T8" s="943"/>
      <c r="U8" s="944"/>
      <c r="V8" s="745"/>
      <c r="W8" s="939" t="s">
        <v>313</v>
      </c>
      <c r="X8" s="940"/>
      <c r="AB8" s="836" t="s">
        <v>361</v>
      </c>
      <c r="AC8" s="827"/>
    </row>
    <row r="9" spans="2:29" ht="21" thickBot="1" x14ac:dyDescent="0.3">
      <c r="B9" s="22"/>
      <c r="C9" s="109"/>
      <c r="D9" s="105"/>
      <c r="E9" s="598"/>
      <c r="F9" s="669"/>
      <c r="G9" s="669"/>
      <c r="H9" s="665"/>
      <c r="I9" s="12"/>
      <c r="J9" s="12"/>
      <c r="K9" s="12"/>
      <c r="N9" s="722"/>
      <c r="O9" s="723"/>
      <c r="Q9" s="110"/>
      <c r="S9" s="731"/>
      <c r="T9" s="727" t="s">
        <v>311</v>
      </c>
      <c r="U9" s="750" t="s">
        <v>55</v>
      </c>
      <c r="V9" s="746"/>
      <c r="W9" s="729"/>
      <c r="X9" s="732" t="s">
        <v>55</v>
      </c>
      <c r="AB9" s="834" t="s">
        <v>234</v>
      </c>
      <c r="AC9" s="835" t="s">
        <v>362</v>
      </c>
    </row>
    <row r="10" spans="2:29" ht="21" thickBot="1" x14ac:dyDescent="0.3">
      <c r="B10" s="16">
        <v>1</v>
      </c>
      <c r="C10" s="106" t="s">
        <v>126</v>
      </c>
      <c r="D10" s="107" t="s">
        <v>127</v>
      </c>
      <c r="E10" s="599" t="str">
        <f t="shared" ref="E10:E41" si="0">_xlfn.CONCAT(C10:D10)</f>
        <v>ArneMikkelsen</v>
      </c>
      <c r="F10" s="192">
        <f>YEAR(I$5)-_xlfn.XLOOKUP(E10,Deltakerliste!E$5:E$98,Deltakerliste!I$5:I$98)</f>
        <v>72</v>
      </c>
      <c r="G10" s="192">
        <f>_xlfn.XLOOKUP(E10,Deltakerliste!E$5:E$98,Deltakerliste!H$5:H$98)</f>
        <v>2</v>
      </c>
      <c r="H10" s="592">
        <f>VLOOKUP(F10,Deltakerliste!P$6:T$84,G10,FALSE)</f>
        <v>1.4969999999999999</v>
      </c>
      <c r="I10" s="13"/>
      <c r="J10" s="13">
        <v>2.3414351851851853E-2</v>
      </c>
      <c r="K10" s="13"/>
      <c r="L10" s="600">
        <f>IF(OR(I10="Arr",J10="Arr",K10="Arr"),"Arr",IF(OR(I10="Brutt",J10="Brutt",K10="Brutt"),"Brutt",IF(OR(I10="Disk",J10="Disk",K10="Disk"),"Disk",IF(OR(I10="Løype",J10="Løype",K10="Løype"),"Løype",IF(I10&gt;0,I10/I$8,J10/J$8)))))</f>
        <v>8.0739144316730529E-3</v>
      </c>
      <c r="M10" s="594">
        <f>IF(L10="Løype",Poengsammendrag!$F$2,IF(L10="Arr",Poengsammendrag!$F$3,IF(L10="Brutt",50,IF(L10="Disk",50,ROUND(MAXA(100*(MIN(L$10:L$82)/L10),50),0)))))</f>
        <v>100</v>
      </c>
      <c r="N10" s="724">
        <f>IF(L10="Arr","Arr",IF(L10="Brutt","Brutt",IF(L10="Disk","Disk",IF(L10="Løype","Løype",L10/H10))))</f>
        <v>5.3933964139432555E-3</v>
      </c>
      <c r="O10" s="596">
        <f>IF(N10="Løype",Poengsammendrag!$F$2,IF(N10="Arr",Poengsammendrag!$F$3,IF(N10="Brutt",50,IF(N10="Disk",50,ROUND(MAXA(100*(MIN(N$10:N$82)/N10),50),0)))))</f>
        <v>98</v>
      </c>
      <c r="Q10" s="672"/>
      <c r="R10" s="672"/>
      <c r="S10" s="733" t="s">
        <v>126</v>
      </c>
      <c r="T10" s="734">
        <v>8.0739144316730529E-3</v>
      </c>
      <c r="U10" s="751">
        <v>100</v>
      </c>
      <c r="V10" s="747"/>
      <c r="W10" s="742" t="s">
        <v>78</v>
      </c>
      <c r="X10" s="739">
        <v>100</v>
      </c>
      <c r="AB10" s="832">
        <v>55</v>
      </c>
      <c r="AC10" s="833">
        <f>COUNTIFS(F$10:F$94,AB10,M$10:M$94,"&gt;0")</f>
        <v>0</v>
      </c>
    </row>
    <row r="11" spans="2:29" ht="21" customHeight="1" thickBot="1" x14ac:dyDescent="0.3">
      <c r="B11" s="16">
        <f t="shared" ref="B11:B75" si="1">B10+1</f>
        <v>2</v>
      </c>
      <c r="C11" s="106" t="s">
        <v>134</v>
      </c>
      <c r="D11" s="107" t="s">
        <v>135</v>
      </c>
      <c r="E11" s="599" t="str">
        <f t="shared" si="0"/>
        <v>IngeNørstebø</v>
      </c>
      <c r="F11" s="192">
        <f>YEAR(I$5)-_xlfn.XLOOKUP(E11,Deltakerliste!E$5:E$98,Deltakerliste!I$5:I$98)</f>
        <v>69</v>
      </c>
      <c r="G11" s="192">
        <f>_xlfn.XLOOKUP(E11,Deltakerliste!E$5:E$98,Deltakerliste!H$5:H$98)</f>
        <v>2</v>
      </c>
      <c r="H11" s="592">
        <f>VLOOKUP(F11,Deltakerliste!P$6:T$84,G11,FALSE)</f>
        <v>1.3989999999999998</v>
      </c>
      <c r="I11" s="18"/>
      <c r="J11" s="132">
        <v>2.4479166666666666E-2</v>
      </c>
      <c r="K11" s="133"/>
      <c r="L11" s="600">
        <f t="shared" ref="L11:L37" si="2">IF(OR(I11="Arr",J11="Arr",K11="Arr"),"Arr",IF(OR(I11="Brutt",J11="Brutt",K11="Brutt"),"Brutt",IF(OR(I11="Disk",J11="Disk",K11="Disk"),"Disk",IF(OR(I11="Løype",J11="Løype",K11="Løype"),"Løype",IF(I11&gt;0,I11/I$8,J11/J$8)))))</f>
        <v>8.4410919540229886E-3</v>
      </c>
      <c r="M11" s="594">
        <f>IF(L11="Løype",Poengsammendrag!$F$2,IF(L11="Arr",Poengsammendrag!$F$3,IF(L11="Brutt",50,IF(L11="Disk",50,ROUND(MAXA(100*(MIN(L$10:L$82)/L11),50),0)))))</f>
        <v>96</v>
      </c>
      <c r="N11" s="724">
        <f t="shared" ref="N11:N37" si="3">IF(L11="Arr","Arr",IF(L11="Brutt","Brutt",IF(L11="Disk","Disk",IF(L11="Løype","Løype",L11/H11))))</f>
        <v>6.0336611536976337E-3</v>
      </c>
      <c r="O11" s="596">
        <f>IF(N11="Løype",Poengsammendrag!$F$2,IF(N11="Arr",Poengsammendrag!$F$3,IF(N11="Brutt",50,IF(N11="Disk",50,ROUND(MAXA(100*(MIN(N$10:N$82)/N11),50),0)))))</f>
        <v>87</v>
      </c>
      <c r="Q11" s="672"/>
      <c r="R11" s="672"/>
      <c r="S11" s="735" t="s">
        <v>134</v>
      </c>
      <c r="T11" s="736">
        <v>8.4410919540229886E-3</v>
      </c>
      <c r="U11" s="752">
        <v>96</v>
      </c>
      <c r="V11" s="748"/>
      <c r="W11" s="743" t="s">
        <v>118</v>
      </c>
      <c r="X11" s="740">
        <v>99</v>
      </c>
      <c r="AB11" s="828">
        <f>AB10+1</f>
        <v>56</v>
      </c>
      <c r="AC11" s="829">
        <f t="shared" ref="AC11:AC50" si="4">COUNTIFS(F$10:F$94,AB11,M$10:M$94,"&gt;0")</f>
        <v>0</v>
      </c>
    </row>
    <row r="12" spans="2:29" ht="21" customHeight="1" thickBot="1" x14ac:dyDescent="0.3">
      <c r="B12" s="16">
        <f t="shared" si="1"/>
        <v>3</v>
      </c>
      <c r="C12" s="106" t="s">
        <v>118</v>
      </c>
      <c r="D12" s="107" t="s">
        <v>119</v>
      </c>
      <c r="E12" s="599" t="str">
        <f t="shared" si="0"/>
        <v>KnutLillealtern</v>
      </c>
      <c r="F12" s="192">
        <f>YEAR(I$5)-_xlfn.XLOOKUP(E12,Deltakerliste!E$5:E$98,Deltakerliste!I$5:I$98)</f>
        <v>76</v>
      </c>
      <c r="G12" s="192">
        <f>_xlfn.XLOOKUP(E12,Deltakerliste!E$5:E$98,Deltakerliste!H$5:H$98)</f>
        <v>2</v>
      </c>
      <c r="H12" s="592">
        <f>VLOOKUP(F12,Deltakerliste!P$6:T$84,G12,FALSE)</f>
        <v>1.655</v>
      </c>
      <c r="I12" s="13"/>
      <c r="J12" s="13">
        <v>2.5624999999999998E-2</v>
      </c>
      <c r="K12" s="17"/>
      <c r="L12" s="600">
        <f t="shared" si="2"/>
        <v>8.8362068965517244E-3</v>
      </c>
      <c r="M12" s="594">
        <f>IF(L12="Løype",Poengsammendrag!$F$2,IF(L12="Arr",Poengsammendrag!$F$3,IF(L12="Brutt",50,IF(L12="Disk",50,ROUND(MAXA(100*(MIN(L$10:L$82)/L12),50),0)))))</f>
        <v>91</v>
      </c>
      <c r="N12" s="724">
        <f t="shared" si="3"/>
        <v>5.3390978226898634E-3</v>
      </c>
      <c r="O12" s="596">
        <f>IF(N12="Løype",Poengsammendrag!$F$2,IF(N12="Arr",Poengsammendrag!$F$3,IF(N12="Brutt",50,IF(N12="Disk",50,ROUND(MAXA(100*(MIN(N$10:N$82)/N12),50),0)))))</f>
        <v>99</v>
      </c>
      <c r="Q12" s="672"/>
      <c r="R12" s="672"/>
      <c r="S12" s="735" t="s">
        <v>118</v>
      </c>
      <c r="T12" s="736">
        <v>8.8362068965517244E-3</v>
      </c>
      <c r="U12" s="752">
        <v>91</v>
      </c>
      <c r="V12" s="748"/>
      <c r="W12" s="743" t="s">
        <v>126</v>
      </c>
      <c r="X12" s="740">
        <v>98</v>
      </c>
      <c r="AB12" s="828">
        <f t="shared" ref="AB12:AB50" si="5">AB11+1</f>
        <v>57</v>
      </c>
      <c r="AC12" s="829">
        <f t="shared" si="4"/>
        <v>0</v>
      </c>
    </row>
    <row r="13" spans="2:29" ht="21" customHeight="1" thickBot="1" x14ac:dyDescent="0.3">
      <c r="B13" s="16">
        <f t="shared" si="1"/>
        <v>4</v>
      </c>
      <c r="C13" s="106" t="s">
        <v>307</v>
      </c>
      <c r="D13" s="107" t="s">
        <v>308</v>
      </c>
      <c r="E13" s="599" t="str">
        <f t="shared" si="0"/>
        <v>RolfWærnes</v>
      </c>
      <c r="F13" s="192">
        <f>YEAR(I$5)-_xlfn.XLOOKUP(E13,Deltakerliste!E$5:E$98,Deltakerliste!I$5:I$98)</f>
        <v>74</v>
      </c>
      <c r="G13" s="192">
        <f>_xlfn.XLOOKUP(E13,Deltakerliste!E$5:E$98,Deltakerliste!H$5:H$98)</f>
        <v>2</v>
      </c>
      <c r="H13" s="592">
        <f>VLOOKUP(F13,Deltakerliste!P$6:T$84,G13,FALSE)</f>
        <v>1.569</v>
      </c>
      <c r="I13" s="18"/>
      <c r="J13" s="132">
        <v>3.1041666666666665E-2</v>
      </c>
      <c r="K13" s="133"/>
      <c r="L13" s="600">
        <f t="shared" si="2"/>
        <v>1.0704022988505747E-2</v>
      </c>
      <c r="M13" s="594">
        <f>IF(L13="Løype",Poengsammendrag!$F$2,IF(L13="Arr",Poengsammendrag!$F$3,IF(L13="Brutt",50,IF(L13="Disk",50,ROUND(MAXA(100*(MIN(L$10:L$82)/L13),50),0)))))</f>
        <v>75</v>
      </c>
      <c r="N13" s="724">
        <f t="shared" si="3"/>
        <v>6.8221943840062124E-3</v>
      </c>
      <c r="O13" s="596">
        <f>IF(N13="Løype",Poengsammendrag!$F$2,IF(N13="Arr",Poengsammendrag!$F$3,IF(N13="Brutt",50,IF(N13="Disk",50,ROUND(MAXA(100*(MIN(N$10:N$82)/N13),50),0)))))</f>
        <v>77</v>
      </c>
      <c r="Q13" s="672"/>
      <c r="R13" s="672"/>
      <c r="S13" s="735" t="s">
        <v>307</v>
      </c>
      <c r="T13" s="736">
        <v>1.0704022988505747E-2</v>
      </c>
      <c r="U13" s="752">
        <v>75</v>
      </c>
      <c r="V13" s="748"/>
      <c r="W13" s="743" t="s">
        <v>134</v>
      </c>
      <c r="X13" s="740">
        <v>87</v>
      </c>
      <c r="AB13" s="828">
        <f t="shared" si="5"/>
        <v>58</v>
      </c>
      <c r="AC13" s="829">
        <f t="shared" si="4"/>
        <v>0</v>
      </c>
    </row>
    <row r="14" spans="2:29" ht="21" customHeight="1" thickBot="1" x14ac:dyDescent="0.3">
      <c r="B14" s="16">
        <f t="shared" si="1"/>
        <v>5</v>
      </c>
      <c r="C14" s="106" t="s">
        <v>136</v>
      </c>
      <c r="D14" s="107" t="s">
        <v>137</v>
      </c>
      <c r="E14" s="599" t="str">
        <f t="shared" si="0"/>
        <v>HaraldOftedal</v>
      </c>
      <c r="F14" s="192">
        <f>YEAR(I$5)-_xlfn.XLOOKUP(E14,Deltakerliste!E$5:E$98,Deltakerliste!I$5:I$98)</f>
        <v>73</v>
      </c>
      <c r="G14" s="192">
        <f>_xlfn.XLOOKUP(E14,Deltakerliste!E$5:E$98,Deltakerliste!H$5:H$98)</f>
        <v>2</v>
      </c>
      <c r="H14" s="592">
        <f>VLOOKUP(F14,Deltakerliste!P$6:T$84,G14,FALSE)</f>
        <v>1.5329999999999999</v>
      </c>
      <c r="I14" s="132">
        <v>2.0381944444444446E-2</v>
      </c>
      <c r="J14" s="18"/>
      <c r="K14" s="133"/>
      <c r="L14" s="600">
        <f t="shared" si="2"/>
        <v>1.0727339181286551E-2</v>
      </c>
      <c r="M14" s="594">
        <f>IF(L14="Løype",Poengsammendrag!$F$2,IF(L14="Arr",Poengsammendrag!$F$3,IF(L14="Brutt",50,IF(L14="Disk",50,ROUND(MAXA(100*(MIN(L$10:L$82)/L14),50),0)))))</f>
        <v>75</v>
      </c>
      <c r="N14" s="724">
        <f t="shared" si="3"/>
        <v>6.9976119904021864E-3</v>
      </c>
      <c r="O14" s="596">
        <f>IF(N14="Løype",Poengsammendrag!$F$2,IF(N14="Arr",Poengsammendrag!$F$3,IF(N14="Brutt",50,IF(N14="Disk",50,ROUND(MAXA(100*(MIN(N$10:N$82)/N14),50),0)))))</f>
        <v>75</v>
      </c>
      <c r="Q14" s="672"/>
      <c r="R14" s="672"/>
      <c r="S14" s="735" t="s">
        <v>136</v>
      </c>
      <c r="T14" s="736">
        <v>1.0727339181286551E-2</v>
      </c>
      <c r="U14" s="752">
        <v>75</v>
      </c>
      <c r="V14" s="748"/>
      <c r="W14" s="743" t="s">
        <v>315</v>
      </c>
      <c r="X14" s="740">
        <v>81</v>
      </c>
      <c r="AB14" s="828">
        <f t="shared" si="5"/>
        <v>59</v>
      </c>
      <c r="AC14" s="829">
        <f t="shared" si="4"/>
        <v>0</v>
      </c>
    </row>
    <row r="15" spans="2:29" ht="21" customHeight="1" thickBot="1" x14ac:dyDescent="0.3">
      <c r="B15" s="16">
        <f t="shared" si="1"/>
        <v>6</v>
      </c>
      <c r="C15" s="106" t="s">
        <v>163</v>
      </c>
      <c r="D15" s="107" t="s">
        <v>164</v>
      </c>
      <c r="E15" s="599" t="str">
        <f t="shared" si="0"/>
        <v>ArnulfVilmo</v>
      </c>
      <c r="F15" s="192">
        <f>YEAR(I$5)-_xlfn.XLOOKUP(E15,Deltakerliste!E$5:E$98,Deltakerliste!I$5:I$98)</f>
        <v>72</v>
      </c>
      <c r="G15" s="192">
        <f>_xlfn.XLOOKUP(E15,Deltakerliste!E$5:E$98,Deltakerliste!H$5:H$98)</f>
        <v>2</v>
      </c>
      <c r="H15" s="592">
        <f>VLOOKUP(F15,Deltakerliste!P$6:T$84,G15,FALSE)</f>
        <v>1.4969999999999999</v>
      </c>
      <c r="I15" s="18"/>
      <c r="J15" s="132">
        <v>3.2372685185185185E-2</v>
      </c>
      <c r="K15" s="133"/>
      <c r="L15" s="600">
        <f t="shared" si="2"/>
        <v>1.1162994891443168E-2</v>
      </c>
      <c r="M15" s="594">
        <f>IF(L15="Løype",Poengsammendrag!$F$2,IF(L15="Arr",Poengsammendrag!$F$3,IF(L15="Brutt",50,IF(L15="Disk",50,ROUND(MAXA(100*(MIN(L$10:L$82)/L15),50),0)))))</f>
        <v>72</v>
      </c>
      <c r="N15" s="724">
        <f t="shared" si="3"/>
        <v>7.4569104151256975E-3</v>
      </c>
      <c r="O15" s="596">
        <f>IF(N15="Løype",Poengsammendrag!$F$2,IF(N15="Arr",Poengsammendrag!$F$3,IF(N15="Brutt",50,IF(N15="Disk",50,ROUND(MAXA(100*(MIN(N$10:N$82)/N15),50),0)))))</f>
        <v>71</v>
      </c>
      <c r="Q15" s="672"/>
      <c r="R15" s="672"/>
      <c r="S15" s="735" t="s">
        <v>163</v>
      </c>
      <c r="T15" s="736">
        <v>1.1162994891443168E-2</v>
      </c>
      <c r="U15" s="752">
        <v>72</v>
      </c>
      <c r="V15" s="748"/>
      <c r="W15" s="743" t="s">
        <v>96</v>
      </c>
      <c r="X15" s="740">
        <v>79</v>
      </c>
      <c r="AB15" s="828">
        <f t="shared" si="5"/>
        <v>60</v>
      </c>
      <c r="AC15" s="829">
        <f t="shared" si="4"/>
        <v>0</v>
      </c>
    </row>
    <row r="16" spans="2:29" ht="21" customHeight="1" thickBot="1" x14ac:dyDescent="0.3">
      <c r="B16" s="16">
        <f t="shared" si="1"/>
        <v>7</v>
      </c>
      <c r="C16" s="106" t="s">
        <v>78</v>
      </c>
      <c r="D16" s="107" t="s">
        <v>79</v>
      </c>
      <c r="E16" s="599" t="str">
        <f t="shared" si="0"/>
        <v>LeifEngen</v>
      </c>
      <c r="F16" s="192">
        <f>YEAR(I$5)-_xlfn.XLOOKUP(E16,Deltakerliste!E$5:E$98,Deltakerliste!I$5:I$98)</f>
        <v>84</v>
      </c>
      <c r="G16" s="192">
        <f>_xlfn.XLOOKUP(E16,Deltakerliste!E$5:E$98,Deltakerliste!H$5:H$98)</f>
        <v>2</v>
      </c>
      <c r="H16" s="592">
        <f>VLOOKUP(F16,Deltakerliste!P$6:T$84,G16,FALSE)</f>
        <v>2.1509999999999998</v>
      </c>
      <c r="I16" s="593"/>
      <c r="J16" s="86">
        <v>3.2893518518518516E-2</v>
      </c>
      <c r="K16" s="13"/>
      <c r="L16" s="600">
        <f t="shared" si="2"/>
        <v>1.1342592592592592E-2</v>
      </c>
      <c r="M16" s="594">
        <f>IF(L16="Løype",Poengsammendrag!$F$2,IF(L16="Arr",Poengsammendrag!$F$3,IF(L16="Brutt",50,IF(L16="Disk",50,ROUND(MAXA(100*(MIN(L$10:L$82)/L16),50),0)))))</f>
        <v>71</v>
      </c>
      <c r="N16" s="724">
        <f t="shared" si="3"/>
        <v>5.2731718236134787E-3</v>
      </c>
      <c r="O16" s="596">
        <f>IF(N16="Løype",Poengsammendrag!$F$2,IF(N16="Arr",Poengsammendrag!$F$3,IF(N16="Brutt",50,IF(N16="Disk",50,ROUND(MAXA(100*(MIN(N$10:N$82)/N16),50),0)))))</f>
        <v>100</v>
      </c>
      <c r="Q16" s="672"/>
      <c r="R16" s="672"/>
      <c r="S16" s="735" t="s">
        <v>78</v>
      </c>
      <c r="T16" s="736">
        <v>1.1342592592592592E-2</v>
      </c>
      <c r="U16" s="752">
        <v>71</v>
      </c>
      <c r="V16" s="748"/>
      <c r="W16" s="743" t="s">
        <v>114</v>
      </c>
      <c r="X16" s="740">
        <v>78</v>
      </c>
      <c r="AB16" s="828">
        <f t="shared" si="5"/>
        <v>61</v>
      </c>
      <c r="AC16" s="829">
        <f t="shared" si="4"/>
        <v>0</v>
      </c>
    </row>
    <row r="17" spans="2:29" ht="21" customHeight="1" thickBot="1" x14ac:dyDescent="0.3">
      <c r="B17" s="16">
        <f t="shared" si="1"/>
        <v>8</v>
      </c>
      <c r="C17" s="106" t="s">
        <v>269</v>
      </c>
      <c r="D17" s="107" t="s">
        <v>270</v>
      </c>
      <c r="E17" s="599" t="str">
        <f t="shared" si="0"/>
        <v>Per OlavJohansen</v>
      </c>
      <c r="F17" s="192">
        <f>YEAR(I$5)-_xlfn.XLOOKUP(E17,Deltakerliste!E$5:E$98,Deltakerliste!I$5:I$98)</f>
        <v>67</v>
      </c>
      <c r="G17" s="192">
        <f>_xlfn.XLOOKUP(E17,Deltakerliste!E$5:E$98,Deltakerliste!H$5:H$98)</f>
        <v>2</v>
      </c>
      <c r="H17" s="592">
        <f>VLOOKUP(F17,Deltakerliste!P$6:T$84,G17,FALSE)</f>
        <v>1.3469999999999998</v>
      </c>
      <c r="I17" s="86"/>
      <c r="J17" s="86">
        <v>3.4791666666666665E-2</v>
      </c>
      <c r="K17" s="17"/>
      <c r="L17" s="600">
        <f t="shared" si="2"/>
        <v>1.1997126436781609E-2</v>
      </c>
      <c r="M17" s="594">
        <f>IF(L17="Løype",Poengsammendrag!$F$2,IF(L17="Arr",Poengsammendrag!$F$3,IF(L17="Brutt",50,IF(L17="Disk",50,ROUND(MAXA(100*(MIN(L$10:L$82)/L17),50),0)))))</f>
        <v>67</v>
      </c>
      <c r="N17" s="724">
        <f t="shared" si="3"/>
        <v>8.9065526627925846E-3</v>
      </c>
      <c r="O17" s="596">
        <f>IF(N17="Løype",Poengsammendrag!$F$2,IF(N17="Arr",Poengsammendrag!$F$3,IF(N17="Brutt",50,IF(N17="Disk",50,ROUND(MAXA(100*(MIN(N$10:N$82)/N17),50),0)))))</f>
        <v>59</v>
      </c>
      <c r="Q17" s="672"/>
      <c r="R17" s="672"/>
      <c r="S17" s="735" t="s">
        <v>269</v>
      </c>
      <c r="T17" s="736">
        <v>1.1997126436781609E-2</v>
      </c>
      <c r="U17" s="752">
        <v>67</v>
      </c>
      <c r="V17" s="748"/>
      <c r="W17" s="743" t="s">
        <v>307</v>
      </c>
      <c r="X17" s="740">
        <v>77</v>
      </c>
      <c r="AB17" s="828">
        <f t="shared" si="5"/>
        <v>62</v>
      </c>
      <c r="AC17" s="829">
        <f t="shared" si="4"/>
        <v>0</v>
      </c>
    </row>
    <row r="18" spans="2:29" ht="21" customHeight="1" thickBot="1" x14ac:dyDescent="0.3">
      <c r="B18" s="16">
        <f t="shared" si="1"/>
        <v>9</v>
      </c>
      <c r="C18" s="106" t="s">
        <v>251</v>
      </c>
      <c r="D18" s="107" t="s">
        <v>252</v>
      </c>
      <c r="E18" s="599" t="str">
        <f t="shared" si="0"/>
        <v>OttarKristiansen</v>
      </c>
      <c r="F18" s="192">
        <f>YEAR(I$5)-_xlfn.XLOOKUP(E18,Deltakerliste!E$5:E$98,Deltakerliste!I$5:I$98)</f>
        <v>76</v>
      </c>
      <c r="G18" s="192">
        <f>_xlfn.XLOOKUP(E18,Deltakerliste!E$5:E$98,Deltakerliste!H$5:H$98)</f>
        <v>2</v>
      </c>
      <c r="H18" s="592">
        <f>VLOOKUP(F18,Deltakerliste!P$6:T$84,G18,FALSE)</f>
        <v>1.655</v>
      </c>
      <c r="I18" s="86"/>
      <c r="J18" s="86">
        <v>3.5555555555555556E-2</v>
      </c>
      <c r="K18" s="13"/>
      <c r="L18" s="600">
        <f t="shared" si="2"/>
        <v>1.2260536398467433E-2</v>
      </c>
      <c r="M18" s="594">
        <f>IF(L18="Løype",Poengsammendrag!$F$2,IF(L18="Arr",Poengsammendrag!$F$3,IF(L18="Brutt",50,IF(L18="Disk",50,ROUND(MAXA(100*(MIN(L$10:L$82)/L18),50),0)))))</f>
        <v>66</v>
      </c>
      <c r="N18" s="724">
        <f t="shared" si="3"/>
        <v>7.4081790927295671E-3</v>
      </c>
      <c r="O18" s="596">
        <f>IF(N18="Løype",Poengsammendrag!$F$2,IF(N18="Arr",Poengsammendrag!$F$3,IF(N18="Brutt",50,IF(N18="Disk",50,ROUND(MAXA(100*(MIN(N$10:N$82)/N18),50),0)))))</f>
        <v>71</v>
      </c>
      <c r="Q18" s="672"/>
      <c r="R18" s="672"/>
      <c r="S18" s="735" t="s">
        <v>251</v>
      </c>
      <c r="T18" s="736">
        <v>1.2260536398467433E-2</v>
      </c>
      <c r="U18" s="752">
        <v>66</v>
      </c>
      <c r="V18" s="748"/>
      <c r="W18" s="743" t="s">
        <v>136</v>
      </c>
      <c r="X18" s="740">
        <v>75</v>
      </c>
      <c r="AB18" s="828">
        <f t="shared" si="5"/>
        <v>63</v>
      </c>
      <c r="AC18" s="829">
        <f t="shared" si="4"/>
        <v>0</v>
      </c>
    </row>
    <row r="19" spans="2:29" ht="21" thickBot="1" x14ac:dyDescent="0.3">
      <c r="B19" s="16">
        <f t="shared" si="1"/>
        <v>10</v>
      </c>
      <c r="C19" s="106" t="s">
        <v>101</v>
      </c>
      <c r="D19" s="107" t="s">
        <v>102</v>
      </c>
      <c r="E19" s="599" t="str">
        <f t="shared" si="0"/>
        <v>EvenHofstad</v>
      </c>
      <c r="F19" s="192">
        <f>YEAR(I$5)-_xlfn.XLOOKUP(E19,Deltakerliste!E$5:E$98,Deltakerliste!I$5:I$98)</f>
        <v>71</v>
      </c>
      <c r="G19" s="192">
        <f>_xlfn.XLOOKUP(E19,Deltakerliste!E$5:E$98,Deltakerliste!H$5:H$98)</f>
        <v>2</v>
      </c>
      <c r="H19" s="592">
        <f>VLOOKUP(F19,Deltakerliste!P$6:T$84,G19,FALSE)</f>
        <v>1.4609999999999999</v>
      </c>
      <c r="I19" s="86"/>
      <c r="J19" s="86">
        <v>3.8981481481481478E-2</v>
      </c>
      <c r="K19" s="13"/>
      <c r="L19" s="600">
        <f t="shared" si="2"/>
        <v>1.3441890166028096E-2</v>
      </c>
      <c r="M19" s="594">
        <f>IF(L19="Løype",Poengsammendrag!$F$2,IF(L19="Arr",Poengsammendrag!$F$3,IF(L19="Brutt",50,IF(L19="Disk",50,ROUND(MAXA(100*(MIN(L$10:L$82)/L19),50),0)))))</f>
        <v>60</v>
      </c>
      <c r="N19" s="724">
        <f t="shared" si="3"/>
        <v>9.200472392900819E-3</v>
      </c>
      <c r="O19" s="596">
        <f>IF(N19="Løype",Poengsammendrag!$F$2,IF(N19="Arr",Poengsammendrag!$F$3,IF(N19="Brutt",50,IF(N19="Disk",50,ROUND(MAXA(100*(MIN(N$10:N$82)/N19),50),0)))))</f>
        <v>57</v>
      </c>
      <c r="Q19" s="672"/>
      <c r="R19" s="672"/>
      <c r="S19" s="735" t="s">
        <v>101</v>
      </c>
      <c r="T19" s="736">
        <v>1.3441890166028096E-2</v>
      </c>
      <c r="U19" s="752">
        <v>60</v>
      </c>
      <c r="V19" s="748"/>
      <c r="W19" s="743" t="s">
        <v>124</v>
      </c>
      <c r="X19" s="740">
        <v>73</v>
      </c>
      <c r="AB19" s="828">
        <f t="shared" si="5"/>
        <v>64</v>
      </c>
      <c r="AC19" s="829">
        <f t="shared" si="4"/>
        <v>0</v>
      </c>
    </row>
    <row r="20" spans="2:29" ht="21" thickBot="1" x14ac:dyDescent="0.3">
      <c r="B20" s="16">
        <f t="shared" si="1"/>
        <v>11</v>
      </c>
      <c r="C20" s="106" t="s">
        <v>114</v>
      </c>
      <c r="D20" s="107" t="s">
        <v>115</v>
      </c>
      <c r="E20" s="599" t="str">
        <f t="shared" si="0"/>
        <v>MagnusLandstad</v>
      </c>
      <c r="F20" s="192">
        <f>YEAR(I$5)-_xlfn.XLOOKUP(E20,Deltakerliste!E$5:E$98,Deltakerliste!I$5:I$98)</f>
        <v>82</v>
      </c>
      <c r="G20" s="192">
        <f>_xlfn.XLOOKUP(E20,Deltakerliste!E$5:E$98,Deltakerliste!H$5:H$98)</f>
        <v>2</v>
      </c>
      <c r="H20" s="592">
        <f>VLOOKUP(F20,Deltakerliste!P$6:T$84,G20,FALSE)</f>
        <v>2.0030000000000001</v>
      </c>
      <c r="I20" s="86"/>
      <c r="J20" s="86">
        <v>3.9027777777777779E-2</v>
      </c>
      <c r="K20" s="13"/>
      <c r="L20" s="600">
        <f t="shared" si="2"/>
        <v>1.3457854406130268E-2</v>
      </c>
      <c r="M20" s="594">
        <f>IF(L20="Løype",Poengsammendrag!$F$2,IF(L20="Arr",Poengsammendrag!$F$3,IF(L20="Brutt",50,IF(L20="Disk",50,ROUND(MAXA(100*(MIN(L$10:L$82)/L20),50),0)))))</f>
        <v>60</v>
      </c>
      <c r="N20" s="724">
        <f t="shared" si="3"/>
        <v>6.7188489296706282E-3</v>
      </c>
      <c r="O20" s="596">
        <f>IF(N20="Løype",Poengsammendrag!$F$2,IF(N20="Arr",Poengsammendrag!$F$3,IF(N20="Brutt",50,IF(N20="Disk",50,ROUND(MAXA(100*(MIN(N$10:N$82)/N20),50),0)))))</f>
        <v>78</v>
      </c>
      <c r="Q20" s="672"/>
      <c r="R20" s="672"/>
      <c r="S20" s="735" t="s">
        <v>114</v>
      </c>
      <c r="T20" s="736">
        <v>1.3457854406130268E-2</v>
      </c>
      <c r="U20" s="752">
        <v>60</v>
      </c>
      <c r="V20" s="748"/>
      <c r="W20" s="743" t="s">
        <v>251</v>
      </c>
      <c r="X20" s="740">
        <v>71</v>
      </c>
      <c r="AB20" s="828">
        <f t="shared" si="5"/>
        <v>65</v>
      </c>
      <c r="AC20" s="829">
        <f t="shared" si="4"/>
        <v>0</v>
      </c>
    </row>
    <row r="21" spans="2:29" ht="21" customHeight="1" thickBot="1" x14ac:dyDescent="0.3">
      <c r="B21" s="16">
        <f t="shared" si="1"/>
        <v>12</v>
      </c>
      <c r="C21" s="106" t="s">
        <v>161</v>
      </c>
      <c r="D21" s="107" t="s">
        <v>162</v>
      </c>
      <c r="E21" s="599" t="str">
        <f t="shared" si="0"/>
        <v>Nils OlavVennevik</v>
      </c>
      <c r="F21" s="192">
        <f>YEAR(I$5)-_xlfn.XLOOKUP(E21,Deltakerliste!E$5:E$98,Deltakerliste!I$5:I$98)</f>
        <v>77</v>
      </c>
      <c r="G21" s="192">
        <f>_xlfn.XLOOKUP(E21,Deltakerliste!E$5:E$98,Deltakerliste!H$5:H$98)</f>
        <v>2</v>
      </c>
      <c r="H21" s="592">
        <f>VLOOKUP(F21,Deltakerliste!P$6:T$84,G21,FALSE)</f>
        <v>1.7050000000000001</v>
      </c>
      <c r="I21" s="132">
        <v>2.5648148148148149E-2</v>
      </c>
      <c r="J21" s="18"/>
      <c r="K21" s="133"/>
      <c r="L21" s="600">
        <f t="shared" si="2"/>
        <v>1.3499025341130606E-2</v>
      </c>
      <c r="M21" s="594">
        <f>IF(L21="Løype",Poengsammendrag!$F$2,IF(L21="Arr",Poengsammendrag!$F$3,IF(L21="Brutt",50,IF(L21="Disk",50,ROUND(MAXA(100*(MIN(L$10:L$82)/L21),50),0)))))</f>
        <v>60</v>
      </c>
      <c r="N21" s="724">
        <f t="shared" si="3"/>
        <v>7.9173169156191228E-3</v>
      </c>
      <c r="O21" s="596">
        <f>IF(N21="Løype",Poengsammendrag!$F$2,IF(N21="Arr",Poengsammendrag!$F$3,IF(N21="Brutt",50,IF(N21="Disk",50,ROUND(MAXA(100*(MIN(N$10:N$82)/N21),50),0)))))</f>
        <v>67</v>
      </c>
      <c r="Q21" s="672"/>
      <c r="R21" s="672"/>
      <c r="S21" s="735" t="s">
        <v>161</v>
      </c>
      <c r="T21" s="736">
        <v>1.3499025341130606E-2</v>
      </c>
      <c r="U21" s="752">
        <v>60</v>
      </c>
      <c r="V21" s="748"/>
      <c r="W21" s="743" t="s">
        <v>163</v>
      </c>
      <c r="X21" s="740">
        <v>71</v>
      </c>
      <c r="AB21" s="828">
        <f t="shared" si="5"/>
        <v>66</v>
      </c>
      <c r="AC21" s="829">
        <f t="shared" si="4"/>
        <v>2</v>
      </c>
    </row>
    <row r="22" spans="2:29" ht="21" customHeight="1" thickBot="1" x14ac:dyDescent="0.3">
      <c r="B22" s="16">
        <f t="shared" si="1"/>
        <v>13</v>
      </c>
      <c r="C22" s="106" t="s">
        <v>142</v>
      </c>
      <c r="D22" s="107" t="s">
        <v>143</v>
      </c>
      <c r="E22" s="599" t="str">
        <f t="shared" si="0"/>
        <v>EgilRepvik</v>
      </c>
      <c r="F22" s="192">
        <f>YEAR(I$5)-_xlfn.XLOOKUP(E22,Deltakerliste!E$5:E$98,Deltakerliste!I$5:I$98)</f>
        <v>79</v>
      </c>
      <c r="G22" s="192">
        <f>_xlfn.XLOOKUP(E22,Deltakerliste!E$5:E$98,Deltakerliste!H$5:H$98)</f>
        <v>2</v>
      </c>
      <c r="H22" s="592">
        <f>VLOOKUP(F22,Deltakerliste!P$6:T$84,G22,FALSE)</f>
        <v>1.8050000000000002</v>
      </c>
      <c r="I22" s="132">
        <v>2.6053240740740741E-2</v>
      </c>
      <c r="J22" s="18"/>
      <c r="K22" s="133"/>
      <c r="L22" s="600">
        <f t="shared" si="2"/>
        <v>1.3712231968810917E-2</v>
      </c>
      <c r="M22" s="594">
        <f>IF(L22="Løype",Poengsammendrag!$F$2,IF(L22="Arr",Poengsammendrag!$F$3,IF(L22="Brutt",50,IF(L22="Disk",50,ROUND(MAXA(100*(MIN(L$10:L$82)/L22),50),0)))))</f>
        <v>59</v>
      </c>
      <c r="N22" s="724">
        <f t="shared" si="3"/>
        <v>7.5968044148536926E-3</v>
      </c>
      <c r="O22" s="596">
        <f>IF(N22="Løype",Poengsammendrag!$F$2,IF(N22="Arr",Poengsammendrag!$F$3,IF(N22="Brutt",50,IF(N22="Disk",50,ROUND(MAXA(100*(MIN(N$10:N$82)/N22),50),0)))))</f>
        <v>69</v>
      </c>
      <c r="Q22" s="672"/>
      <c r="R22" s="672"/>
      <c r="S22" s="735" t="s">
        <v>142</v>
      </c>
      <c r="T22" s="736">
        <v>1.3712231968810917E-2</v>
      </c>
      <c r="U22" s="752">
        <v>59</v>
      </c>
      <c r="V22" s="748"/>
      <c r="W22" s="743" t="s">
        <v>142</v>
      </c>
      <c r="X22" s="740">
        <v>69</v>
      </c>
      <c r="AB22" s="828">
        <f t="shared" si="5"/>
        <v>67</v>
      </c>
      <c r="AC22" s="829">
        <f t="shared" si="4"/>
        <v>1</v>
      </c>
    </row>
    <row r="23" spans="2:29" ht="21" customHeight="1" thickBot="1" x14ac:dyDescent="0.3">
      <c r="B23" s="16">
        <f t="shared" si="1"/>
        <v>14</v>
      </c>
      <c r="C23" s="106" t="s">
        <v>124</v>
      </c>
      <c r="D23" s="107" t="s">
        <v>125</v>
      </c>
      <c r="E23" s="599" t="str">
        <f t="shared" si="0"/>
        <v>Heidi Midttun</v>
      </c>
      <c r="F23" s="192">
        <f>YEAR(I$5)-_xlfn.XLOOKUP(E23,Deltakerliste!E$5:E$98,Deltakerliste!I$5:I$98)</f>
        <v>70</v>
      </c>
      <c r="G23" s="192">
        <f>_xlfn.XLOOKUP(E23,Deltakerliste!E$5:E$98,Deltakerliste!H$5:H$98)</f>
        <v>4</v>
      </c>
      <c r="H23" s="592">
        <f>VLOOKUP(F23,Deltakerliste!P$6:T$84,G23,FALSE)</f>
        <v>1.9490000000000012</v>
      </c>
      <c r="I23" s="13">
        <v>2.6608796296296297E-2</v>
      </c>
      <c r="J23" s="13"/>
      <c r="K23" s="13"/>
      <c r="L23" s="600">
        <f t="shared" si="2"/>
        <v>1.4004629629629631E-2</v>
      </c>
      <c r="M23" s="594">
        <f>IF(L23="Løype",Poengsammendrag!$F$2,IF(L23="Arr",Poengsammendrag!$F$3,IF(L23="Brutt",50,IF(L23="Disk",50,ROUND(MAXA(100*(MIN(L$10:L$82)/L23),50),0)))))</f>
        <v>58</v>
      </c>
      <c r="N23" s="724">
        <f t="shared" si="3"/>
        <v>7.1855462440377745E-3</v>
      </c>
      <c r="O23" s="596">
        <f>IF(N23="Løype",Poengsammendrag!$F$2,IF(N23="Arr",Poengsammendrag!$F$3,IF(N23="Brutt",50,IF(N23="Disk",50,ROUND(MAXA(100*(MIN(N$10:N$82)/N23),50),0)))))</f>
        <v>73</v>
      </c>
      <c r="Q23" s="672"/>
      <c r="R23" s="672"/>
      <c r="S23" s="735" t="s">
        <v>124</v>
      </c>
      <c r="T23" s="736">
        <v>1.4004629629629631E-2</v>
      </c>
      <c r="U23" s="752">
        <v>58</v>
      </c>
      <c r="V23" s="748"/>
      <c r="W23" s="743" t="s">
        <v>138</v>
      </c>
      <c r="X23" s="740">
        <v>68</v>
      </c>
      <c r="AB23" s="828">
        <f t="shared" si="5"/>
        <v>68</v>
      </c>
      <c r="AC23" s="829">
        <f t="shared" si="4"/>
        <v>0</v>
      </c>
    </row>
    <row r="24" spans="2:29" ht="21" thickBot="1" x14ac:dyDescent="0.3">
      <c r="B24" s="16">
        <f t="shared" si="1"/>
        <v>15</v>
      </c>
      <c r="C24" s="106" t="s">
        <v>72</v>
      </c>
      <c r="D24" s="107" t="s">
        <v>73</v>
      </c>
      <c r="E24" s="599" t="str">
        <f t="shared" si="0"/>
        <v>KåreEggereide</v>
      </c>
      <c r="F24" s="192">
        <f>YEAR(I$5)-_xlfn.XLOOKUP(E24,Deltakerliste!E$5:E$98,Deltakerliste!I$5:I$98)</f>
        <v>74</v>
      </c>
      <c r="G24" s="192">
        <f>_xlfn.XLOOKUP(E24,Deltakerliste!E$5:E$98,Deltakerliste!H$5:H$98)</f>
        <v>2</v>
      </c>
      <c r="H24" s="592">
        <f>VLOOKUP(F24,Deltakerliste!P$6:T$84,G24,FALSE)</f>
        <v>1.569</v>
      </c>
      <c r="I24" s="593"/>
      <c r="J24" s="13">
        <v>4.1747685185185186E-2</v>
      </c>
      <c r="K24" s="13"/>
      <c r="L24" s="600">
        <f t="shared" si="2"/>
        <v>1.4395753512132823E-2</v>
      </c>
      <c r="M24" s="594">
        <f>IF(L24="Løype",Poengsammendrag!$F$2,IF(L24="Arr",Poengsammendrag!$F$3,IF(L24="Brutt",50,IF(L24="Disk",50,ROUND(MAXA(100*(MIN(L$10:L$82)/L24),50),0)))))</f>
        <v>56</v>
      </c>
      <c r="N24" s="724">
        <f t="shared" si="3"/>
        <v>9.1751137744632404E-3</v>
      </c>
      <c r="O24" s="596">
        <f>IF(N24="Løype",Poengsammendrag!$F$2,IF(N24="Arr",Poengsammendrag!$F$3,IF(N24="Brutt",50,IF(N24="Disk",50,ROUND(MAXA(100*(MIN(N$10:N$82)/N24),50),0)))))</f>
        <v>57</v>
      </c>
      <c r="Q24" s="672"/>
      <c r="R24" s="672"/>
      <c r="S24" s="735" t="s">
        <v>72</v>
      </c>
      <c r="T24" s="736">
        <v>1.4395753512132823E-2</v>
      </c>
      <c r="U24" s="752">
        <v>56</v>
      </c>
      <c r="V24" s="748"/>
      <c r="W24" s="743" t="s">
        <v>161</v>
      </c>
      <c r="X24" s="740">
        <v>67</v>
      </c>
      <c r="AB24" s="828">
        <f t="shared" si="5"/>
        <v>69</v>
      </c>
      <c r="AC24" s="829">
        <f t="shared" si="4"/>
        <v>2</v>
      </c>
    </row>
    <row r="25" spans="2:29" ht="21" thickBot="1" x14ac:dyDescent="0.3">
      <c r="B25" s="16">
        <f t="shared" si="1"/>
        <v>16</v>
      </c>
      <c r="C25" s="106" t="s">
        <v>116</v>
      </c>
      <c r="D25" s="107" t="s">
        <v>117</v>
      </c>
      <c r="E25" s="599" t="str">
        <f t="shared" si="0"/>
        <v>AndersLauglo</v>
      </c>
      <c r="F25" s="192">
        <f>YEAR(I$5)-_xlfn.XLOOKUP(E25,Deltakerliste!E$5:E$98,Deltakerliste!I$5:I$98)</f>
        <v>86</v>
      </c>
      <c r="G25" s="192">
        <f>_xlfn.XLOOKUP(E25,Deltakerliste!E$5:E$98,Deltakerliste!H$5:H$98)</f>
        <v>2</v>
      </c>
      <c r="H25" s="592">
        <f>VLOOKUP(F25,Deltakerliste!P$6:T$84,G25,FALSE)</f>
        <v>2.3089999999999997</v>
      </c>
      <c r="I25" s="86">
        <v>2.8576388888888887E-2</v>
      </c>
      <c r="J25" s="86"/>
      <c r="K25" s="13"/>
      <c r="L25" s="600">
        <f t="shared" si="2"/>
        <v>1.5040204678362572E-2</v>
      </c>
      <c r="M25" s="594">
        <f>IF(L25="Løype",Poengsammendrag!$F$2,IF(L25="Arr",Poengsammendrag!$F$3,IF(L25="Brutt",50,IF(L25="Disk",50,ROUND(MAXA(100*(MIN(L$10:L$82)/L25),50),0)))))</f>
        <v>54</v>
      </c>
      <c r="N25" s="724">
        <f t="shared" si="3"/>
        <v>6.513730913106355E-3</v>
      </c>
      <c r="O25" s="596">
        <f>IF(N25="Løype",Poengsammendrag!$F$2,IF(N25="Arr",Poengsammendrag!$F$3,IF(N25="Brutt",50,IF(N25="Disk",50,ROUND(MAXA(100*(MIN(N$10:N$82)/N25),50),0)))))</f>
        <v>81</v>
      </c>
      <c r="Q25" s="672"/>
      <c r="R25" s="672"/>
      <c r="S25" s="735" t="s">
        <v>315</v>
      </c>
      <c r="T25" s="736">
        <v>1.5040204678362572E-2</v>
      </c>
      <c r="U25" s="752">
        <v>54</v>
      </c>
      <c r="V25" s="748"/>
      <c r="W25" s="743" t="s">
        <v>269</v>
      </c>
      <c r="X25" s="740">
        <v>59</v>
      </c>
      <c r="AB25" s="828">
        <f t="shared" si="5"/>
        <v>70</v>
      </c>
      <c r="AC25" s="829">
        <f t="shared" si="4"/>
        <v>1</v>
      </c>
    </row>
    <row r="26" spans="2:29" ht="21" customHeight="1" thickBot="1" x14ac:dyDescent="0.3">
      <c r="B26" s="16">
        <f t="shared" si="1"/>
        <v>17</v>
      </c>
      <c r="C26" s="106" t="s">
        <v>96</v>
      </c>
      <c r="D26" s="107" t="s">
        <v>97</v>
      </c>
      <c r="E26" s="599" t="str">
        <f t="shared" si="0"/>
        <v>StigHaugskott</v>
      </c>
      <c r="F26" s="192">
        <f>YEAR(I$5)-_xlfn.XLOOKUP(E26,Deltakerliste!E$5:E$98,Deltakerliste!I$5:I$98)</f>
        <v>86</v>
      </c>
      <c r="G26" s="192">
        <f>_xlfn.XLOOKUP(E26,Deltakerliste!E$5:E$98,Deltakerliste!H$5:H$98)</f>
        <v>2</v>
      </c>
      <c r="H26" s="592">
        <f>VLOOKUP(F26,Deltakerliste!P$6:T$84,G26,FALSE)</f>
        <v>2.3089999999999997</v>
      </c>
      <c r="I26" s="86">
        <v>2.9363425925925925E-2</v>
      </c>
      <c r="J26" s="86"/>
      <c r="K26" s="17"/>
      <c r="L26" s="600">
        <f t="shared" si="2"/>
        <v>1.545443469785575E-2</v>
      </c>
      <c r="M26" s="594">
        <f>IF(L26="Løype",Poengsammendrag!$F$2,IF(L26="Arr",Poengsammendrag!$F$3,IF(L26="Brutt",50,IF(L26="Disk",50,ROUND(MAXA(100*(MIN(L$10:L$82)/L26),50),0)))))</f>
        <v>52</v>
      </c>
      <c r="N26" s="724">
        <f t="shared" si="3"/>
        <v>6.6931289293441975E-3</v>
      </c>
      <c r="O26" s="596">
        <f>IF(N26="Løype",Poengsammendrag!$F$2,IF(N26="Arr",Poengsammendrag!$F$3,IF(N26="Brutt",50,IF(N26="Disk",50,ROUND(MAXA(100*(MIN(N$10:N$82)/N26),50),0)))))</f>
        <v>79</v>
      </c>
      <c r="Q26" s="672"/>
      <c r="R26" s="672"/>
      <c r="S26" s="735" t="s">
        <v>96</v>
      </c>
      <c r="T26" s="736">
        <v>1.545443469785575E-2</v>
      </c>
      <c r="U26" s="752">
        <v>52</v>
      </c>
      <c r="V26" s="748"/>
      <c r="W26" s="743" t="s">
        <v>72</v>
      </c>
      <c r="X26" s="740">
        <v>57</v>
      </c>
      <c r="AB26" s="828">
        <f t="shared" si="5"/>
        <v>71</v>
      </c>
      <c r="AC26" s="829">
        <f t="shared" si="4"/>
        <v>1</v>
      </c>
    </row>
    <row r="27" spans="2:29" ht="21" thickBot="1" x14ac:dyDescent="0.3">
      <c r="B27" s="16">
        <f t="shared" si="1"/>
        <v>18</v>
      </c>
      <c r="C27" s="106" t="s">
        <v>138</v>
      </c>
      <c r="D27" s="107" t="s">
        <v>137</v>
      </c>
      <c r="E27" s="599" t="str">
        <f t="shared" si="0"/>
        <v>GunnhildOftedal</v>
      </c>
      <c r="F27" s="192">
        <f>YEAR(I$5)-_xlfn.XLOOKUP(E27,Deltakerliste!E$5:E$98,Deltakerliste!I$5:I$98)</f>
        <v>72</v>
      </c>
      <c r="G27" s="192">
        <f>_xlfn.XLOOKUP(E27,Deltakerliste!E$5:E$98,Deltakerliste!H$5:H$98)</f>
        <v>4</v>
      </c>
      <c r="H27" s="592">
        <f>VLOOKUP(F27,Deltakerliste!P$6:T$84,G27,FALSE)</f>
        <v>2.0362000000000013</v>
      </c>
      <c r="I27" s="13"/>
      <c r="J27" s="13">
        <v>4.5949074074074073E-2</v>
      </c>
      <c r="K27" s="13"/>
      <c r="L27" s="600">
        <f t="shared" si="2"/>
        <v>1.5844508301404853E-2</v>
      </c>
      <c r="M27" s="594">
        <f>IF(L27="Løype",Poengsammendrag!$F$2,IF(L27="Arr",Poengsammendrag!$F$3,IF(L27="Brutt",50,IF(L27="Disk",50,ROUND(MAXA(100*(MIN(L$10:L$82)/L27),50),0)))))</f>
        <v>51</v>
      </c>
      <c r="N27" s="724">
        <f t="shared" si="3"/>
        <v>7.7814106185074361E-3</v>
      </c>
      <c r="O27" s="596">
        <f>IF(N27="Løype",Poengsammendrag!$F$2,IF(N27="Arr",Poengsammendrag!$F$3,IF(N27="Brutt",50,IF(N27="Disk",50,ROUND(MAXA(100*(MIN(N$10:N$82)/N27),50),0)))))</f>
        <v>68</v>
      </c>
      <c r="Q27" s="672"/>
      <c r="R27" s="672"/>
      <c r="S27" s="735" t="s">
        <v>138</v>
      </c>
      <c r="T27" s="736">
        <v>1.5844508301404853E-2</v>
      </c>
      <c r="U27" s="752">
        <v>51</v>
      </c>
      <c r="V27" s="748"/>
      <c r="W27" s="743" t="s">
        <v>101</v>
      </c>
      <c r="X27" s="740">
        <v>57</v>
      </c>
      <c r="AB27" s="828">
        <f t="shared" si="5"/>
        <v>72</v>
      </c>
      <c r="AC27" s="829">
        <f t="shared" si="4"/>
        <v>3</v>
      </c>
    </row>
    <row r="28" spans="2:29" ht="21" customHeight="1" thickBot="1" x14ac:dyDescent="0.3">
      <c r="B28" s="16">
        <f t="shared" si="1"/>
        <v>19</v>
      </c>
      <c r="C28" s="106" t="s">
        <v>149</v>
      </c>
      <c r="D28" s="107" t="s">
        <v>150</v>
      </c>
      <c r="E28" s="599" t="str">
        <f t="shared" si="0"/>
        <v>BenteSkorge</v>
      </c>
      <c r="F28" s="192">
        <f>YEAR(I$5)-_xlfn.XLOOKUP(E28,Deltakerliste!E$5:E$98,Deltakerliste!I$5:I$98)</f>
        <v>66</v>
      </c>
      <c r="G28" s="192">
        <f>_xlfn.XLOOKUP(E28,Deltakerliste!E$5:E$98,Deltakerliste!H$5:H$98)</f>
        <v>4</v>
      </c>
      <c r="H28" s="592">
        <f>VLOOKUP(F28,Deltakerliste!P$6:T$84,G28,FALSE)</f>
        <v>1.8066000000000009</v>
      </c>
      <c r="I28" s="18"/>
      <c r="J28" s="132">
        <v>4.9687500000000002E-2</v>
      </c>
      <c r="K28" s="133"/>
      <c r="L28" s="600">
        <f t="shared" si="2"/>
        <v>1.7133620689655175E-2</v>
      </c>
      <c r="M28" s="594">
        <f>IF(L28="Løype",Poengsammendrag!$F$2,IF(L28="Arr",Poengsammendrag!$F$3,IF(L28="Brutt",50,IF(L28="Disk",50,ROUND(MAXA(100*(MIN(L$10:L$82)/L28),50),0)))))</f>
        <v>50</v>
      </c>
      <c r="N28" s="724">
        <f t="shared" si="3"/>
        <v>9.4839038468145509E-3</v>
      </c>
      <c r="O28" s="596">
        <f>IF(N28="Løype",Poengsammendrag!$F$2,IF(N28="Arr",Poengsammendrag!$F$3,IF(N28="Brutt",50,IF(N28="Disk",50,ROUND(MAXA(100*(MIN(N$10:N$82)/N28),50),0)))))</f>
        <v>56</v>
      </c>
      <c r="Q28" s="672"/>
      <c r="R28" s="672"/>
      <c r="S28" s="735" t="s">
        <v>149</v>
      </c>
      <c r="T28" s="736">
        <v>1.7133620689655175E-2</v>
      </c>
      <c r="U28" s="752">
        <v>50</v>
      </c>
      <c r="V28" s="748"/>
      <c r="W28" s="743" t="s">
        <v>149</v>
      </c>
      <c r="X28" s="740">
        <v>56</v>
      </c>
      <c r="AB28" s="828">
        <f t="shared" si="5"/>
        <v>73</v>
      </c>
      <c r="AC28" s="829">
        <f t="shared" si="4"/>
        <v>1</v>
      </c>
    </row>
    <row r="29" spans="2:29" ht="21" thickBot="1" x14ac:dyDescent="0.3">
      <c r="B29" s="16">
        <f t="shared" si="1"/>
        <v>20</v>
      </c>
      <c r="C29" s="106" t="s">
        <v>309</v>
      </c>
      <c r="D29" s="107" t="s">
        <v>310</v>
      </c>
      <c r="E29" s="599" t="str">
        <f t="shared" si="0"/>
        <v>VigdisHeimly</v>
      </c>
      <c r="F29" s="192">
        <f>YEAR(I$5)-_xlfn.XLOOKUP(E29,Deltakerliste!E$5:E$98,Deltakerliste!I$5:I$98)</f>
        <v>66</v>
      </c>
      <c r="G29" s="192">
        <f>_xlfn.XLOOKUP(E29,Deltakerliste!E$5:E$98,Deltakerliste!H$5:H$98)</f>
        <v>4</v>
      </c>
      <c r="H29" s="592">
        <f>VLOOKUP(F29,Deltakerliste!P$6:T$84,G29,FALSE)</f>
        <v>1.8066000000000009</v>
      </c>
      <c r="I29" s="86">
        <v>3.3333333333333333E-2</v>
      </c>
      <c r="J29" s="86"/>
      <c r="K29" s="13"/>
      <c r="L29" s="600">
        <f t="shared" si="2"/>
        <v>1.7543859649122806E-2</v>
      </c>
      <c r="M29" s="594">
        <f>IF(L29="Løype",Poengsammendrag!$F$2,IF(L29="Arr",Poengsammendrag!$F$3,IF(L29="Brutt",50,IF(L29="Disk",50,ROUND(MAXA(100*(MIN(L$10:L$82)/L29),50),0)))))</f>
        <v>50</v>
      </c>
      <c r="N29" s="724">
        <f t="shared" si="3"/>
        <v>9.7109817608340507E-3</v>
      </c>
      <c r="O29" s="596">
        <f>IF(N29="Løype",Poengsammendrag!$F$2,IF(N29="Arr",Poengsammendrag!$F$3,IF(N29="Brutt",50,IF(N29="Disk",50,ROUND(MAXA(100*(MIN(N$10:N$82)/N29),50),0)))))</f>
        <v>54</v>
      </c>
      <c r="Q29" s="672"/>
      <c r="R29" s="672"/>
      <c r="S29" s="735" t="s">
        <v>309</v>
      </c>
      <c r="T29" s="736">
        <v>1.7543859649122806E-2</v>
      </c>
      <c r="U29" s="752">
        <v>50</v>
      </c>
      <c r="V29" s="748"/>
      <c r="W29" s="743" t="s">
        <v>309</v>
      </c>
      <c r="X29" s="740">
        <v>54</v>
      </c>
      <c r="AB29" s="828">
        <f t="shared" si="5"/>
        <v>74</v>
      </c>
      <c r="AC29" s="829">
        <f t="shared" si="4"/>
        <v>2</v>
      </c>
    </row>
    <row r="30" spans="2:29" ht="21" thickBot="1" x14ac:dyDescent="0.3">
      <c r="B30" s="16">
        <f t="shared" si="1"/>
        <v>21</v>
      </c>
      <c r="C30" s="106" t="s">
        <v>94</v>
      </c>
      <c r="D30" s="107" t="s">
        <v>95</v>
      </c>
      <c r="E30" s="599" t="str">
        <f t="shared" si="0"/>
        <v>TerjeHanssen</v>
      </c>
      <c r="F30" s="192">
        <f>YEAR(I$5)-_xlfn.XLOOKUP(E30,Deltakerliste!E$5:E$98,Deltakerliste!I$5:I$98)</f>
        <v>77</v>
      </c>
      <c r="G30" s="192">
        <f>_xlfn.XLOOKUP(E30,Deltakerliste!E$5:E$98,Deltakerliste!H$5:H$98)</f>
        <v>2</v>
      </c>
      <c r="H30" s="592">
        <f>VLOOKUP(F30,Deltakerliste!P$6:T$84,G30,FALSE)</f>
        <v>1.7050000000000001</v>
      </c>
      <c r="I30" s="86"/>
      <c r="J30" s="86">
        <v>5.0902777777777776E-2</v>
      </c>
      <c r="K30" s="17"/>
      <c r="L30" s="600">
        <f t="shared" si="2"/>
        <v>1.7552681992337164E-2</v>
      </c>
      <c r="M30" s="594">
        <f>IF(L30="Løype",Poengsammendrag!$F$2,IF(L30="Arr",Poengsammendrag!$F$3,IF(L30="Brutt",50,IF(L30="Disk",50,ROUND(MAXA(100*(MIN(L$10:L$82)/L30),50),0)))))</f>
        <v>50</v>
      </c>
      <c r="N30" s="724">
        <f t="shared" si="3"/>
        <v>1.0294828147998336E-2</v>
      </c>
      <c r="O30" s="596">
        <f>IF(N30="Løype",Poengsammendrag!$F$2,IF(N30="Arr",Poengsammendrag!$F$3,IF(N30="Brutt",50,IF(N30="Disk",50,ROUND(MAXA(100*(MIN(N$10:N$82)/N30),50),0)))))</f>
        <v>51</v>
      </c>
      <c r="Q30" s="672"/>
      <c r="R30" s="672"/>
      <c r="S30" s="735" t="s">
        <v>94</v>
      </c>
      <c r="T30" s="736">
        <v>1.7552681992337164E-2</v>
      </c>
      <c r="U30" s="752">
        <v>50</v>
      </c>
      <c r="V30" s="748"/>
      <c r="W30" s="743" t="s">
        <v>94</v>
      </c>
      <c r="X30" s="740">
        <v>51</v>
      </c>
      <c r="AB30" s="828">
        <f t="shared" si="5"/>
        <v>75</v>
      </c>
      <c r="AC30" s="829">
        <f t="shared" si="4"/>
        <v>0</v>
      </c>
    </row>
    <row r="31" spans="2:29" ht="21" customHeight="1" thickBot="1" x14ac:dyDescent="0.3">
      <c r="B31" s="16">
        <f t="shared" si="1"/>
        <v>22</v>
      </c>
      <c r="C31" s="106" t="s">
        <v>130</v>
      </c>
      <c r="D31" s="107" t="s">
        <v>131</v>
      </c>
      <c r="E31" s="599" t="str">
        <f t="shared" si="0"/>
        <v>AtleMørk</v>
      </c>
      <c r="F31" s="192">
        <f>YEAR(I$5)-_xlfn.XLOOKUP(E31,Deltakerliste!E$5:E$98,Deltakerliste!I$5:I$98)</f>
        <v>76</v>
      </c>
      <c r="G31" s="192">
        <f>_xlfn.XLOOKUP(E31,Deltakerliste!E$5:E$98,Deltakerliste!H$5:H$98)</f>
        <v>2</v>
      </c>
      <c r="H31" s="592">
        <f>VLOOKUP(F31,Deltakerliste!P$6:T$84,G31,FALSE)</f>
        <v>1.655</v>
      </c>
      <c r="I31" s="13">
        <v>3.5196759259259261E-2</v>
      </c>
      <c r="J31" s="13"/>
      <c r="K31" s="13"/>
      <c r="L31" s="600">
        <f t="shared" si="2"/>
        <v>1.8524610136452242E-2</v>
      </c>
      <c r="M31" s="594">
        <f>IF(L31="Løype",Poengsammendrag!$F$2,IF(L31="Arr",Poengsammendrag!$F$3,IF(L31="Brutt",50,IF(L31="Disk",50,ROUND(MAXA(100*(MIN(L$10:L$82)/L31),50),0)))))</f>
        <v>50</v>
      </c>
      <c r="N31" s="724">
        <f t="shared" si="3"/>
        <v>1.1193117907221899E-2</v>
      </c>
      <c r="O31" s="596">
        <f>IF(N31="Løype",Poengsammendrag!$F$2,IF(N31="Arr",Poengsammendrag!$F$3,IF(N31="Brutt",50,IF(N31="Disk",50,ROUND(MAXA(100*(MIN(N$10:N$82)/N31),50),0)))))</f>
        <v>50</v>
      </c>
      <c r="Q31" s="672"/>
      <c r="R31" s="672"/>
      <c r="S31" s="735" t="s">
        <v>130</v>
      </c>
      <c r="T31" s="736">
        <v>1.8524610136452242E-2</v>
      </c>
      <c r="U31" s="752">
        <v>50</v>
      </c>
      <c r="V31" s="748"/>
      <c r="W31" s="743" t="s">
        <v>130</v>
      </c>
      <c r="X31" s="740">
        <v>50</v>
      </c>
      <c r="AB31" s="828">
        <f t="shared" si="5"/>
        <v>76</v>
      </c>
      <c r="AC31" s="829">
        <f t="shared" si="4"/>
        <v>3</v>
      </c>
    </row>
    <row r="32" spans="2:29" ht="21" customHeight="1" thickBot="1" x14ac:dyDescent="0.3">
      <c r="B32" s="16">
        <f t="shared" si="1"/>
        <v>23</v>
      </c>
      <c r="C32" s="106" t="s">
        <v>88</v>
      </c>
      <c r="D32" s="107" t="s">
        <v>89</v>
      </c>
      <c r="E32" s="599" t="str">
        <f t="shared" si="0"/>
        <v>EdgarFuruholt</v>
      </c>
      <c r="F32" s="192">
        <f>YEAR(I$5)-_xlfn.XLOOKUP(E32,Deltakerliste!E$5:E$98,Deltakerliste!I$5:I$98)</f>
        <v>78</v>
      </c>
      <c r="G32" s="192">
        <f>_xlfn.XLOOKUP(E32,Deltakerliste!E$5:E$98,Deltakerliste!H$5:H$98)</f>
        <v>2</v>
      </c>
      <c r="H32" s="592">
        <f>VLOOKUP(F32,Deltakerliste!P$6:T$84,G32,FALSE)</f>
        <v>1.7550000000000001</v>
      </c>
      <c r="I32" s="13"/>
      <c r="J32" s="13" t="s">
        <v>7</v>
      </c>
      <c r="K32" s="13"/>
      <c r="L32" s="600" t="str">
        <f t="shared" si="2"/>
        <v>Arr</v>
      </c>
      <c r="M32" s="594">
        <f>IF(L32="Løype",Poengsammendrag!$F$2,IF(L32="Arr",Poengsammendrag!$F$3,IF(L32="Brutt",50,IF(L32="Disk",50,ROUND(MAXA(100*(MIN(L$10:L$82)/L32),50),0)))))</f>
        <v>94</v>
      </c>
      <c r="N32" s="724" t="str">
        <f t="shared" si="3"/>
        <v>Arr</v>
      </c>
      <c r="O32" s="596">
        <f>IF(N32="Løype",Poengsammendrag!$F$2,IF(N32="Arr",Poengsammendrag!$F$3,IF(N32="Brutt",50,IF(N32="Disk",50,ROUND(MAXA(100*(MIN(N$10:N$82)/N32),50),0)))))</f>
        <v>94</v>
      </c>
      <c r="S32" s="735" t="s">
        <v>88</v>
      </c>
      <c r="T32" s="736" t="s">
        <v>7</v>
      </c>
      <c r="U32" s="752">
        <v>94</v>
      </c>
      <c r="V32" s="748"/>
      <c r="W32" s="743" t="s">
        <v>88</v>
      </c>
      <c r="X32" s="740">
        <v>94</v>
      </c>
      <c r="AB32" s="828">
        <f t="shared" si="5"/>
        <v>77</v>
      </c>
      <c r="AC32" s="829">
        <f t="shared" si="4"/>
        <v>3</v>
      </c>
    </row>
    <row r="33" spans="2:29" ht="21" customHeight="1" thickBot="1" x14ac:dyDescent="0.3">
      <c r="B33" s="16">
        <f t="shared" si="1"/>
        <v>24</v>
      </c>
      <c r="C33" s="106" t="s">
        <v>82</v>
      </c>
      <c r="D33" s="107" t="s">
        <v>83</v>
      </c>
      <c r="E33" s="599" t="str">
        <f t="shared" si="0"/>
        <v>RoarForbord</v>
      </c>
      <c r="F33" s="192">
        <f>YEAR(I$5)-_xlfn.XLOOKUP(E33,Deltakerliste!E$5:E$98,Deltakerliste!I$5:I$98)</f>
        <v>82</v>
      </c>
      <c r="G33" s="192">
        <f>_xlfn.XLOOKUP(E33,Deltakerliste!E$5:E$98,Deltakerliste!H$5:H$98)</f>
        <v>2</v>
      </c>
      <c r="H33" s="592">
        <f>VLOOKUP(F33,Deltakerliste!P$6:T$84,G33,FALSE)</f>
        <v>2.0030000000000001</v>
      </c>
      <c r="I33" s="86" t="s">
        <v>306</v>
      </c>
      <c r="J33" s="86"/>
      <c r="K33" s="13"/>
      <c r="L33" s="600" t="str">
        <f t="shared" si="2"/>
        <v>Brutt</v>
      </c>
      <c r="M33" s="594">
        <f>IF(L33="Løype",Poengsammendrag!$F$2,IF(L33="Arr",Poengsammendrag!$F$3,IF(L33="Brutt",50,IF(L33="Disk",50,ROUND(MAXA(100*(MIN(L$10:L$82)/L33),50),0)))))</f>
        <v>50</v>
      </c>
      <c r="N33" s="724" t="str">
        <f t="shared" si="3"/>
        <v>Brutt</v>
      </c>
      <c r="O33" s="596">
        <f>IF(N33="Løype",Poengsammendrag!$F$2,IF(N33="Arr",Poengsammendrag!$F$3,IF(N33="Brutt",50,IF(N33="Disk",50,ROUND(MAXA(100*(MIN(N$10:N$82)/N33),50),0)))))</f>
        <v>50</v>
      </c>
      <c r="S33" s="735" t="s">
        <v>82</v>
      </c>
      <c r="T33" s="736" t="s">
        <v>306</v>
      </c>
      <c r="U33" s="752">
        <v>50</v>
      </c>
      <c r="V33" s="748"/>
      <c r="W33" s="743" t="s">
        <v>82</v>
      </c>
      <c r="X33" s="740">
        <v>50</v>
      </c>
      <c r="AB33" s="828">
        <f t="shared" si="5"/>
        <v>78</v>
      </c>
      <c r="AC33" s="829">
        <f t="shared" si="4"/>
        <v>1</v>
      </c>
    </row>
    <row r="34" spans="2:29" ht="21" customHeight="1" thickBot="1" x14ac:dyDescent="0.3">
      <c r="B34" s="16">
        <f t="shared" si="1"/>
        <v>25</v>
      </c>
      <c r="C34" s="106" t="s">
        <v>222</v>
      </c>
      <c r="D34" s="107" t="s">
        <v>221</v>
      </c>
      <c r="E34" s="599" t="str">
        <f t="shared" si="0"/>
        <v>Kjell Maroni</v>
      </c>
      <c r="F34" s="192">
        <f>YEAR(I$5)-_xlfn.XLOOKUP(E34,Deltakerliste!E$5:E$98,Deltakerliste!I$5:I$98)</f>
        <v>69</v>
      </c>
      <c r="G34" s="192">
        <f>_xlfn.XLOOKUP(E34,Deltakerliste!E$5:E$98,Deltakerliste!H$5:H$98)</f>
        <v>2</v>
      </c>
      <c r="H34" s="592">
        <f>VLOOKUP(F34,Deltakerliste!P$6:T$84,G34,FALSE)</f>
        <v>1.3989999999999998</v>
      </c>
      <c r="I34" s="13"/>
      <c r="J34" s="13" t="s">
        <v>319</v>
      </c>
      <c r="K34" s="17" t="s">
        <v>317</v>
      </c>
      <c r="L34" s="600" t="str">
        <f t="shared" si="2"/>
        <v>Disk</v>
      </c>
      <c r="M34" s="594">
        <f>IF(L34="Løype",Poengsammendrag!$F$2,IF(L34="Arr",Poengsammendrag!$F$3,IF(L34="Brutt",50,IF(L34="Disk",50,ROUND(MAXA(100*(MIN(L$10:L$82)/L34),50),0)))))</f>
        <v>50</v>
      </c>
      <c r="N34" s="724" t="str">
        <f t="shared" si="3"/>
        <v>Disk</v>
      </c>
      <c r="O34" s="596">
        <f>IF(N34="Løype",Poengsammendrag!$F$2,IF(N34="Arr",Poengsammendrag!$F$3,IF(N34="Brutt",50,IF(N34="Disk",50,ROUND(MAXA(100*(MIN(N$10:N$82)/N34),50),0)))))</f>
        <v>50</v>
      </c>
      <c r="S34" s="735" t="s">
        <v>222</v>
      </c>
      <c r="T34" s="736" t="s">
        <v>319</v>
      </c>
      <c r="U34" s="752">
        <v>50</v>
      </c>
      <c r="V34" s="748"/>
      <c r="W34" s="743" t="s">
        <v>222</v>
      </c>
      <c r="X34" s="740">
        <v>50</v>
      </c>
      <c r="AB34" s="828">
        <f t="shared" si="5"/>
        <v>79</v>
      </c>
      <c r="AC34" s="829">
        <f t="shared" si="4"/>
        <v>1</v>
      </c>
    </row>
    <row r="35" spans="2:29" ht="21" customHeight="1" thickBot="1" x14ac:dyDescent="0.3">
      <c r="B35" s="16">
        <f t="shared" si="1"/>
        <v>26</v>
      </c>
      <c r="C35" s="106" t="s">
        <v>159</v>
      </c>
      <c r="D35" s="107" t="s">
        <v>160</v>
      </c>
      <c r="E35" s="599" t="str">
        <f t="shared" si="0"/>
        <v>EigilSørli</v>
      </c>
      <c r="F35" s="192">
        <f>YEAR(I$5)-_xlfn.XLOOKUP(E35,Deltakerliste!E$5:E$98,Deltakerliste!I$5:I$98)</f>
        <v>85</v>
      </c>
      <c r="G35" s="192">
        <f>_xlfn.XLOOKUP(E35,Deltakerliste!E$5:E$98,Deltakerliste!H$5:H$98)</f>
        <v>2</v>
      </c>
      <c r="H35" s="592">
        <f>VLOOKUP(F35,Deltakerliste!P$6:T$84,G35,FALSE)</f>
        <v>2.2249999999999996</v>
      </c>
      <c r="I35" s="132" t="s">
        <v>319</v>
      </c>
      <c r="J35" s="18"/>
      <c r="K35" s="18" t="s">
        <v>316</v>
      </c>
      <c r="L35" s="600" t="str">
        <f t="shared" si="2"/>
        <v>Disk</v>
      </c>
      <c r="M35" s="594">
        <f>IF(L35="Løype",Poengsammendrag!$F$2,IF(L35="Arr",Poengsammendrag!$F$3,IF(L35="Brutt",50,IF(L35="Disk",50,ROUND(MAXA(100*(MIN(L$10:L$82)/L35),50),0)))))</f>
        <v>50</v>
      </c>
      <c r="N35" s="724" t="str">
        <f t="shared" si="3"/>
        <v>Disk</v>
      </c>
      <c r="O35" s="596">
        <f>IF(N35="Løype",Poengsammendrag!$F$2,IF(N35="Arr",Poengsammendrag!$F$3,IF(N35="Brutt",50,IF(N35="Disk",50,ROUND(MAXA(100*(MIN(N$10:N$82)/N35),50),0)))))</f>
        <v>50</v>
      </c>
      <c r="S35" s="735" t="s">
        <v>314</v>
      </c>
      <c r="T35" s="736" t="s">
        <v>319</v>
      </c>
      <c r="U35" s="752">
        <v>50</v>
      </c>
      <c r="V35" s="748"/>
      <c r="W35" s="743" t="s">
        <v>314</v>
      </c>
      <c r="X35" s="740">
        <v>50</v>
      </c>
      <c r="AB35" s="828">
        <f t="shared" si="5"/>
        <v>80</v>
      </c>
      <c r="AC35" s="829">
        <f t="shared" si="4"/>
        <v>0</v>
      </c>
    </row>
    <row r="36" spans="2:29" ht="21" customHeight="1" thickBot="1" x14ac:dyDescent="0.3">
      <c r="B36" s="16">
        <f t="shared" si="1"/>
        <v>27</v>
      </c>
      <c r="C36" s="106" t="s">
        <v>116</v>
      </c>
      <c r="D36" s="107" t="s">
        <v>165</v>
      </c>
      <c r="E36" s="599" t="str">
        <f t="shared" si="0"/>
        <v>AndersWaage</v>
      </c>
      <c r="F36" s="192">
        <f>YEAR(I$5)-_xlfn.XLOOKUP(E36,Deltakerliste!E$5:E$98,Deltakerliste!I$5:I$98)</f>
        <v>77</v>
      </c>
      <c r="G36" s="192">
        <f>_xlfn.XLOOKUP(E36,Deltakerliste!E$5:E$98,Deltakerliste!H$5:H$98)</f>
        <v>2</v>
      </c>
      <c r="H36" s="592">
        <f>VLOOKUP(F36,Deltakerliste!P$6:T$84,G36,FALSE)</f>
        <v>1.7050000000000001</v>
      </c>
      <c r="I36" s="18"/>
      <c r="J36" s="132" t="s">
        <v>319</v>
      </c>
      <c r="K36" s="18" t="s">
        <v>318</v>
      </c>
      <c r="L36" s="600" t="str">
        <f t="shared" si="2"/>
        <v>Disk</v>
      </c>
      <c r="M36" s="594">
        <f>IF(L36="Løype",Poengsammendrag!$F$2,IF(L36="Arr",Poengsammendrag!$F$3,IF(L36="Brutt",50,IF(L36="Disk",50,ROUND(MAXA(100*(MIN(L$10:L$82)/L36),50),0)))))</f>
        <v>50</v>
      </c>
      <c r="N36" s="724" t="str">
        <f t="shared" si="3"/>
        <v>Disk</v>
      </c>
      <c r="O36" s="596">
        <f>IF(N36="Løype",Poengsammendrag!$F$2,IF(N36="Arr",Poengsammendrag!$F$3,IF(N36="Brutt",50,IF(N36="Disk",50,ROUND(MAXA(100*(MIN(N$10:N$82)/N36),50),0)))))</f>
        <v>50</v>
      </c>
      <c r="S36" s="735" t="s">
        <v>159</v>
      </c>
      <c r="T36" s="736" t="s">
        <v>319</v>
      </c>
      <c r="U36" s="752">
        <v>50</v>
      </c>
      <c r="V36" s="748"/>
      <c r="W36" s="743" t="s">
        <v>159</v>
      </c>
      <c r="X36" s="740">
        <v>50</v>
      </c>
      <c r="AB36" s="828">
        <f t="shared" si="5"/>
        <v>81</v>
      </c>
      <c r="AC36" s="829">
        <f t="shared" si="4"/>
        <v>1</v>
      </c>
    </row>
    <row r="37" spans="2:29" ht="21" thickBot="1" x14ac:dyDescent="0.3">
      <c r="B37" s="16">
        <f t="shared" si="1"/>
        <v>28</v>
      </c>
      <c r="C37" s="106" t="s">
        <v>122</v>
      </c>
      <c r="D37" s="107" t="s">
        <v>123</v>
      </c>
      <c r="E37" s="599" t="str">
        <f t="shared" si="0"/>
        <v>MartinMelhuus</v>
      </c>
      <c r="F37" s="192">
        <f>YEAR(I$5)-_xlfn.XLOOKUP(E37,Deltakerliste!E$5:E$98,Deltakerliste!I$5:I$98)</f>
        <v>81</v>
      </c>
      <c r="G37" s="192">
        <f>_xlfn.XLOOKUP(E37,Deltakerliste!E$5:E$98,Deltakerliste!H$5:H$98)</f>
        <v>2</v>
      </c>
      <c r="H37" s="592">
        <f>VLOOKUP(F37,Deltakerliste!P$6:T$84,G37,FALSE)</f>
        <v>1.9290000000000003</v>
      </c>
      <c r="I37" s="13"/>
      <c r="J37" s="13" t="s">
        <v>62</v>
      </c>
      <c r="K37" s="13"/>
      <c r="L37" s="600" t="str">
        <f t="shared" si="2"/>
        <v>Løype</v>
      </c>
      <c r="M37" s="594">
        <f>IF(L37="Løype",Poengsammendrag!$F$2,IF(L37="Arr",Poengsammendrag!$F$3,IF(L37="Brutt",50,IF(L37="Disk",50,ROUND(MAXA(100*(MIN(L$10:L$82)/L37),50),0)))))</f>
        <v>100</v>
      </c>
      <c r="N37" s="724" t="str">
        <f t="shared" si="3"/>
        <v>Løype</v>
      </c>
      <c r="O37" s="596">
        <f>IF(N37="Løype",Poengsammendrag!$F$2,IF(N37="Arr",Poengsammendrag!$F$3,IF(N37="Brutt",50,IF(N37="Disk",50,ROUND(MAXA(100*(MIN(N$10:N$82)/N37),50),0)))))</f>
        <v>100</v>
      </c>
      <c r="S37" s="737" t="s">
        <v>122</v>
      </c>
      <c r="T37" s="738" t="s">
        <v>62</v>
      </c>
      <c r="U37" s="753">
        <v>100</v>
      </c>
      <c r="V37" s="749"/>
      <c r="W37" s="744" t="s">
        <v>122</v>
      </c>
      <c r="X37" s="741">
        <v>100</v>
      </c>
      <c r="AB37" s="828">
        <f t="shared" si="5"/>
        <v>82</v>
      </c>
      <c r="AC37" s="829">
        <f t="shared" si="4"/>
        <v>2</v>
      </c>
    </row>
    <row r="38" spans="2:29" ht="21" customHeight="1" thickBot="1" x14ac:dyDescent="0.3">
      <c r="B38" s="16">
        <f t="shared" si="1"/>
        <v>29</v>
      </c>
      <c r="C38" s="106" t="s">
        <v>60</v>
      </c>
      <c r="D38" s="107" t="s">
        <v>61</v>
      </c>
      <c r="E38" s="599" t="str">
        <f t="shared" si="0"/>
        <v>JosteinAlvestad</v>
      </c>
      <c r="F38" s="192">
        <f>YEAR(I$5)-_xlfn.XLOOKUP(E38,Deltakerliste!E$5:E$98,Deltakerliste!I$5:I$98)</f>
        <v>70</v>
      </c>
      <c r="G38" s="192">
        <f>_xlfn.XLOOKUP(E38,Deltakerliste!E$5:E$98,Deltakerliste!H$5:H$98)</f>
        <v>2</v>
      </c>
      <c r="H38" s="592">
        <f>VLOOKUP(F38,Deltakerliste!P$6:T$84,G38,FALSE)</f>
        <v>1.4249999999999998</v>
      </c>
      <c r="I38" s="13"/>
      <c r="J38" s="13"/>
      <c r="K38" s="17"/>
      <c r="L38" s="600"/>
      <c r="M38" s="594"/>
      <c r="N38" s="724"/>
      <c r="O38" s="596"/>
      <c r="AB38" s="828">
        <f t="shared" si="5"/>
        <v>83</v>
      </c>
      <c r="AC38" s="829">
        <f t="shared" si="4"/>
        <v>0</v>
      </c>
    </row>
    <row r="39" spans="2:29" ht="21" customHeight="1" thickBot="1" x14ac:dyDescent="0.3">
      <c r="B39" s="16">
        <f t="shared" si="1"/>
        <v>30</v>
      </c>
      <c r="C39" s="106" t="s">
        <v>64</v>
      </c>
      <c r="D39" s="107" t="s">
        <v>65</v>
      </c>
      <c r="E39" s="599" t="str">
        <f t="shared" si="0"/>
        <v>BjørnBerger</v>
      </c>
      <c r="F39" s="192">
        <f>YEAR(I$5)-_xlfn.XLOOKUP(E39,Deltakerliste!E$5:E$98,Deltakerliste!I$5:I$98)</f>
        <v>74</v>
      </c>
      <c r="G39" s="192">
        <f>_xlfn.XLOOKUP(E39,Deltakerliste!E$5:E$98,Deltakerliste!H$5:H$98)</f>
        <v>2</v>
      </c>
      <c r="H39" s="592">
        <f>VLOOKUP(F39,Deltakerliste!P$6:T$84,G39,FALSE)</f>
        <v>1.569</v>
      </c>
      <c r="I39" s="13"/>
      <c r="J39" s="13"/>
      <c r="K39" s="19"/>
      <c r="L39" s="600"/>
      <c r="M39" s="594"/>
      <c r="N39" s="724"/>
      <c r="O39" s="596"/>
      <c r="AB39" s="828">
        <f t="shared" si="5"/>
        <v>84</v>
      </c>
      <c r="AC39" s="829">
        <f t="shared" si="4"/>
        <v>1</v>
      </c>
    </row>
    <row r="40" spans="2:29" ht="21" customHeight="1" thickBot="1" x14ac:dyDescent="0.3">
      <c r="B40" s="16">
        <f t="shared" si="1"/>
        <v>31</v>
      </c>
      <c r="C40" s="106" t="s">
        <v>66</v>
      </c>
      <c r="D40" s="107" t="s">
        <v>67</v>
      </c>
      <c r="E40" s="599" t="str">
        <f t="shared" si="0"/>
        <v>FrankBjarkø</v>
      </c>
      <c r="F40" s="192">
        <f>YEAR(I$5)-_xlfn.XLOOKUP(E40,Deltakerliste!E$5:E$98,Deltakerliste!I$5:I$98)</f>
        <v>73</v>
      </c>
      <c r="G40" s="192">
        <f>_xlfn.XLOOKUP(E40,Deltakerliste!E$5:E$98,Deltakerliste!H$5:H$98)</f>
        <v>2</v>
      </c>
      <c r="H40" s="592">
        <f>VLOOKUP(F40,Deltakerliste!P$6:T$84,G40,FALSE)</f>
        <v>1.5329999999999999</v>
      </c>
      <c r="I40" s="13"/>
      <c r="J40" s="13"/>
      <c r="K40" s="13"/>
      <c r="L40" s="600"/>
      <c r="M40" s="594"/>
      <c r="N40" s="724"/>
      <c r="O40" s="596"/>
      <c r="AB40" s="828">
        <f t="shared" si="5"/>
        <v>85</v>
      </c>
      <c r="AC40" s="829">
        <f t="shared" si="4"/>
        <v>1</v>
      </c>
    </row>
    <row r="41" spans="2:29" ht="21" thickBot="1" x14ac:dyDescent="0.3">
      <c r="B41" s="16">
        <f t="shared" si="1"/>
        <v>32</v>
      </c>
      <c r="C41" s="106" t="s">
        <v>64</v>
      </c>
      <c r="D41" s="107" t="s">
        <v>267</v>
      </c>
      <c r="E41" s="599" t="str">
        <f t="shared" si="0"/>
        <v>BjørnBrenne</v>
      </c>
      <c r="F41" s="192">
        <f>YEAR(I$5)-_xlfn.XLOOKUP(E41,Deltakerliste!E$5:E$98,Deltakerliste!I$5:I$98)</f>
        <v>80</v>
      </c>
      <c r="G41" s="192">
        <f>_xlfn.XLOOKUP(E41,Deltakerliste!E$5:E$98,Deltakerliste!H$5:H$98)</f>
        <v>2</v>
      </c>
      <c r="H41" s="592">
        <f>VLOOKUP(F41,Deltakerliste!P$6:T$84,G41,FALSE)</f>
        <v>1.8550000000000002</v>
      </c>
      <c r="I41" s="86"/>
      <c r="J41" s="86"/>
      <c r="K41" s="13"/>
      <c r="L41" s="600"/>
      <c r="M41" s="594"/>
      <c r="N41" s="724"/>
      <c r="O41" s="596"/>
      <c r="AB41" s="828">
        <f t="shared" si="5"/>
        <v>86</v>
      </c>
      <c r="AC41" s="829">
        <f t="shared" si="4"/>
        <v>2</v>
      </c>
    </row>
    <row r="42" spans="2:29" ht="21" thickBot="1" x14ac:dyDescent="0.3">
      <c r="B42" s="16">
        <f t="shared" si="1"/>
        <v>33</v>
      </c>
      <c r="C42" s="106" t="s">
        <v>68</v>
      </c>
      <c r="D42" s="107" t="s">
        <v>69</v>
      </c>
      <c r="E42" s="599" t="str">
        <f t="shared" ref="E42:E73" si="6">_xlfn.CONCAT(C42:D42)</f>
        <v>JanBøhle</v>
      </c>
      <c r="F42" s="192">
        <f>YEAR(I$5)-_xlfn.XLOOKUP(E42,Deltakerliste!E$5:E$98,Deltakerliste!I$5:I$98)</f>
        <v>73</v>
      </c>
      <c r="G42" s="192">
        <f>_xlfn.XLOOKUP(E42,Deltakerliste!E$5:E$98,Deltakerliste!H$5:H$98)</f>
        <v>2</v>
      </c>
      <c r="H42" s="592">
        <f>VLOOKUP(F42,Deltakerliste!P$6:T$84,G42,FALSE)</f>
        <v>1.5329999999999999</v>
      </c>
      <c r="I42" s="86"/>
      <c r="J42" s="86"/>
      <c r="K42" s="13"/>
      <c r="L42" s="600"/>
      <c r="M42" s="594"/>
      <c r="N42" s="724"/>
      <c r="O42" s="596"/>
      <c r="AB42" s="828">
        <f t="shared" si="5"/>
        <v>87</v>
      </c>
      <c r="AC42" s="829">
        <f t="shared" si="4"/>
        <v>0</v>
      </c>
    </row>
    <row r="43" spans="2:29" ht="21" customHeight="1" thickBot="1" x14ac:dyDescent="0.3">
      <c r="B43" s="16">
        <f t="shared" si="1"/>
        <v>34</v>
      </c>
      <c r="C43" s="106" t="s">
        <v>70</v>
      </c>
      <c r="D43" s="107" t="s">
        <v>71</v>
      </c>
      <c r="E43" s="599" t="str">
        <f t="shared" si="6"/>
        <v>TrondDamås</v>
      </c>
      <c r="F43" s="192">
        <f>YEAR(I$5)-_xlfn.XLOOKUP(E43,Deltakerliste!E$5:E$98,Deltakerliste!I$5:I$98)</f>
        <v>75</v>
      </c>
      <c r="G43" s="192">
        <f>_xlfn.XLOOKUP(E43,Deltakerliste!E$5:E$98,Deltakerliste!H$5:H$98)</f>
        <v>2</v>
      </c>
      <c r="H43" s="592">
        <f>VLOOKUP(F43,Deltakerliste!P$6:T$84,G43,FALSE)</f>
        <v>1.605</v>
      </c>
      <c r="I43" s="13"/>
      <c r="J43" s="13"/>
      <c r="K43" s="13"/>
      <c r="L43" s="600"/>
      <c r="M43" s="594"/>
      <c r="N43" s="724"/>
      <c r="O43" s="596"/>
      <c r="AB43" s="828">
        <f t="shared" si="5"/>
        <v>88</v>
      </c>
      <c r="AC43" s="829">
        <f t="shared" si="4"/>
        <v>0</v>
      </c>
    </row>
    <row r="44" spans="2:29" ht="21" thickBot="1" x14ac:dyDescent="0.3">
      <c r="B44" s="16">
        <f t="shared" si="1"/>
        <v>35</v>
      </c>
      <c r="C44" s="106" t="s">
        <v>74</v>
      </c>
      <c r="D44" s="107" t="s">
        <v>75</v>
      </c>
      <c r="E44" s="599" t="str">
        <f t="shared" si="6"/>
        <v>StinaElfving</v>
      </c>
      <c r="F44" s="192">
        <f>YEAR(I$5)-_xlfn.XLOOKUP(E44,Deltakerliste!E$5:E$98,Deltakerliste!I$5:I$98)</f>
        <v>75</v>
      </c>
      <c r="G44" s="192">
        <f>_xlfn.XLOOKUP(E44,Deltakerliste!E$5:E$98,Deltakerliste!H$5:H$98)</f>
        <v>4</v>
      </c>
      <c r="H44" s="592">
        <f>VLOOKUP(F44,Deltakerliste!P$6:T$84,G44,FALSE)</f>
        <v>2.1670000000000016</v>
      </c>
      <c r="I44" s="13"/>
      <c r="J44" s="13"/>
      <c r="K44" s="17"/>
      <c r="L44" s="600"/>
      <c r="M44" s="594"/>
      <c r="N44" s="724"/>
      <c r="O44" s="596"/>
      <c r="AB44" s="828">
        <f t="shared" si="5"/>
        <v>89</v>
      </c>
      <c r="AC44" s="829">
        <f t="shared" si="4"/>
        <v>0</v>
      </c>
    </row>
    <row r="45" spans="2:29" ht="21" customHeight="1" thickBot="1" x14ac:dyDescent="0.3">
      <c r="B45" s="16">
        <f t="shared" si="1"/>
        <v>36</v>
      </c>
      <c r="C45" s="106" t="s">
        <v>76</v>
      </c>
      <c r="D45" s="107" t="s">
        <v>77</v>
      </c>
      <c r="E45" s="599" t="str">
        <f t="shared" si="6"/>
        <v>ReinoldEllingsen</v>
      </c>
      <c r="F45" s="192">
        <f>YEAR(I$5)-_xlfn.XLOOKUP(E45,Deltakerliste!E$5:E$98,Deltakerliste!I$5:I$98)</f>
        <v>74</v>
      </c>
      <c r="G45" s="192">
        <f>_xlfn.XLOOKUP(E45,Deltakerliste!E$5:E$98,Deltakerliste!H$5:H$98)</f>
        <v>2</v>
      </c>
      <c r="H45" s="592">
        <f>VLOOKUP(F45,Deltakerliste!P$6:T$84,G45,FALSE)</f>
        <v>1.569</v>
      </c>
      <c r="I45" s="13"/>
      <c r="J45" s="13"/>
      <c r="K45" s="13"/>
      <c r="L45" s="600"/>
      <c r="M45" s="594"/>
      <c r="N45" s="724"/>
      <c r="O45" s="596"/>
      <c r="AB45" s="828">
        <f t="shared" si="5"/>
        <v>90</v>
      </c>
      <c r="AC45" s="829">
        <f t="shared" si="4"/>
        <v>0</v>
      </c>
    </row>
    <row r="46" spans="2:29" ht="21" thickBot="1" x14ac:dyDescent="0.3">
      <c r="B46" s="16">
        <f t="shared" si="1"/>
        <v>37</v>
      </c>
      <c r="C46" s="106" t="s">
        <v>216</v>
      </c>
      <c r="D46" s="107" t="s">
        <v>77</v>
      </c>
      <c r="E46" s="599" t="str">
        <f t="shared" si="6"/>
        <v>Åse RitaEllingsen</v>
      </c>
      <c r="F46" s="192">
        <f>YEAR(I$5)-_xlfn.XLOOKUP(E46,Deltakerliste!E$5:E$98,Deltakerliste!I$5:I$98)</f>
        <v>61</v>
      </c>
      <c r="G46" s="192">
        <f>_xlfn.XLOOKUP(E46,Deltakerliste!E$5:E$98,Deltakerliste!H$5:H$98)</f>
        <v>4</v>
      </c>
      <c r="H46" s="592">
        <f>VLOOKUP(F46,Deltakerliste!P$6:T$84,G46,FALSE)</f>
        <v>1.6542000000000003</v>
      </c>
      <c r="I46" s="593"/>
      <c r="J46" s="14"/>
      <c r="K46" s="13"/>
      <c r="L46" s="600"/>
      <c r="M46" s="594"/>
      <c r="N46" s="724"/>
      <c r="O46" s="596"/>
      <c r="AB46" s="828">
        <f t="shared" si="5"/>
        <v>91</v>
      </c>
      <c r="AC46" s="829">
        <f t="shared" si="4"/>
        <v>0</v>
      </c>
    </row>
    <row r="47" spans="2:29" ht="21" thickBot="1" x14ac:dyDescent="0.3">
      <c r="B47" s="16">
        <f t="shared" si="1"/>
        <v>38</v>
      </c>
      <c r="C47" s="106" t="s">
        <v>80</v>
      </c>
      <c r="D47" s="107" t="s">
        <v>81</v>
      </c>
      <c r="E47" s="599" t="str">
        <f t="shared" si="6"/>
        <v>HalvorFlatberg</v>
      </c>
      <c r="F47" s="192">
        <f>YEAR(I$5)-_xlfn.XLOOKUP(E47,Deltakerliste!E$5:E$98,Deltakerliste!I$5:I$98)</f>
        <v>79</v>
      </c>
      <c r="G47" s="192">
        <f>_xlfn.XLOOKUP(E47,Deltakerliste!E$5:E$98,Deltakerliste!H$5:H$98)</f>
        <v>2</v>
      </c>
      <c r="H47" s="592">
        <f>VLOOKUP(F47,Deltakerliste!P$6:T$84,G47,FALSE)</f>
        <v>1.8050000000000002</v>
      </c>
      <c r="I47" s="86"/>
      <c r="J47" s="86"/>
      <c r="K47" s="13"/>
      <c r="L47" s="600"/>
      <c r="M47" s="594"/>
      <c r="N47" s="724"/>
      <c r="O47" s="596"/>
      <c r="AB47" s="828">
        <f t="shared" si="5"/>
        <v>92</v>
      </c>
      <c r="AC47" s="829">
        <f t="shared" si="4"/>
        <v>0</v>
      </c>
    </row>
    <row r="48" spans="2:29" ht="21" customHeight="1" thickBot="1" x14ac:dyDescent="0.3">
      <c r="B48" s="16">
        <f t="shared" si="1"/>
        <v>39</v>
      </c>
      <c r="C48" s="106" t="s">
        <v>271</v>
      </c>
      <c r="D48" s="107" t="s">
        <v>272</v>
      </c>
      <c r="E48" s="599" t="str">
        <f t="shared" si="6"/>
        <v>Arne KjellFoldvik</v>
      </c>
      <c r="F48" s="192">
        <f>YEAR(I$5)-_xlfn.XLOOKUP(E48,Deltakerliste!E$5:E$98,Deltakerliste!I$5:I$98)</f>
        <v>91</v>
      </c>
      <c r="G48" s="192">
        <f>_xlfn.XLOOKUP(E48,Deltakerliste!E$5:E$98,Deltakerliste!H$5:H$98)</f>
        <v>2</v>
      </c>
      <c r="H48" s="592">
        <f>VLOOKUP(F48,Deltakerliste!P$6:T$84,G48,FALSE)</f>
        <v>2.7290000000000001</v>
      </c>
      <c r="I48" s="14"/>
      <c r="J48" s="14"/>
      <c r="K48" s="13"/>
      <c r="L48" s="600"/>
      <c r="M48" s="594"/>
      <c r="N48" s="724"/>
      <c r="O48" s="596"/>
      <c r="AB48" s="828">
        <f t="shared" si="5"/>
        <v>93</v>
      </c>
      <c r="AC48" s="829">
        <f t="shared" si="4"/>
        <v>0</v>
      </c>
    </row>
    <row r="49" spans="2:29" ht="21" customHeight="1" thickBot="1" x14ac:dyDescent="0.3">
      <c r="B49" s="16">
        <f t="shared" si="1"/>
        <v>40</v>
      </c>
      <c r="C49" s="106" t="s">
        <v>84</v>
      </c>
      <c r="D49" s="107" t="s">
        <v>85</v>
      </c>
      <c r="E49" s="599" t="str">
        <f t="shared" si="6"/>
        <v>PaulForseth</v>
      </c>
      <c r="F49" s="192">
        <f>YEAR(I$5)-_xlfn.XLOOKUP(E49,Deltakerliste!E$5:E$98,Deltakerliste!I$5:I$98)</f>
        <v>93</v>
      </c>
      <c r="G49" s="192">
        <f>_xlfn.XLOOKUP(E49,Deltakerliste!E$5:E$98,Deltakerliste!H$5:H$98)</f>
        <v>2</v>
      </c>
      <c r="H49" s="592">
        <f>VLOOKUP(F49,Deltakerliste!P$6:T$84,G49,FALSE)</f>
        <v>2.8970000000000002</v>
      </c>
      <c r="I49" s="86"/>
      <c r="J49" s="86"/>
      <c r="K49" s="17"/>
      <c r="L49" s="600"/>
      <c r="M49" s="594"/>
      <c r="N49" s="724"/>
      <c r="O49" s="596"/>
      <c r="AB49" s="828">
        <f t="shared" si="5"/>
        <v>94</v>
      </c>
      <c r="AC49" s="829">
        <f t="shared" si="4"/>
        <v>0</v>
      </c>
    </row>
    <row r="50" spans="2:29" ht="21" customHeight="1" thickBot="1" x14ac:dyDescent="0.3">
      <c r="B50" s="16">
        <f t="shared" si="1"/>
        <v>41</v>
      </c>
      <c r="C50" s="106" t="s">
        <v>86</v>
      </c>
      <c r="D50" s="107" t="s">
        <v>87</v>
      </c>
      <c r="E50" s="599" t="str">
        <f t="shared" si="6"/>
        <v>KristianFougner</v>
      </c>
      <c r="F50" s="192">
        <f>YEAR(I$5)-_xlfn.XLOOKUP(E50,Deltakerliste!E$5:E$98,Deltakerliste!I$5:I$98)</f>
        <v>75</v>
      </c>
      <c r="G50" s="192">
        <f>_xlfn.XLOOKUP(E50,Deltakerliste!E$5:E$98,Deltakerliste!H$5:H$98)</f>
        <v>2</v>
      </c>
      <c r="H50" s="592">
        <f>VLOOKUP(F50,Deltakerliste!P$6:T$84,G50,FALSE)</f>
        <v>1.605</v>
      </c>
      <c r="I50" s="86"/>
      <c r="J50" s="86"/>
      <c r="K50" s="13"/>
      <c r="L50" s="600"/>
      <c r="M50" s="594"/>
      <c r="N50" s="724"/>
      <c r="O50" s="596"/>
      <c r="AB50" s="830">
        <f t="shared" si="5"/>
        <v>95</v>
      </c>
      <c r="AC50" s="831">
        <f t="shared" si="4"/>
        <v>0</v>
      </c>
    </row>
    <row r="51" spans="2:29" ht="21" thickBot="1" x14ac:dyDescent="0.3">
      <c r="B51" s="16">
        <f t="shared" si="1"/>
        <v>42</v>
      </c>
      <c r="C51" s="106" t="s">
        <v>207</v>
      </c>
      <c r="D51" s="107" t="s">
        <v>89</v>
      </c>
      <c r="E51" s="599" t="str">
        <f t="shared" si="6"/>
        <v>AnneFuruholt</v>
      </c>
      <c r="F51" s="192">
        <f>YEAR(I$5)-_xlfn.XLOOKUP(E51,Deltakerliste!E$5:E$98,Deltakerliste!I$5:I$98)</f>
        <v>78</v>
      </c>
      <c r="G51" s="192">
        <f>_xlfn.XLOOKUP(E51,Deltakerliste!E$5:E$98,Deltakerliste!H$5:H$98)</f>
        <v>4</v>
      </c>
      <c r="H51" s="592">
        <f>VLOOKUP(F51,Deltakerliste!P$6:T$84,G51,FALSE)</f>
        <v>2.3398000000000012</v>
      </c>
      <c r="I51" s="18"/>
      <c r="J51" s="132"/>
      <c r="K51" s="133"/>
      <c r="L51" s="600"/>
      <c r="M51" s="594"/>
      <c r="N51" s="724"/>
      <c r="O51" s="596"/>
    </row>
    <row r="52" spans="2:29" ht="21" customHeight="1" thickBot="1" x14ac:dyDescent="0.3">
      <c r="B52" s="16">
        <f t="shared" si="1"/>
        <v>43</v>
      </c>
      <c r="C52" s="106" t="s">
        <v>90</v>
      </c>
      <c r="D52" s="107" t="s">
        <v>91</v>
      </c>
      <c r="E52" s="599" t="str">
        <f t="shared" si="6"/>
        <v>TorGjermstad</v>
      </c>
      <c r="F52" s="192">
        <f>YEAR(I$5)-_xlfn.XLOOKUP(E52,Deltakerliste!E$5:E$98,Deltakerliste!I$5:I$98)</f>
        <v>75</v>
      </c>
      <c r="G52" s="192">
        <f>_xlfn.XLOOKUP(E52,Deltakerliste!E$5:E$98,Deltakerliste!H$5:H$98)</f>
        <v>2</v>
      </c>
      <c r="H52" s="592">
        <f>VLOOKUP(F52,Deltakerliste!P$6:T$84,G52,FALSE)</f>
        <v>1.605</v>
      </c>
      <c r="I52" s="86"/>
      <c r="J52" s="86"/>
      <c r="K52" s="13"/>
      <c r="L52" s="600"/>
      <c r="M52" s="594"/>
      <c r="N52" s="724"/>
      <c r="O52" s="596"/>
    </row>
    <row r="53" spans="2:29" ht="21" thickBot="1" x14ac:dyDescent="0.3">
      <c r="B53" s="16">
        <f t="shared" si="1"/>
        <v>44</v>
      </c>
      <c r="C53" s="106" t="s">
        <v>92</v>
      </c>
      <c r="D53" s="107" t="s">
        <v>93</v>
      </c>
      <c r="E53" s="599" t="str">
        <f t="shared" si="6"/>
        <v>Jens ØysteinGjersvold</v>
      </c>
      <c r="F53" s="192">
        <f>YEAR(I$5)-_xlfn.XLOOKUP(E53,Deltakerliste!E$5:E$98,Deltakerliste!I$5:I$98)</f>
        <v>73</v>
      </c>
      <c r="G53" s="192">
        <f>_xlfn.XLOOKUP(E53,Deltakerliste!E$5:E$98,Deltakerliste!H$5:H$98)</f>
        <v>2</v>
      </c>
      <c r="H53" s="592">
        <f>VLOOKUP(F53,Deltakerliste!P$6:T$84,G53,FALSE)</f>
        <v>1.5329999999999999</v>
      </c>
      <c r="I53" s="14"/>
      <c r="J53" s="14"/>
      <c r="K53" s="18"/>
      <c r="L53" s="600"/>
      <c r="M53" s="594"/>
      <c r="N53" s="724"/>
      <c r="O53" s="596"/>
    </row>
    <row r="54" spans="2:29" ht="21" thickBot="1" x14ac:dyDescent="0.3">
      <c r="B54" s="16">
        <f t="shared" si="1"/>
        <v>45</v>
      </c>
      <c r="C54" s="106" t="s">
        <v>63</v>
      </c>
      <c r="D54" s="107" t="s">
        <v>98</v>
      </c>
      <c r="E54" s="599" t="str">
        <f t="shared" si="6"/>
        <v>ToreHeggem</v>
      </c>
      <c r="F54" s="192">
        <f>YEAR(I$5)-_xlfn.XLOOKUP(E54,Deltakerliste!E$5:E$98,Deltakerliste!I$5:I$98)</f>
        <v>72</v>
      </c>
      <c r="G54" s="192">
        <f>_xlfn.XLOOKUP(E54,Deltakerliste!E$5:E$98,Deltakerliste!H$5:H$98)</f>
        <v>2</v>
      </c>
      <c r="H54" s="592">
        <f>VLOOKUP(F54,Deltakerliste!P$6:T$84,G54,FALSE)</f>
        <v>1.4969999999999999</v>
      </c>
      <c r="I54" s="86"/>
      <c r="J54" s="86"/>
      <c r="K54" s="13"/>
      <c r="L54" s="600"/>
      <c r="M54" s="594"/>
      <c r="N54" s="724"/>
      <c r="O54" s="596"/>
    </row>
    <row r="55" spans="2:29" ht="21" thickBot="1" x14ac:dyDescent="0.3">
      <c r="B55" s="16">
        <f t="shared" si="1"/>
        <v>46</v>
      </c>
      <c r="C55" s="106" t="s">
        <v>99</v>
      </c>
      <c r="D55" s="107" t="s">
        <v>100</v>
      </c>
      <c r="E55" s="599" t="str">
        <f t="shared" si="6"/>
        <v>RobertHirsch</v>
      </c>
      <c r="F55" s="192">
        <f>YEAR(I$5)-_xlfn.XLOOKUP(E55,Deltakerliste!E$5:E$98,Deltakerliste!I$5:I$98)</f>
        <v>68</v>
      </c>
      <c r="G55" s="192">
        <f>_xlfn.XLOOKUP(E55,Deltakerliste!E$5:E$98,Deltakerliste!H$5:H$98)</f>
        <v>2</v>
      </c>
      <c r="H55" s="592">
        <f>VLOOKUP(F55,Deltakerliste!P$6:T$84,G55,FALSE)</f>
        <v>1.3729999999999998</v>
      </c>
      <c r="I55" s="86"/>
      <c r="J55" s="86"/>
      <c r="K55" s="17"/>
      <c r="L55" s="600"/>
      <c r="M55" s="594"/>
      <c r="N55" s="724"/>
      <c r="O55" s="596"/>
    </row>
    <row r="56" spans="2:29" ht="21" customHeight="1" thickBot="1" x14ac:dyDescent="0.3">
      <c r="B56" s="16">
        <f t="shared" si="1"/>
        <v>47</v>
      </c>
      <c r="C56" s="106" t="s">
        <v>263</v>
      </c>
      <c r="D56" s="107" t="s">
        <v>264</v>
      </c>
      <c r="E56" s="599" t="str">
        <f t="shared" si="6"/>
        <v>RuneHolt</v>
      </c>
      <c r="F56" s="192">
        <f>YEAR(I$5)-_xlfn.XLOOKUP(E56,Deltakerliste!E$5:E$98,Deltakerliste!I$5:I$98)</f>
        <v>72</v>
      </c>
      <c r="G56" s="192">
        <f>_xlfn.XLOOKUP(E56,Deltakerliste!E$5:E$98,Deltakerliste!H$5:H$98)</f>
        <v>2</v>
      </c>
      <c r="H56" s="592">
        <f>VLOOKUP(F56,Deltakerliste!P$6:T$84,G56,FALSE)</f>
        <v>1.4969999999999999</v>
      </c>
      <c r="I56" s="86"/>
      <c r="J56" s="86"/>
      <c r="K56" s="13"/>
      <c r="L56" s="600"/>
      <c r="M56" s="594"/>
      <c r="N56" s="724"/>
      <c r="O56" s="596"/>
    </row>
    <row r="57" spans="2:29" ht="21" thickBot="1" x14ac:dyDescent="0.3">
      <c r="B57" s="16">
        <f t="shared" si="1"/>
        <v>48</v>
      </c>
      <c r="C57" s="106" t="s">
        <v>103</v>
      </c>
      <c r="D57" s="107" t="s">
        <v>104</v>
      </c>
      <c r="E57" s="599" t="str">
        <f t="shared" si="6"/>
        <v>SveinHove</v>
      </c>
      <c r="F57" s="192">
        <f>YEAR(I$5)-_xlfn.XLOOKUP(E57,Deltakerliste!E$5:E$98,Deltakerliste!I$5:I$98)</f>
        <v>78</v>
      </c>
      <c r="G57" s="192">
        <f>_xlfn.XLOOKUP(E57,Deltakerliste!E$5:E$98,Deltakerliste!H$5:H$98)</f>
        <v>2</v>
      </c>
      <c r="H57" s="592">
        <f>VLOOKUP(F57,Deltakerliste!P$6:T$84,G57,FALSE)</f>
        <v>1.7550000000000001</v>
      </c>
      <c r="I57" s="86"/>
      <c r="J57" s="86"/>
      <c r="K57" s="17"/>
      <c r="L57" s="600"/>
      <c r="M57" s="594"/>
      <c r="N57" s="724"/>
      <c r="O57" s="596"/>
    </row>
    <row r="58" spans="2:29" ht="21" thickBot="1" x14ac:dyDescent="0.3">
      <c r="B58" s="16">
        <f t="shared" si="1"/>
        <v>49</v>
      </c>
      <c r="C58" s="106" t="s">
        <v>63</v>
      </c>
      <c r="D58" s="107" t="s">
        <v>105</v>
      </c>
      <c r="E58" s="599" t="str">
        <f t="shared" si="6"/>
        <v>ToreKiste</v>
      </c>
      <c r="F58" s="192">
        <f>YEAR(I$5)-_xlfn.XLOOKUP(E58,Deltakerliste!E$5:E$98,Deltakerliste!I$5:I$98)</f>
        <v>80</v>
      </c>
      <c r="G58" s="192">
        <f>_xlfn.XLOOKUP(E58,Deltakerliste!E$5:E$98,Deltakerliste!H$5:H$98)</f>
        <v>2</v>
      </c>
      <c r="H58" s="592">
        <f>VLOOKUP(F58,Deltakerliste!P$6:T$84,G58,FALSE)</f>
        <v>1.8550000000000002</v>
      </c>
      <c r="I58" s="18"/>
      <c r="J58" s="18"/>
      <c r="K58" s="133"/>
      <c r="L58" s="600"/>
      <c r="M58" s="594"/>
      <c r="N58" s="724"/>
      <c r="O58" s="596"/>
    </row>
    <row r="59" spans="2:29" ht="20" customHeight="1" thickBot="1" x14ac:dyDescent="0.3">
      <c r="B59" s="16">
        <f t="shared" si="1"/>
        <v>50</v>
      </c>
      <c r="C59" s="106" t="s">
        <v>106</v>
      </c>
      <c r="D59" s="107" t="s">
        <v>107</v>
      </c>
      <c r="E59" s="599" t="str">
        <f t="shared" si="6"/>
        <v>Jon ArneKlemetsaune</v>
      </c>
      <c r="F59" s="192">
        <f>YEAR(I$5)-_xlfn.XLOOKUP(E59,Deltakerliste!E$5:E$98,Deltakerliste!I$5:I$98)</f>
        <v>76</v>
      </c>
      <c r="G59" s="192">
        <f>_xlfn.XLOOKUP(E59,Deltakerliste!E$5:E$98,Deltakerliste!H$5:H$98)</f>
        <v>2</v>
      </c>
      <c r="H59" s="592">
        <f>VLOOKUP(F59,Deltakerliste!P$6:T$84,G59,FALSE)</f>
        <v>1.655</v>
      </c>
      <c r="I59" s="86"/>
      <c r="J59" s="86"/>
      <c r="K59" s="13"/>
      <c r="L59" s="600"/>
      <c r="M59" s="594"/>
      <c r="N59" s="724"/>
      <c r="O59" s="596"/>
    </row>
    <row r="60" spans="2:29" ht="21" thickBot="1" x14ac:dyDescent="0.3">
      <c r="B60" s="16">
        <f t="shared" si="1"/>
        <v>51</v>
      </c>
      <c r="C60" s="106" t="s">
        <v>108</v>
      </c>
      <c r="D60" s="107" t="s">
        <v>109</v>
      </c>
      <c r="E60" s="599" t="str">
        <f t="shared" si="6"/>
        <v>Finn FayeKnudsen</v>
      </c>
      <c r="F60" s="192">
        <f>YEAR(I$5)-_xlfn.XLOOKUP(E60,Deltakerliste!E$5:E$98,Deltakerliste!I$5:I$98)</f>
        <v>83</v>
      </c>
      <c r="G60" s="192">
        <f>_xlfn.XLOOKUP(E60,Deltakerliste!E$5:E$98,Deltakerliste!H$5:H$98)</f>
        <v>2</v>
      </c>
      <c r="H60" s="592">
        <f>VLOOKUP(F60,Deltakerliste!P$6:T$84,G60,FALSE)</f>
        <v>2.077</v>
      </c>
      <c r="I60" s="86"/>
      <c r="J60" s="86"/>
      <c r="K60" s="17"/>
      <c r="L60" s="600"/>
      <c r="M60" s="594"/>
      <c r="N60" s="724"/>
      <c r="O60" s="596"/>
    </row>
    <row r="61" spans="2:29" ht="21" customHeight="1" thickBot="1" x14ac:dyDescent="0.3">
      <c r="B61" s="16">
        <f t="shared" si="1"/>
        <v>52</v>
      </c>
      <c r="C61" s="106" t="s">
        <v>110</v>
      </c>
      <c r="D61" s="107" t="s">
        <v>111</v>
      </c>
      <c r="E61" s="599" t="str">
        <f t="shared" si="6"/>
        <v>Jan ErikKofoed</v>
      </c>
      <c r="F61" s="192">
        <f>YEAR(I$5)-_xlfn.XLOOKUP(E61,Deltakerliste!E$5:E$98,Deltakerliste!I$5:I$98)</f>
        <v>71</v>
      </c>
      <c r="G61" s="192">
        <f>_xlfn.XLOOKUP(E61,Deltakerliste!E$5:E$98,Deltakerliste!H$5:H$98)</f>
        <v>2</v>
      </c>
      <c r="H61" s="592">
        <f>VLOOKUP(F61,Deltakerliste!P$6:T$84,G61,FALSE)</f>
        <v>1.4609999999999999</v>
      </c>
      <c r="I61" s="86"/>
      <c r="J61" s="86"/>
      <c r="K61" s="13"/>
      <c r="L61" s="600"/>
      <c r="M61" s="594"/>
      <c r="N61" s="724"/>
      <c r="O61" s="596"/>
    </row>
    <row r="62" spans="2:29" ht="21" customHeight="1" thickBot="1" x14ac:dyDescent="0.3">
      <c r="B62" s="16">
        <f t="shared" si="1"/>
        <v>53</v>
      </c>
      <c r="C62" s="106" t="s">
        <v>299</v>
      </c>
      <c r="D62" s="107" t="s">
        <v>300</v>
      </c>
      <c r="E62" s="599" t="str">
        <f t="shared" si="6"/>
        <v>OlavKvittem</v>
      </c>
      <c r="F62" s="192">
        <f>YEAR(I$5)-_xlfn.XLOOKUP(E62,Deltakerliste!E$5:E$98,Deltakerliste!I$5:I$98)</f>
        <v>70</v>
      </c>
      <c r="G62" s="192">
        <f>_xlfn.XLOOKUP(E62,Deltakerliste!E$5:E$98,Deltakerliste!H$5:H$98)</f>
        <v>2</v>
      </c>
      <c r="H62" s="592">
        <f>VLOOKUP(F62,Deltakerliste!P$6:T$84,G62,FALSE)</f>
        <v>1.4249999999999998</v>
      </c>
      <c r="I62" s="86"/>
      <c r="J62" s="86"/>
      <c r="K62" s="13"/>
      <c r="L62" s="600"/>
      <c r="M62" s="594"/>
      <c r="N62" s="724"/>
      <c r="O62" s="596"/>
    </row>
    <row r="63" spans="2:29" ht="21" customHeight="1" thickBot="1" x14ac:dyDescent="0.3">
      <c r="B63" s="16">
        <f t="shared" si="1"/>
        <v>54</v>
      </c>
      <c r="C63" s="106" t="s">
        <v>112</v>
      </c>
      <c r="D63" s="107" t="s">
        <v>113</v>
      </c>
      <c r="E63" s="599" t="str">
        <f t="shared" si="6"/>
        <v>ToridKvaal</v>
      </c>
      <c r="F63" s="192">
        <f>YEAR(I$5)-_xlfn.XLOOKUP(E63,Deltakerliste!E$5:E$98,Deltakerliste!I$5:I$98)</f>
        <v>83</v>
      </c>
      <c r="G63" s="192">
        <f>_xlfn.XLOOKUP(E63,Deltakerliste!E$5:E$98,Deltakerliste!H$5:H$98)</f>
        <v>4</v>
      </c>
      <c r="H63" s="592">
        <f>VLOOKUP(F63,Deltakerliste!P$6:T$84,G63,FALSE)</f>
        <v>2.6998000000000006</v>
      </c>
      <c r="I63" s="86"/>
      <c r="J63" s="86"/>
      <c r="K63" s="17"/>
      <c r="L63" s="600"/>
      <c r="M63" s="594"/>
      <c r="N63" s="724"/>
      <c r="O63" s="596"/>
    </row>
    <row r="64" spans="2:29" ht="21" thickBot="1" x14ac:dyDescent="0.3">
      <c r="B64" s="16">
        <f t="shared" si="1"/>
        <v>55</v>
      </c>
      <c r="C64" s="106" t="s">
        <v>254</v>
      </c>
      <c r="D64" s="107" t="s">
        <v>255</v>
      </c>
      <c r="E64" s="599" t="str">
        <f t="shared" si="6"/>
        <v>ArnfinnLangeland</v>
      </c>
      <c r="F64" s="192">
        <f>YEAR(I$5)-_xlfn.XLOOKUP(E64,Deltakerliste!E$5:E$98,Deltakerliste!I$5:I$98)</f>
        <v>89</v>
      </c>
      <c r="G64" s="192">
        <f>_xlfn.XLOOKUP(E64,Deltakerliste!E$5:E$98,Deltakerliste!H$5:H$98)</f>
        <v>2</v>
      </c>
      <c r="H64" s="592">
        <f>VLOOKUP(F64,Deltakerliste!P$6:T$84,G64,FALSE)</f>
        <v>2.5609999999999999</v>
      </c>
      <c r="I64" s="86"/>
      <c r="J64" s="86"/>
      <c r="K64" s="13"/>
      <c r="L64" s="600"/>
      <c r="M64" s="594"/>
      <c r="N64" s="724"/>
      <c r="O64" s="596"/>
    </row>
    <row r="65" spans="2:17" ht="21" thickBot="1" x14ac:dyDescent="0.3">
      <c r="B65" s="16">
        <f t="shared" si="1"/>
        <v>56</v>
      </c>
      <c r="C65" s="106" t="s">
        <v>120</v>
      </c>
      <c r="D65" s="107" t="s">
        <v>121</v>
      </c>
      <c r="E65" s="599" t="str">
        <f t="shared" si="6"/>
        <v>KlausLivik</v>
      </c>
      <c r="F65" s="192">
        <f>YEAR(I$5)-_xlfn.XLOOKUP(E65,Deltakerliste!E$5:E$98,Deltakerliste!I$5:I$98)</f>
        <v>71</v>
      </c>
      <c r="G65" s="192">
        <f>_xlfn.XLOOKUP(E65,Deltakerliste!E$5:E$98,Deltakerliste!H$5:H$98)</f>
        <v>2</v>
      </c>
      <c r="H65" s="592">
        <f>VLOOKUP(F65,Deltakerliste!P$6:T$84,G65,FALSE)</f>
        <v>1.4609999999999999</v>
      </c>
      <c r="I65" s="13"/>
      <c r="J65" s="13"/>
      <c r="K65" s="17"/>
      <c r="L65" s="600"/>
      <c r="M65" s="594"/>
      <c r="N65" s="724"/>
      <c r="O65" s="596"/>
    </row>
    <row r="66" spans="2:17" ht="21" thickBot="1" x14ac:dyDescent="0.3">
      <c r="B66" s="16">
        <f t="shared" si="1"/>
        <v>57</v>
      </c>
      <c r="C66" s="106" t="s">
        <v>248</v>
      </c>
      <c r="D66" s="107" t="s">
        <v>249</v>
      </c>
      <c r="E66" s="599" t="str">
        <f t="shared" si="6"/>
        <v>ErikLund</v>
      </c>
      <c r="F66" s="192">
        <f>YEAR(I$5)-_xlfn.XLOOKUP(E66,Deltakerliste!E$5:E$98,Deltakerliste!I$5:I$98)</f>
        <v>78</v>
      </c>
      <c r="G66" s="192">
        <f>_xlfn.XLOOKUP(E66,Deltakerliste!E$5:E$98,Deltakerliste!H$5:H$98)</f>
        <v>2</v>
      </c>
      <c r="H66" s="592">
        <f>VLOOKUP(F66,Deltakerliste!P$6:T$84,G66,FALSE)</f>
        <v>1.7550000000000001</v>
      </c>
      <c r="I66" s="13"/>
      <c r="J66" s="13"/>
      <c r="K66" s="17"/>
      <c r="L66" s="600"/>
      <c r="M66" s="594"/>
      <c r="N66" s="724"/>
      <c r="O66" s="596"/>
    </row>
    <row r="67" spans="2:17" ht="21" thickBot="1" x14ac:dyDescent="0.3">
      <c r="B67" s="16">
        <f t="shared" si="1"/>
        <v>58</v>
      </c>
      <c r="C67" s="106" t="s">
        <v>128</v>
      </c>
      <c r="D67" s="107" t="s">
        <v>129</v>
      </c>
      <c r="E67" s="599" t="str">
        <f t="shared" si="6"/>
        <v>OddMusum</v>
      </c>
      <c r="F67" s="192">
        <f>YEAR(I$5)-_xlfn.XLOOKUP(E67,Deltakerliste!E$5:E$98,Deltakerliste!I$5:I$98)</f>
        <v>83</v>
      </c>
      <c r="G67" s="192">
        <f>_xlfn.XLOOKUP(E67,Deltakerliste!E$5:E$98,Deltakerliste!H$5:H$98)</f>
        <v>2</v>
      </c>
      <c r="H67" s="592">
        <f>VLOOKUP(F67,Deltakerliste!P$6:T$84,G67,FALSE)</f>
        <v>2.077</v>
      </c>
      <c r="I67" s="13"/>
      <c r="J67" s="13"/>
      <c r="K67" s="13"/>
      <c r="L67" s="600"/>
      <c r="M67" s="594"/>
      <c r="N67" s="724"/>
      <c r="O67" s="596"/>
    </row>
    <row r="68" spans="2:17" ht="21" thickBot="1" x14ac:dyDescent="0.3">
      <c r="B68" s="16">
        <f t="shared" si="1"/>
        <v>59</v>
      </c>
      <c r="C68" s="106" t="s">
        <v>132</v>
      </c>
      <c r="D68" s="107" t="s">
        <v>133</v>
      </c>
      <c r="E68" s="599" t="str">
        <f t="shared" si="6"/>
        <v>JarleNestvold</v>
      </c>
      <c r="F68" s="192">
        <f>YEAR(I$5)-_xlfn.XLOOKUP(E68,Deltakerliste!E$5:E$98,Deltakerliste!I$5:I$98)</f>
        <v>88</v>
      </c>
      <c r="G68" s="192">
        <f>_xlfn.XLOOKUP(E68,Deltakerliste!E$5:E$98,Deltakerliste!H$5:H$98)</f>
        <v>2</v>
      </c>
      <c r="H68" s="592">
        <f>VLOOKUP(F68,Deltakerliste!P$6:T$84,G68,FALSE)</f>
        <v>2.4769999999999999</v>
      </c>
      <c r="I68" s="18"/>
      <c r="J68" s="18"/>
      <c r="K68" s="133"/>
      <c r="L68" s="600"/>
      <c r="M68" s="594"/>
      <c r="N68" s="724"/>
      <c r="O68" s="596"/>
    </row>
    <row r="69" spans="2:17" ht="21" thickBot="1" x14ac:dyDescent="0.3">
      <c r="B69" s="16">
        <f t="shared" si="1"/>
        <v>60</v>
      </c>
      <c r="C69" s="106" t="s">
        <v>72</v>
      </c>
      <c r="D69" s="107" t="s">
        <v>139</v>
      </c>
      <c r="E69" s="599" t="str">
        <f t="shared" si="6"/>
        <v>KåreOnsøyen</v>
      </c>
      <c r="F69" s="192">
        <f>YEAR(I$5)-_xlfn.XLOOKUP(E69,Deltakerliste!E$5:E$98,Deltakerliste!I$5:I$98)</f>
        <v>77</v>
      </c>
      <c r="G69" s="192">
        <f>_xlfn.XLOOKUP(E69,Deltakerliste!E$5:E$98,Deltakerliste!H$5:H$98)</f>
        <v>2</v>
      </c>
      <c r="H69" s="592">
        <f>VLOOKUP(F69,Deltakerliste!P$6:T$84,G69,FALSE)</f>
        <v>1.7050000000000001</v>
      </c>
      <c r="I69" s="13"/>
      <c r="J69" s="13"/>
      <c r="K69" s="13"/>
      <c r="L69" s="600"/>
      <c r="M69" s="594"/>
      <c r="N69" s="724"/>
      <c r="O69" s="596"/>
    </row>
    <row r="70" spans="2:17" ht="21" thickBot="1" x14ac:dyDescent="0.3">
      <c r="B70" s="16">
        <f t="shared" si="1"/>
        <v>61</v>
      </c>
      <c r="C70" s="106" t="s">
        <v>140</v>
      </c>
      <c r="D70" s="107" t="s">
        <v>141</v>
      </c>
      <c r="E70" s="599" t="str">
        <f t="shared" si="6"/>
        <v>Grete BergeOwren</v>
      </c>
      <c r="F70" s="192">
        <f>YEAR(I$5)-_xlfn.XLOOKUP(E70,Deltakerliste!E$5:E$98,Deltakerliste!I$5:I$98)</f>
        <v>67</v>
      </c>
      <c r="G70" s="192">
        <f>_xlfn.XLOOKUP(E70,Deltakerliste!E$5:E$98,Deltakerliste!H$5:H$98)</f>
        <v>4</v>
      </c>
      <c r="H70" s="592">
        <f>VLOOKUP(F70,Deltakerliste!P$6:T$84,G70,FALSE)</f>
        <v>1.8422000000000009</v>
      </c>
      <c r="I70" s="13"/>
      <c r="J70" s="13"/>
      <c r="K70" s="13"/>
      <c r="L70" s="600"/>
      <c r="M70" s="594"/>
      <c r="N70" s="724"/>
      <c r="O70" s="596"/>
    </row>
    <row r="71" spans="2:17" ht="21" thickBot="1" x14ac:dyDescent="0.3">
      <c r="B71" s="16">
        <f t="shared" si="1"/>
        <v>62</v>
      </c>
      <c r="C71" s="106" t="s">
        <v>144</v>
      </c>
      <c r="D71" s="107" t="s">
        <v>145</v>
      </c>
      <c r="E71" s="599" t="str">
        <f t="shared" si="6"/>
        <v>Bjørn Rindstad</v>
      </c>
      <c r="F71" s="192">
        <f>YEAR(I$5)-_xlfn.XLOOKUP(E71,Deltakerliste!E$5:E$98,Deltakerliste!I$5:I$98)</f>
        <v>74</v>
      </c>
      <c r="G71" s="192">
        <f>_xlfn.XLOOKUP(E71,Deltakerliste!E$5:E$98,Deltakerliste!H$5:H$98)</f>
        <v>2</v>
      </c>
      <c r="H71" s="592">
        <f>VLOOKUP(F71,Deltakerliste!P$6:T$84,G71,FALSE)</f>
        <v>1.569</v>
      </c>
      <c r="I71" s="18"/>
      <c r="J71" s="18"/>
      <c r="K71" s="133"/>
      <c r="L71" s="600"/>
      <c r="M71" s="594"/>
      <c r="N71" s="724"/>
      <c r="O71" s="596"/>
    </row>
    <row r="72" spans="2:17" ht="21" thickBot="1" x14ac:dyDescent="0.3">
      <c r="B72" s="16">
        <f t="shared" si="1"/>
        <v>63</v>
      </c>
      <c r="C72" s="106" t="s">
        <v>78</v>
      </c>
      <c r="D72" s="107" t="s">
        <v>146</v>
      </c>
      <c r="E72" s="599" t="str">
        <f t="shared" si="6"/>
        <v>LeifRøhjell</v>
      </c>
      <c r="F72" s="192">
        <f>YEAR(I$5)-_xlfn.XLOOKUP(E72,Deltakerliste!E$5:E$98,Deltakerliste!I$5:I$98)</f>
        <v>81</v>
      </c>
      <c r="G72" s="192">
        <f>_xlfn.XLOOKUP(E72,Deltakerliste!E$5:E$98,Deltakerliste!H$5:H$98)</f>
        <v>2</v>
      </c>
      <c r="H72" s="592">
        <f>VLOOKUP(F72,Deltakerliste!P$6:T$84,G72,FALSE)</f>
        <v>1.9290000000000003</v>
      </c>
      <c r="I72" s="18"/>
      <c r="J72" s="18"/>
      <c r="K72" s="133"/>
      <c r="L72" s="600"/>
      <c r="M72" s="594"/>
      <c r="N72" s="724"/>
      <c r="O72" s="596"/>
    </row>
    <row r="73" spans="2:17" ht="21" thickBot="1" x14ac:dyDescent="0.3">
      <c r="B73" s="16">
        <f t="shared" si="1"/>
        <v>64</v>
      </c>
      <c r="C73" s="111" t="s">
        <v>228</v>
      </c>
      <c r="D73" s="193" t="s">
        <v>229</v>
      </c>
      <c r="E73" s="599" t="str">
        <f t="shared" si="6"/>
        <v>May-LisRønning</v>
      </c>
      <c r="F73" s="192">
        <f>YEAR(I$5)-_xlfn.XLOOKUP(E73,Deltakerliste!E$5:E$98,Deltakerliste!I$5:I$98)</f>
        <v>55</v>
      </c>
      <c r="G73" s="192">
        <f>_xlfn.XLOOKUP(E73,Deltakerliste!E$5:E$98,Deltakerliste!H$5:H$98)</f>
        <v>4</v>
      </c>
      <c r="H73" s="592">
        <f>VLOOKUP(F73,Deltakerliste!P$6:T$84,G73,FALSE)</f>
        <v>1.5099999999999996</v>
      </c>
      <c r="I73" s="18"/>
      <c r="J73" s="18"/>
      <c r="K73" s="133"/>
      <c r="L73" s="600"/>
      <c r="M73" s="594"/>
      <c r="N73" s="724"/>
      <c r="O73" s="596"/>
    </row>
    <row r="74" spans="2:17" ht="21" thickBot="1" x14ac:dyDescent="0.3">
      <c r="B74" s="16">
        <f t="shared" si="1"/>
        <v>65</v>
      </c>
      <c r="C74" s="111" t="s">
        <v>147</v>
      </c>
      <c r="D74" s="193" t="s">
        <v>148</v>
      </c>
      <c r="E74" s="599" t="str">
        <f t="shared" ref="E74:E84" si="7">_xlfn.CONCAT(C74:D74)</f>
        <v>ViggoSchei</v>
      </c>
      <c r="F74" s="192">
        <f>YEAR(I$5)-_xlfn.XLOOKUP(E74,Deltakerliste!E$5:E$98,Deltakerliste!I$5:I$98)</f>
        <v>74</v>
      </c>
      <c r="G74" s="192">
        <f>_xlfn.XLOOKUP(E74,Deltakerliste!E$5:E$98,Deltakerliste!H$5:H$98)</f>
        <v>2</v>
      </c>
      <c r="H74" s="592">
        <f>VLOOKUP(F74,Deltakerliste!P$6:T$84,G74,FALSE)</f>
        <v>1.569</v>
      </c>
      <c r="I74" s="18"/>
      <c r="J74" s="18"/>
      <c r="K74" s="133"/>
      <c r="L74" s="600"/>
      <c r="M74" s="594"/>
      <c r="N74" s="724"/>
      <c r="O74" s="596"/>
    </row>
    <row r="75" spans="2:17" ht="21" thickBot="1" x14ac:dyDescent="0.3">
      <c r="B75" s="16">
        <f t="shared" si="1"/>
        <v>66</v>
      </c>
      <c r="C75" s="111" t="s">
        <v>298</v>
      </c>
      <c r="D75" s="108" t="s">
        <v>297</v>
      </c>
      <c r="E75" s="599" t="str">
        <f t="shared" si="7"/>
        <v>ØyvindSchjelderup</v>
      </c>
      <c r="F75" s="192">
        <f>YEAR(I$5)-_xlfn.XLOOKUP(E75,Deltakerliste!E$5:E$98,Deltakerliste!I$5:I$98)</f>
        <v>60</v>
      </c>
      <c r="G75" s="192">
        <f>_xlfn.XLOOKUP(E75,Deltakerliste!E$5:E$98,Deltakerliste!H$5:H$98)</f>
        <v>2</v>
      </c>
      <c r="H75" s="592">
        <f>VLOOKUP(F75,Deltakerliste!P$6:T$84,G75,FALSE)</f>
        <v>1.2000000000000002</v>
      </c>
      <c r="I75" s="18"/>
      <c r="J75" s="18"/>
      <c r="K75" s="133"/>
      <c r="L75" s="600"/>
      <c r="M75" s="594"/>
      <c r="N75" s="724"/>
      <c r="O75" s="596"/>
    </row>
    <row r="76" spans="2:17" ht="21" thickBot="1" x14ac:dyDescent="0.3">
      <c r="B76" s="16">
        <f t="shared" ref="B76:B84" si="8">B75+1</f>
        <v>67</v>
      </c>
      <c r="C76" s="111" t="s">
        <v>151</v>
      </c>
      <c r="D76" s="193" t="s">
        <v>152</v>
      </c>
      <c r="E76" s="599" t="str">
        <f t="shared" si="7"/>
        <v>PålSkyberg</v>
      </c>
      <c r="F76" s="192" t="e">
        <f>YEAR(I$5)-_xlfn.XLOOKUP(E76,Deltakerliste!E$5:E$98,Deltakerliste!I$5:I$98)</f>
        <v>#N/A</v>
      </c>
      <c r="G76" s="192" t="e">
        <f>_xlfn.XLOOKUP(E76,Deltakerliste!E$5:E$98,Deltakerliste!H$5:H$98)</f>
        <v>#N/A</v>
      </c>
      <c r="H76" s="592" t="e">
        <f>VLOOKUP(F76,Deltakerliste!P$6:T$84,G76,FALSE)</f>
        <v>#N/A</v>
      </c>
      <c r="I76" s="18"/>
      <c r="J76" s="18"/>
      <c r="K76" s="133"/>
      <c r="L76" s="600"/>
      <c r="M76" s="594"/>
      <c r="N76" s="724"/>
      <c r="O76" s="596"/>
      <c r="Q76" s="112"/>
    </row>
    <row r="77" spans="2:17" ht="21" thickBot="1" x14ac:dyDescent="0.3">
      <c r="B77" s="16">
        <f t="shared" si="8"/>
        <v>68</v>
      </c>
      <c r="C77" s="111" t="s">
        <v>153</v>
      </c>
      <c r="D77" s="193" t="s">
        <v>154</v>
      </c>
      <c r="E77" s="599" t="str">
        <f t="shared" si="7"/>
        <v>ReidunSmaavik</v>
      </c>
      <c r="F77" s="192">
        <f>YEAR(I$5)-_xlfn.XLOOKUP(E77,Deltakerliste!E$5:E$98,Deltakerliste!I$5:I$98)</f>
        <v>70</v>
      </c>
      <c r="G77" s="192">
        <f>_xlfn.XLOOKUP(E77,Deltakerliste!E$5:E$98,Deltakerliste!H$5:H$98)</f>
        <v>4</v>
      </c>
      <c r="H77" s="592">
        <f>VLOOKUP(F77,Deltakerliste!P$6:T$84,G77,FALSE)</f>
        <v>1.9490000000000012</v>
      </c>
      <c r="I77" s="18"/>
      <c r="J77" s="18"/>
      <c r="K77" s="133"/>
      <c r="L77" s="600"/>
      <c r="M77" s="594"/>
      <c r="N77" s="724"/>
      <c r="O77" s="596"/>
    </row>
    <row r="78" spans="2:17" ht="21" thickBot="1" x14ac:dyDescent="0.3">
      <c r="B78" s="16">
        <f t="shared" si="8"/>
        <v>69</v>
      </c>
      <c r="C78" s="111" t="s">
        <v>155</v>
      </c>
      <c r="D78" s="108" t="s">
        <v>156</v>
      </c>
      <c r="E78" s="599" t="str">
        <f t="shared" si="7"/>
        <v>KjellrunSporild</v>
      </c>
      <c r="F78" s="192">
        <f>YEAR(I$5)-_xlfn.XLOOKUP(E78,Deltakerliste!E$5:E$98,Deltakerliste!I$5:I$98)</f>
        <v>70</v>
      </c>
      <c r="G78" s="192">
        <f>_xlfn.XLOOKUP(E78,Deltakerliste!E$5:E$98,Deltakerliste!H$5:H$98)</f>
        <v>4</v>
      </c>
      <c r="H78" s="592">
        <f>VLOOKUP(F78,Deltakerliste!P$6:T$84,G78,FALSE)</f>
        <v>1.9490000000000012</v>
      </c>
      <c r="I78" s="18"/>
      <c r="J78" s="18"/>
      <c r="K78" s="133"/>
      <c r="L78" s="600"/>
      <c r="M78" s="594"/>
      <c r="N78" s="724"/>
      <c r="O78" s="596"/>
    </row>
    <row r="79" spans="2:17" ht="21" thickBot="1" x14ac:dyDescent="0.3">
      <c r="B79" s="16">
        <f t="shared" si="8"/>
        <v>70</v>
      </c>
      <c r="C79" s="111" t="s">
        <v>232</v>
      </c>
      <c r="D79" s="133" t="s">
        <v>231</v>
      </c>
      <c r="E79" s="599" t="str">
        <f t="shared" si="7"/>
        <v>BeritSunnset</v>
      </c>
      <c r="F79" s="192">
        <f>YEAR(I$5)-_xlfn.XLOOKUP(E79,Deltakerliste!E$5:E$98,Deltakerliste!I$5:I$98)</f>
        <v>62</v>
      </c>
      <c r="G79" s="192">
        <f>_xlfn.XLOOKUP(E79,Deltakerliste!E$5:E$98,Deltakerliste!H$5:H$98)</f>
        <v>4</v>
      </c>
      <c r="H79" s="592">
        <f>VLOOKUP(F79,Deltakerliste!P$6:T$84,G79,FALSE)</f>
        <v>1.6834000000000005</v>
      </c>
      <c r="I79" s="18"/>
      <c r="J79" s="18"/>
      <c r="K79" s="133"/>
      <c r="L79" s="600"/>
      <c r="M79" s="594"/>
      <c r="N79" s="724"/>
      <c r="O79" s="596"/>
    </row>
    <row r="80" spans="2:17" ht="21" thickBot="1" x14ac:dyDescent="0.3">
      <c r="B80" s="16">
        <f t="shared" si="8"/>
        <v>71</v>
      </c>
      <c r="C80" s="193" t="s">
        <v>230</v>
      </c>
      <c r="D80" s="108" t="s">
        <v>231</v>
      </c>
      <c r="E80" s="599" t="str">
        <f t="shared" si="7"/>
        <v>TrineSunnset</v>
      </c>
      <c r="F80" s="192">
        <f>YEAR(I$5)-_xlfn.XLOOKUP(E80,Deltakerliste!E$5:E$98,Deltakerliste!I$5:I$98)</f>
        <v>62</v>
      </c>
      <c r="G80" s="192">
        <f>_xlfn.XLOOKUP(E80,Deltakerliste!E$5:E$98,Deltakerliste!H$5:H$98)</f>
        <v>4</v>
      </c>
      <c r="H80" s="592">
        <f>VLOOKUP(F80,Deltakerliste!P$6:T$84,G80,FALSE)</f>
        <v>1.6834000000000005</v>
      </c>
      <c r="I80" s="18"/>
      <c r="J80" s="18"/>
      <c r="K80" s="133"/>
      <c r="L80" s="600"/>
      <c r="M80" s="594"/>
      <c r="N80" s="724"/>
      <c r="O80" s="596"/>
    </row>
    <row r="81" spans="2:15" ht="21" thickBot="1" x14ac:dyDescent="0.3">
      <c r="B81" s="16">
        <f t="shared" si="8"/>
        <v>72</v>
      </c>
      <c r="C81" s="193" t="s">
        <v>265</v>
      </c>
      <c r="D81" s="108" t="s">
        <v>266</v>
      </c>
      <c r="E81" s="599" t="str">
        <f t="shared" si="7"/>
        <v>ØysteinWiggen</v>
      </c>
      <c r="F81" s="192">
        <f>YEAR(I$5)-_xlfn.XLOOKUP(E81,Deltakerliste!E$5:E$98,Deltakerliste!I$5:I$98)</f>
        <v>59</v>
      </c>
      <c r="G81" s="192">
        <f>_xlfn.XLOOKUP(E81,Deltakerliste!E$5:E$98,Deltakerliste!H$5:H$98)</f>
        <v>2</v>
      </c>
      <c r="H81" s="592">
        <f>VLOOKUP(F81,Deltakerliste!P$6:T$84,G81,FALSE)</f>
        <v>1.1860000000000002</v>
      </c>
      <c r="I81" s="18"/>
      <c r="J81" s="18"/>
      <c r="K81" s="133"/>
      <c r="L81" s="600"/>
      <c r="M81" s="594"/>
      <c r="N81" s="724"/>
      <c r="O81" s="596"/>
    </row>
    <row r="82" spans="2:15" ht="21" thickBot="1" x14ac:dyDescent="0.3">
      <c r="B82" s="16">
        <f t="shared" si="8"/>
        <v>73</v>
      </c>
      <c r="C82" s="193" t="s">
        <v>166</v>
      </c>
      <c r="D82" s="108" t="s">
        <v>167</v>
      </c>
      <c r="E82" s="599" t="str">
        <f t="shared" si="7"/>
        <v>GunnarØsterbø</v>
      </c>
      <c r="F82" s="192">
        <f>YEAR(I$5)-_xlfn.XLOOKUP(E82,Deltakerliste!E$5:E$98,Deltakerliste!I$5:I$98)</f>
        <v>86</v>
      </c>
      <c r="G82" s="192">
        <f>_xlfn.XLOOKUP(E82,Deltakerliste!E$5:E$98,Deltakerliste!H$5:H$98)</f>
        <v>2</v>
      </c>
      <c r="H82" s="592">
        <f>VLOOKUP(F82,Deltakerliste!P$6:T$84,G82,FALSE)</f>
        <v>2.3089999999999997</v>
      </c>
      <c r="I82" s="18"/>
      <c r="J82" s="18"/>
      <c r="K82" s="133"/>
      <c r="L82" s="600"/>
      <c r="M82" s="594"/>
      <c r="N82" s="724"/>
      <c r="O82" s="596"/>
    </row>
    <row r="83" spans="2:15" ht="21" thickBot="1" x14ac:dyDescent="0.3">
      <c r="B83" s="16">
        <f t="shared" si="8"/>
        <v>74</v>
      </c>
      <c r="C83" s="193" t="s">
        <v>168</v>
      </c>
      <c r="D83" s="108" t="s">
        <v>169</v>
      </c>
      <c r="E83" s="599" t="str">
        <f t="shared" si="7"/>
        <v>SteinØvstedal</v>
      </c>
      <c r="F83" s="192">
        <f>YEAR(I$5)-_xlfn.XLOOKUP(E83,Deltakerliste!E$5:E$98,Deltakerliste!I$5:I$98)</f>
        <v>74</v>
      </c>
      <c r="G83" s="192">
        <f>_xlfn.XLOOKUP(E83,Deltakerliste!E$5:E$98,Deltakerliste!H$5:H$98)</f>
        <v>2</v>
      </c>
      <c r="H83" s="592">
        <f>VLOOKUP(F83,Deltakerliste!P$6:T$84,G83,FALSE)</f>
        <v>1.569</v>
      </c>
      <c r="I83" s="18"/>
      <c r="J83" s="18"/>
      <c r="K83" s="133"/>
      <c r="L83" s="600"/>
      <c r="M83" s="594"/>
      <c r="N83" s="724"/>
      <c r="O83" s="596"/>
    </row>
    <row r="84" spans="2:15" ht="21" thickBot="1" x14ac:dyDescent="0.3">
      <c r="B84" s="16">
        <f t="shared" si="8"/>
        <v>75</v>
      </c>
      <c r="C84" s="193" t="s">
        <v>170</v>
      </c>
      <c r="D84" s="108" t="s">
        <v>171</v>
      </c>
      <c r="E84" s="599" t="str">
        <f t="shared" si="7"/>
        <v>ØisteinÅsmul</v>
      </c>
      <c r="F84" s="192">
        <f>YEAR(I$5)-_xlfn.XLOOKUP(E84,Deltakerliste!E$5:E$98,Deltakerliste!I$5:I$98)</f>
        <v>80</v>
      </c>
      <c r="G84" s="192">
        <f>_xlfn.XLOOKUP(E84,Deltakerliste!E$5:E$98,Deltakerliste!H$5:H$98)</f>
        <v>2</v>
      </c>
      <c r="H84" s="592">
        <f>VLOOKUP(F84,Deltakerliste!P$6:T$84,G84,FALSE)</f>
        <v>1.8550000000000002</v>
      </c>
      <c r="I84" s="18"/>
      <c r="J84" s="18"/>
      <c r="K84" s="133"/>
      <c r="L84" s="725"/>
      <c r="M84" s="717"/>
      <c r="N84" s="726"/>
      <c r="O84" s="719"/>
    </row>
    <row r="100" spans="4:11" ht="17" thickBot="1" x14ac:dyDescent="0.25"/>
    <row r="101" spans="4:11" ht="21" thickTop="1" thickBot="1" x14ac:dyDescent="0.3">
      <c r="D101" s="646" t="s">
        <v>288</v>
      </c>
      <c r="E101" s="647"/>
      <c r="F101" s="666"/>
      <c r="G101" s="666"/>
      <c r="H101" s="666"/>
      <c r="I101" s="648" t="s">
        <v>195</v>
      </c>
      <c r="J101" s="648" t="s">
        <v>196</v>
      </c>
      <c r="K101" s="649" t="s">
        <v>197</v>
      </c>
    </row>
    <row r="102" spans="4:11" ht="20" x14ac:dyDescent="0.25">
      <c r="D102" s="634" t="s">
        <v>172</v>
      </c>
      <c r="E102" s="320"/>
      <c r="F102" s="208"/>
      <c r="G102" s="208"/>
      <c r="H102" s="208"/>
      <c r="I102" s="635">
        <f>COUNT(I10:I96)+COUNTIF(I10:I96,"Brutt")+COUNTIF(I10:I96,"Disk")+COUNTIF(I10:I96,"(*)")</f>
        <v>10</v>
      </c>
      <c r="J102" s="635">
        <f>COUNT(J10:J96)+COUNTIF(J10:J96,"Brutt")+COUNTIF(J10:J96,"Disk")+COUNTIF(J10:J96,"(*)")</f>
        <v>16</v>
      </c>
      <c r="K102" s="636">
        <f>I102+J102</f>
        <v>26</v>
      </c>
    </row>
    <row r="103" spans="4:11" ht="19" x14ac:dyDescent="0.25">
      <c r="D103" s="637" t="s">
        <v>174</v>
      </c>
      <c r="E103" s="320"/>
      <c r="F103" s="208"/>
      <c r="G103" s="208"/>
      <c r="H103" s="208"/>
      <c r="I103" s="635">
        <f>COUNT(I10:I92)</f>
        <v>8</v>
      </c>
      <c r="J103" s="635">
        <f>COUNT(J10:J92)</f>
        <v>14</v>
      </c>
      <c r="K103" s="636">
        <f t="shared" ref="K103" si="9">I103+J103</f>
        <v>22</v>
      </c>
    </row>
    <row r="104" spans="4:11" ht="19" x14ac:dyDescent="0.25">
      <c r="D104" s="637" t="s">
        <v>173</v>
      </c>
      <c r="E104" s="320"/>
      <c r="F104" s="208"/>
      <c r="G104" s="208"/>
      <c r="H104" s="208"/>
      <c r="I104" s="208"/>
      <c r="J104" s="208"/>
      <c r="K104" s="636">
        <f>K102+COUNTIF(L10:L92,"Arr")+COUNTIF(L10:L92,"Løype")</f>
        <v>28</v>
      </c>
    </row>
    <row r="105" spans="4:11" ht="19" x14ac:dyDescent="0.25">
      <c r="D105" s="637" t="s">
        <v>341</v>
      </c>
      <c r="E105" s="320"/>
      <c r="F105" s="208"/>
      <c r="G105" s="208"/>
      <c r="H105" s="208"/>
      <c r="I105" s="208"/>
      <c r="J105" s="208"/>
      <c r="K105" s="638">
        <f>AVERAGEIF(M10:M84,"&gt;0",F10:F84)</f>
        <v>75.607142857142861</v>
      </c>
    </row>
    <row r="106" spans="4:11" ht="19" x14ac:dyDescent="0.25">
      <c r="D106" s="637" t="s">
        <v>296</v>
      </c>
      <c r="E106" s="320"/>
      <c r="F106" s="208"/>
      <c r="G106" s="208"/>
      <c r="H106" s="208"/>
      <c r="I106" s="208"/>
      <c r="J106" s="208"/>
      <c r="K106" s="638">
        <f>AVERAGE(I8:J8)</f>
        <v>2.4</v>
      </c>
    </row>
    <row r="107" spans="4:11" ht="19" x14ac:dyDescent="0.25">
      <c r="D107" s="637" t="s">
        <v>176</v>
      </c>
      <c r="E107" s="320"/>
      <c r="F107" s="208"/>
      <c r="G107" s="208"/>
      <c r="H107" s="208"/>
      <c r="I107" s="112">
        <f>I8*I103</f>
        <v>15.2</v>
      </c>
      <c r="J107" s="112">
        <f>J8*J103</f>
        <v>40.6</v>
      </c>
      <c r="K107" s="638">
        <f>I107+J107</f>
        <v>55.8</v>
      </c>
    </row>
    <row r="108" spans="4:11" ht="19" x14ac:dyDescent="0.25">
      <c r="D108" s="639" t="s">
        <v>286</v>
      </c>
      <c r="E108" s="320"/>
      <c r="F108" s="208"/>
      <c r="G108" s="208"/>
      <c r="H108" s="208"/>
      <c r="I108" s="103">
        <f>IF(SUM(I10:I92)=0," ",AVERAGE(I10:I92))</f>
        <v>2.8145254629629628E-2</v>
      </c>
      <c r="J108" s="103">
        <f>IF(SUM(J10:J92)=0," ",AVERAGE(J10:J92))</f>
        <v>3.6176421957671956E-2</v>
      </c>
      <c r="K108" s="640">
        <f>IF(SUM(I10:J92)=0," ",AVERAGE(I10:J92))</f>
        <v>3.3255997474747473E-2</v>
      </c>
    </row>
    <row r="109" spans="4:11" ht="20" thickBot="1" x14ac:dyDescent="0.3">
      <c r="D109" s="641" t="s">
        <v>287</v>
      </c>
      <c r="E109" s="642"/>
      <c r="F109" s="644"/>
      <c r="G109" s="644"/>
      <c r="H109" s="644"/>
      <c r="I109" s="643"/>
      <c r="J109" s="644"/>
      <c r="K109" s="645">
        <f>MIN(L10:L92)</f>
        <v>8.0739144316730529E-3</v>
      </c>
    </row>
    <row r="110" spans="4:11" ht="17" thickTop="1" x14ac:dyDescent="0.2"/>
  </sheetData>
  <autoFilter ref="C9:O84" xr:uid="{F6EBD80A-6C8F-0645-A4EE-B956A883897E}">
    <sortState xmlns:xlrd2="http://schemas.microsoft.com/office/spreadsheetml/2017/richdata2" ref="C10:O84">
      <sortCondition ref="L9:L84"/>
    </sortState>
  </autoFilter>
  <sortState xmlns:xlrd2="http://schemas.microsoft.com/office/spreadsheetml/2017/richdata2" ref="B9:I62">
    <sortCondition ref="I9:I62"/>
  </sortState>
  <mergeCells count="3">
    <mergeCell ref="W8:X8"/>
    <mergeCell ref="W7:X7"/>
    <mergeCell ref="S8:U8"/>
  </mergeCells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C30C8-9F05-9646-A103-2F22BB8A32C0}">
  <dimension ref="B1:AC110"/>
  <sheetViews>
    <sheetView topLeftCell="A66" workbookViewId="0">
      <selection activeCell="G3" sqref="G1:G1048576"/>
    </sheetView>
  </sheetViews>
  <sheetFormatPr baseColWidth="10" defaultColWidth="10.83203125" defaultRowHeight="16" x14ac:dyDescent="0.2"/>
  <cols>
    <col min="3" max="3" width="14.5" customWidth="1"/>
    <col min="4" max="4" width="20.1640625" customWidth="1"/>
    <col min="5" max="5" width="20.1640625" hidden="1" customWidth="1"/>
    <col min="6" max="6" width="14.5" style="15" customWidth="1"/>
    <col min="7" max="7" width="14.5" style="15" hidden="1" customWidth="1"/>
    <col min="8" max="8" width="14" style="15" customWidth="1"/>
    <col min="9" max="10" width="19.1640625" style="15" customWidth="1"/>
    <col min="11" max="11" width="17.6640625" style="15" customWidth="1"/>
    <col min="18" max="18" width="12.5" customWidth="1"/>
    <col min="19" max="19" width="13.5" customWidth="1"/>
    <col min="22" max="22" width="1.83203125" customWidth="1"/>
    <col min="23" max="23" width="15.83203125" customWidth="1"/>
    <col min="24" max="24" width="11" customWidth="1"/>
  </cols>
  <sheetData>
    <row r="1" spans="2:29" ht="8" customHeight="1" x14ac:dyDescent="0.2"/>
    <row r="2" spans="2:29" ht="8" customHeight="1" x14ac:dyDescent="0.2"/>
    <row r="5" spans="2:29" ht="26" x14ac:dyDescent="0.3">
      <c r="B5" s="21" t="s">
        <v>198</v>
      </c>
      <c r="C5" s="245" t="s">
        <v>304</v>
      </c>
      <c r="F5" s="667"/>
      <c r="G5" s="667"/>
      <c r="H5" s="671" t="s">
        <v>189</v>
      </c>
      <c r="I5" s="670">
        <v>45944</v>
      </c>
    </row>
    <row r="6" spans="2:29" ht="15.75" thickBot="1" x14ac:dyDescent="0.25">
      <c r="B6" s="15"/>
    </row>
    <row r="7" spans="2:29" ht="59" customHeight="1" thickBot="1" x14ac:dyDescent="0.35">
      <c r="B7" s="12" t="s">
        <v>194</v>
      </c>
      <c r="C7" s="662" t="s">
        <v>57</v>
      </c>
      <c r="D7" s="391" t="s">
        <v>58</v>
      </c>
      <c r="E7" s="663"/>
      <c r="F7" s="663" t="s">
        <v>234</v>
      </c>
      <c r="G7" s="391" t="s">
        <v>280</v>
      </c>
      <c r="H7" s="391" t="s">
        <v>235</v>
      </c>
      <c r="I7" s="391" t="s">
        <v>302</v>
      </c>
      <c r="J7" s="391" t="s">
        <v>303</v>
      </c>
      <c r="K7" s="391" t="s">
        <v>192</v>
      </c>
      <c r="L7" s="194" t="s">
        <v>209</v>
      </c>
      <c r="M7" s="392" t="s">
        <v>55</v>
      </c>
      <c r="N7" s="393" t="s">
        <v>242</v>
      </c>
      <c r="O7" s="393" t="s">
        <v>240</v>
      </c>
      <c r="Q7" s="319"/>
      <c r="R7" s="319"/>
      <c r="S7" s="755" t="str">
        <f>B5</f>
        <v>Løp 2</v>
      </c>
      <c r="T7" s="754" t="str">
        <f>C5</f>
        <v>Fuglmyra</v>
      </c>
      <c r="U7" s="730"/>
      <c r="V7" s="730"/>
      <c r="W7" s="941"/>
      <c r="X7" s="941"/>
    </row>
    <row r="8" spans="2:29" ht="23" customHeight="1" thickTop="1" thickBot="1" x14ac:dyDescent="0.35">
      <c r="B8" s="22"/>
      <c r="C8" s="394"/>
      <c r="D8" s="395"/>
      <c r="E8" s="597"/>
      <c r="F8" s="668"/>
      <c r="G8" s="668"/>
      <c r="H8" s="664"/>
      <c r="I8" s="391">
        <v>1.5</v>
      </c>
      <c r="J8" s="391">
        <v>2.8</v>
      </c>
      <c r="K8" s="391"/>
      <c r="N8" s="389"/>
      <c r="O8" s="390"/>
      <c r="S8" s="942" t="s">
        <v>312</v>
      </c>
      <c r="T8" s="943"/>
      <c r="U8" s="944"/>
      <c r="V8" s="779"/>
      <c r="W8" s="945" t="s">
        <v>313</v>
      </c>
      <c r="X8" s="940"/>
      <c r="AB8" s="836" t="s">
        <v>361</v>
      </c>
      <c r="AC8" s="827"/>
    </row>
    <row r="9" spans="2:29" ht="21" thickBot="1" x14ac:dyDescent="0.3">
      <c r="B9" s="22"/>
      <c r="C9" s="109"/>
      <c r="D9" s="105"/>
      <c r="E9" s="598"/>
      <c r="F9" s="669"/>
      <c r="G9" s="669"/>
      <c r="H9" s="665"/>
      <c r="I9" s="12"/>
      <c r="J9" s="12"/>
      <c r="K9" s="12"/>
      <c r="N9" s="199"/>
      <c r="O9" s="200"/>
      <c r="Q9" s="110"/>
      <c r="S9" s="731"/>
      <c r="T9" s="727" t="s">
        <v>311</v>
      </c>
      <c r="U9" s="750" t="s">
        <v>55</v>
      </c>
      <c r="V9" s="780"/>
      <c r="W9" s="774"/>
      <c r="X9" s="732" t="s">
        <v>55</v>
      </c>
      <c r="AB9" s="834" t="s">
        <v>234</v>
      </c>
      <c r="AC9" s="835" t="s">
        <v>362</v>
      </c>
    </row>
    <row r="10" spans="2:29" ht="21" thickBot="1" x14ac:dyDescent="0.3">
      <c r="B10" s="16">
        <v>1</v>
      </c>
      <c r="C10" s="106" t="s">
        <v>166</v>
      </c>
      <c r="D10" s="107" t="s">
        <v>167</v>
      </c>
      <c r="E10" s="599" t="str">
        <f t="shared" ref="E10:E41" si="0">_xlfn.CONCAT(C10:D10)</f>
        <v>GunnarØsterbø</v>
      </c>
      <c r="F10" s="192">
        <f>YEAR(I$5)-_xlfn.XLOOKUP(E10,Deltakerliste!E$5:E$98,Deltakerliste!I$5:I$98)</f>
        <v>86</v>
      </c>
      <c r="G10" s="192">
        <f>_xlfn.XLOOKUP(E10,Deltakerliste!E$5:E$98,Deltakerliste!H$5:H$98)</f>
        <v>2</v>
      </c>
      <c r="H10" s="592">
        <f>VLOOKUP(F10,Deltakerliste!P$6:T$84,G10,FALSE)</f>
        <v>2.3089999999999997</v>
      </c>
      <c r="I10" s="18"/>
      <c r="J10" s="132">
        <v>3.1273148148148147E-2</v>
      </c>
      <c r="K10" s="18"/>
      <c r="L10" s="321">
        <f t="shared" ref="L10:L49" si="1">IF(OR(I10="Arr",J10="Arr",K10="Arr"),"Arr",IF(OR(I10="Brutt",J10="Brutt",K10="Brutt"),"Brutt",IF(OR(I10="Løype",J10="Løype",K10="Løype"),"Løype",IF(I10&gt;0,I10/I$8,J10/J$8))))</f>
        <v>1.1168981481481481E-2</v>
      </c>
      <c r="M10" s="594">
        <f>IF(L10="Løype",Poengsammendrag!$F$2,IF(L10="Arr",Poengsammendrag!$F$3,IF(L10="Brutt",50,IF(L10="Disk",50,ROUND(MAXA(100*(MIN(L$10:L$83)/L10),50),0)))))</f>
        <v>80</v>
      </c>
      <c r="N10" s="595">
        <f t="shared" ref="N10:N49" si="2">IF(L10="Arr","Arr",IF(L10="Brutt","Brutt",IF(L10="Løype","Løype",L10/H10)))</f>
        <v>4.8371509231188749E-3</v>
      </c>
      <c r="O10" s="596">
        <f>IF(N10="Løype",Poengsammendrag!$F$2,IF(N10="Arr",Poengsammendrag!$F$3,IF(N10="Brutt",50,IF(N10="Disk",50,ROUND(MAXA(100*(MIN(N$10:N$83)/N10),50),0)))))</f>
        <v>100</v>
      </c>
      <c r="Q10" s="672"/>
      <c r="R10" s="672"/>
      <c r="S10" s="733" t="s">
        <v>126</v>
      </c>
      <c r="T10" s="734">
        <v>8.9203042328042329E-3</v>
      </c>
      <c r="U10" s="751">
        <v>100</v>
      </c>
      <c r="V10" s="781"/>
      <c r="W10" s="775" t="s">
        <v>166</v>
      </c>
      <c r="X10" s="739">
        <v>100</v>
      </c>
      <c r="AB10" s="832">
        <v>55</v>
      </c>
      <c r="AC10" s="833">
        <f>COUNTIFS(F$10:F$94,AB10,M$10:M$94,"&gt;0")</f>
        <v>0</v>
      </c>
    </row>
    <row r="11" spans="2:29" ht="21" customHeight="1" thickBot="1" x14ac:dyDescent="0.3">
      <c r="B11" s="16">
        <f t="shared" ref="B11:B75" si="3">B10+1</f>
        <v>2</v>
      </c>
      <c r="C11" s="106" t="s">
        <v>64</v>
      </c>
      <c r="D11" s="107" t="s">
        <v>65</v>
      </c>
      <c r="E11" s="599" t="str">
        <f t="shared" si="0"/>
        <v>BjørnBerger</v>
      </c>
      <c r="F11" s="192">
        <f>YEAR(I$5)-_xlfn.XLOOKUP(E11,Deltakerliste!E$5:E$98,Deltakerliste!I$5:I$98)</f>
        <v>74</v>
      </c>
      <c r="G11" s="192">
        <f>_xlfn.XLOOKUP(E11,Deltakerliste!E$5:E$98,Deltakerliste!H$5:H$98)</f>
        <v>2</v>
      </c>
      <c r="H11" s="592">
        <f>VLOOKUP(F11,Deltakerliste!P$6:T$84,G11,FALSE)</f>
        <v>1.569</v>
      </c>
      <c r="I11" s="13"/>
      <c r="J11" s="13">
        <v>2.5266203703703704E-2</v>
      </c>
      <c r="K11" s="19"/>
      <c r="L11" s="321">
        <f t="shared" si="1"/>
        <v>9.0236441798941802E-3</v>
      </c>
      <c r="M11" s="594">
        <f>IF(L11="Løype",Poengsammendrag!$F$2,IF(L11="Arr",Poengsammendrag!$F$3,IF(L11="Brutt",50,IF(L11="Disk",50,ROUND(MAXA(100*(MIN(L$10:L$83)/L11),50),0)))))</f>
        <v>99</v>
      </c>
      <c r="N11" s="595">
        <f t="shared" si="2"/>
        <v>5.7512072529599624E-3</v>
      </c>
      <c r="O11" s="596">
        <f>IF(N11="Løype",Poengsammendrag!$F$2,IF(N11="Arr",Poengsammendrag!$F$3,IF(N11="Brutt",50,IF(N11="Disk",50,ROUND(MAXA(100*(MIN(N$10:N$83)/N11),50),0)))))</f>
        <v>84</v>
      </c>
      <c r="Q11" s="672"/>
      <c r="R11" s="672"/>
      <c r="S11" s="735" t="s">
        <v>64</v>
      </c>
      <c r="T11" s="736">
        <v>9.0236441798941802E-3</v>
      </c>
      <c r="U11" s="752">
        <v>99</v>
      </c>
      <c r="V11" s="781"/>
      <c r="W11" s="776" t="s">
        <v>64</v>
      </c>
      <c r="X11" s="740">
        <v>84</v>
      </c>
      <c r="AB11" s="828">
        <f>AB10+1</f>
        <v>56</v>
      </c>
      <c r="AC11" s="829">
        <f t="shared" ref="AC11:AC50" si="4">COUNTIFS(F$10:F$94,AB11,M$10:M$94,"&gt;0")</f>
        <v>0</v>
      </c>
    </row>
    <row r="12" spans="2:29" ht="21" customHeight="1" thickBot="1" x14ac:dyDescent="0.3">
      <c r="B12" s="16">
        <f t="shared" si="3"/>
        <v>3</v>
      </c>
      <c r="C12" s="106" t="s">
        <v>138</v>
      </c>
      <c r="D12" s="107" t="s">
        <v>137</v>
      </c>
      <c r="E12" s="599" t="str">
        <f t="shared" si="0"/>
        <v>GunnhildOftedal</v>
      </c>
      <c r="F12" s="192">
        <f>YEAR(I$5)-_xlfn.XLOOKUP(E12,Deltakerliste!E$5:E$98,Deltakerliste!I$5:I$98)</f>
        <v>72</v>
      </c>
      <c r="G12" s="192">
        <f>_xlfn.XLOOKUP(E12,Deltakerliste!E$5:E$98,Deltakerliste!H$5:H$98)</f>
        <v>4</v>
      </c>
      <c r="H12" s="592">
        <f>VLOOKUP(F12,Deltakerliste!P$6:T$84,G12,FALSE)</f>
        <v>2.0362000000000013</v>
      </c>
      <c r="I12" s="13"/>
      <c r="J12" s="13">
        <v>3.3506944444444443E-2</v>
      </c>
      <c r="K12" s="13"/>
      <c r="L12" s="321">
        <f t="shared" si="1"/>
        <v>1.1966765873015874E-2</v>
      </c>
      <c r="M12" s="594">
        <f>IF(L12="Løype",Poengsammendrag!$F$2,IF(L12="Arr",Poengsammendrag!$F$3,IF(L12="Brutt",50,IF(L12="Disk",50,ROUND(MAXA(100*(MIN(L$10:L$83)/L12),50),0)))))</f>
        <v>75</v>
      </c>
      <c r="N12" s="595">
        <f t="shared" si="2"/>
        <v>5.8770090722993157E-3</v>
      </c>
      <c r="O12" s="596">
        <f>IF(N12="Løype",Poengsammendrag!$F$2,IF(N12="Arr",Poengsammendrag!$F$3,IF(N12="Brutt",50,IF(N12="Disk",50,ROUND(MAXA(100*(MIN(N$10:N$83)/N12),50),0)))))</f>
        <v>82</v>
      </c>
      <c r="Q12" s="672"/>
      <c r="R12" s="672"/>
      <c r="S12" s="735" t="s">
        <v>134</v>
      </c>
      <c r="T12" s="736">
        <v>9.3625992063492078E-3</v>
      </c>
      <c r="U12" s="752">
        <v>95</v>
      </c>
      <c r="V12" s="781"/>
      <c r="W12" s="776" t="s">
        <v>138</v>
      </c>
      <c r="X12" s="740">
        <v>82</v>
      </c>
      <c r="AB12" s="828">
        <f t="shared" ref="AB12:AB50" si="5">AB11+1</f>
        <v>57</v>
      </c>
      <c r="AC12" s="829">
        <f t="shared" si="4"/>
        <v>0</v>
      </c>
    </row>
    <row r="13" spans="2:29" ht="21" customHeight="1" thickBot="1" x14ac:dyDescent="0.3">
      <c r="B13" s="16">
        <f t="shared" si="3"/>
        <v>4</v>
      </c>
      <c r="C13" s="106" t="s">
        <v>126</v>
      </c>
      <c r="D13" s="107" t="s">
        <v>127</v>
      </c>
      <c r="E13" s="599" t="str">
        <f t="shared" si="0"/>
        <v>ArneMikkelsen</v>
      </c>
      <c r="F13" s="192">
        <f>YEAR(I$5)-_xlfn.XLOOKUP(E13,Deltakerliste!E$5:E$98,Deltakerliste!I$5:I$98)</f>
        <v>72</v>
      </c>
      <c r="G13" s="192">
        <f>_xlfn.XLOOKUP(E13,Deltakerliste!E$5:E$98,Deltakerliste!H$5:H$98)</f>
        <v>2</v>
      </c>
      <c r="H13" s="592">
        <f>VLOOKUP(F13,Deltakerliste!P$6:T$84,G13,FALSE)</f>
        <v>1.4969999999999999</v>
      </c>
      <c r="I13" s="13"/>
      <c r="J13" s="13">
        <v>2.4976851851851851E-2</v>
      </c>
      <c r="K13" s="13"/>
      <c r="L13" s="321">
        <f t="shared" si="1"/>
        <v>8.9203042328042329E-3</v>
      </c>
      <c r="M13" s="594">
        <f>IF(L13="Løype",Poengsammendrag!$F$2,IF(L13="Arr",Poengsammendrag!$F$3,IF(L13="Brutt",50,IF(L13="Disk",50,ROUND(MAXA(100*(MIN(L$10:L$83)/L13),50),0)))))</f>
        <v>100</v>
      </c>
      <c r="N13" s="595">
        <f t="shared" si="2"/>
        <v>5.9587870626614785E-3</v>
      </c>
      <c r="O13" s="596">
        <f>IF(N13="Løype",Poengsammendrag!$F$2,IF(N13="Arr",Poengsammendrag!$F$3,IF(N13="Brutt",50,IF(N13="Disk",50,ROUND(MAXA(100*(MIN(N$10:N$83)/N13),50),0)))))</f>
        <v>81</v>
      </c>
      <c r="Q13" s="672"/>
      <c r="R13" s="672"/>
      <c r="S13" s="735" t="s">
        <v>307</v>
      </c>
      <c r="T13" s="736">
        <v>9.6684854497354512E-3</v>
      </c>
      <c r="U13" s="752">
        <v>92</v>
      </c>
      <c r="V13" s="781"/>
      <c r="W13" s="776" t="s">
        <v>126</v>
      </c>
      <c r="X13" s="740">
        <v>81</v>
      </c>
      <c r="AB13" s="828">
        <f t="shared" si="5"/>
        <v>58</v>
      </c>
      <c r="AC13" s="829">
        <f t="shared" si="4"/>
        <v>0</v>
      </c>
    </row>
    <row r="14" spans="2:29" ht="21" customHeight="1" thickBot="1" x14ac:dyDescent="0.3">
      <c r="B14" s="16">
        <f t="shared" si="3"/>
        <v>5</v>
      </c>
      <c r="C14" s="106" t="s">
        <v>307</v>
      </c>
      <c r="D14" s="107" t="s">
        <v>308</v>
      </c>
      <c r="E14" s="599" t="str">
        <f t="shared" si="0"/>
        <v>RolfWærnes</v>
      </c>
      <c r="F14" s="192">
        <f>YEAR(I$5)-_xlfn.XLOOKUP(E14,Deltakerliste!E$5:E$98,Deltakerliste!I$5:I$98)</f>
        <v>74</v>
      </c>
      <c r="G14" s="192">
        <f>_xlfn.XLOOKUP(E14,Deltakerliste!E$5:E$98,Deltakerliste!H$5:H$98)</f>
        <v>2</v>
      </c>
      <c r="H14" s="592">
        <f>VLOOKUP(F14,Deltakerliste!P$6:T$84,G14,FALSE)</f>
        <v>1.569</v>
      </c>
      <c r="I14" s="18"/>
      <c r="J14" s="132">
        <v>2.7071759259259261E-2</v>
      </c>
      <c r="K14" s="18"/>
      <c r="L14" s="321">
        <f t="shared" si="1"/>
        <v>9.6684854497354512E-3</v>
      </c>
      <c r="M14" s="594">
        <f>IF(L14="Løype",Poengsammendrag!$F$2,IF(L14="Arr",Poengsammendrag!$F$3,IF(L14="Brutt",50,IF(L14="Disk",50,ROUND(MAXA(100*(MIN(L$10:L$83)/L14),50),0)))))</f>
        <v>92</v>
      </c>
      <c r="N14" s="595">
        <f t="shared" si="2"/>
        <v>6.162195952667592E-3</v>
      </c>
      <c r="O14" s="596">
        <f>IF(N14="Løype",Poengsammendrag!$F$2,IF(N14="Arr",Poengsammendrag!$F$3,IF(N14="Brutt",50,IF(N14="Disk",50,ROUND(MAXA(100*(MIN(N$10:N$83)/N14),50),0)))))</f>
        <v>78</v>
      </c>
      <c r="Q14" s="672"/>
      <c r="R14" s="672"/>
      <c r="S14" s="735" t="s">
        <v>136</v>
      </c>
      <c r="T14" s="736">
        <v>1.060681216931217E-2</v>
      </c>
      <c r="U14" s="752">
        <v>84</v>
      </c>
      <c r="V14" s="781"/>
      <c r="W14" s="776" t="s">
        <v>307</v>
      </c>
      <c r="X14" s="740">
        <v>78</v>
      </c>
      <c r="AB14" s="828">
        <f t="shared" si="5"/>
        <v>59</v>
      </c>
      <c r="AC14" s="829">
        <f t="shared" si="4"/>
        <v>0</v>
      </c>
    </row>
    <row r="15" spans="2:29" ht="21" customHeight="1" thickBot="1" x14ac:dyDescent="0.3">
      <c r="B15" s="16">
        <f t="shared" si="3"/>
        <v>6</v>
      </c>
      <c r="C15" s="106" t="s">
        <v>106</v>
      </c>
      <c r="D15" s="107" t="s">
        <v>107</v>
      </c>
      <c r="E15" s="599" t="str">
        <f t="shared" si="0"/>
        <v>Jon ArneKlemetsaune</v>
      </c>
      <c r="F15" s="192">
        <f>YEAR(I$5)-_xlfn.XLOOKUP(E15,Deltakerliste!E$5:E$98,Deltakerliste!I$5:I$98)</f>
        <v>76</v>
      </c>
      <c r="G15" s="192">
        <f>_xlfn.XLOOKUP(E15,Deltakerliste!E$5:E$98,Deltakerliste!H$5:H$98)</f>
        <v>2</v>
      </c>
      <c r="H15" s="592">
        <f>VLOOKUP(F15,Deltakerliste!P$6:T$84,G15,FALSE)</f>
        <v>1.655</v>
      </c>
      <c r="I15" s="86"/>
      <c r="J15" s="86">
        <v>3.0520833333333334E-2</v>
      </c>
      <c r="K15" s="17"/>
      <c r="L15" s="321">
        <f t="shared" si="1"/>
        <v>1.090029761904762E-2</v>
      </c>
      <c r="M15" s="594">
        <f>IF(L15="Løype",Poengsammendrag!$F$2,IF(L15="Arr",Poengsammendrag!$F$3,IF(L15="Brutt",50,IF(L15="Disk",50,ROUND(MAXA(100*(MIN(L$10:L$83)/L15),50),0)))))</f>
        <v>82</v>
      </c>
      <c r="N15" s="595">
        <f t="shared" si="2"/>
        <v>6.5862825492734867E-3</v>
      </c>
      <c r="O15" s="596">
        <f>IF(N15="Løype",Poengsammendrag!$F$2,IF(N15="Arr",Poengsammendrag!$F$3,IF(N15="Brutt",50,IF(N15="Disk",50,ROUND(MAXA(100*(MIN(N$10:N$83)/N15),50),0)))))</f>
        <v>73</v>
      </c>
      <c r="Q15" s="672"/>
      <c r="R15" s="672"/>
      <c r="S15" s="735" t="s">
        <v>106</v>
      </c>
      <c r="T15" s="736">
        <v>1.090029761904762E-2</v>
      </c>
      <c r="U15" s="752">
        <v>82</v>
      </c>
      <c r="V15" s="781"/>
      <c r="W15" s="776" t="s">
        <v>106</v>
      </c>
      <c r="X15" s="740">
        <v>73</v>
      </c>
      <c r="AB15" s="828">
        <f t="shared" si="5"/>
        <v>60</v>
      </c>
      <c r="AC15" s="829">
        <f t="shared" si="4"/>
        <v>0</v>
      </c>
    </row>
    <row r="16" spans="2:29" ht="21" customHeight="1" thickBot="1" x14ac:dyDescent="0.3">
      <c r="B16" s="16">
        <f t="shared" si="3"/>
        <v>7</v>
      </c>
      <c r="C16" s="106" t="s">
        <v>134</v>
      </c>
      <c r="D16" s="107" t="s">
        <v>135</v>
      </c>
      <c r="E16" s="599" t="str">
        <f t="shared" si="0"/>
        <v>IngeNørstebø</v>
      </c>
      <c r="F16" s="192">
        <f>YEAR(I$5)-_xlfn.XLOOKUP(E16,Deltakerliste!E$5:E$98,Deltakerliste!I$5:I$98)</f>
        <v>69</v>
      </c>
      <c r="G16" s="192">
        <f>_xlfn.XLOOKUP(E16,Deltakerliste!E$5:E$98,Deltakerliste!H$5:H$98)</f>
        <v>2</v>
      </c>
      <c r="H16" s="592">
        <f>VLOOKUP(F16,Deltakerliste!P$6:T$84,G16,FALSE)</f>
        <v>1.3989999999999998</v>
      </c>
      <c r="I16" s="13"/>
      <c r="J16" s="13">
        <v>2.6215277777777778E-2</v>
      </c>
      <c r="K16" s="13"/>
      <c r="L16" s="321">
        <f t="shared" si="1"/>
        <v>9.3625992063492078E-3</v>
      </c>
      <c r="M16" s="594">
        <f>IF(L16="Løype",Poengsammendrag!$F$2,IF(L16="Arr",Poengsammendrag!$F$3,IF(L16="Brutt",50,IF(L16="Disk",50,ROUND(MAXA(100*(MIN(L$10:L$83)/L16),50),0)))))</f>
        <v>95</v>
      </c>
      <c r="N16" s="595">
        <f t="shared" si="2"/>
        <v>6.6923511124726302E-3</v>
      </c>
      <c r="O16" s="596">
        <f>IF(N16="Løype",Poengsammendrag!$F$2,IF(N16="Arr",Poengsammendrag!$F$3,IF(N16="Brutt",50,IF(N16="Disk",50,ROUND(MAXA(100*(MIN(N$10:N$83)/N16),50),0)))))</f>
        <v>72</v>
      </c>
      <c r="Q16" s="672"/>
      <c r="R16" s="672"/>
      <c r="S16" s="735" t="s">
        <v>63</v>
      </c>
      <c r="T16" s="736">
        <v>1.1061507936507937E-2</v>
      </c>
      <c r="U16" s="752">
        <v>81</v>
      </c>
      <c r="V16" s="781"/>
      <c r="W16" s="776" t="s">
        <v>134</v>
      </c>
      <c r="X16" s="740">
        <v>72</v>
      </c>
      <c r="AB16" s="828">
        <f t="shared" si="5"/>
        <v>61</v>
      </c>
      <c r="AC16" s="829">
        <f t="shared" si="4"/>
        <v>0</v>
      </c>
    </row>
    <row r="17" spans="2:29" ht="21" customHeight="1" thickBot="1" x14ac:dyDescent="0.3">
      <c r="B17" s="16">
        <f t="shared" si="3"/>
        <v>8</v>
      </c>
      <c r="C17" s="106" t="s">
        <v>114</v>
      </c>
      <c r="D17" s="107" t="s">
        <v>115</v>
      </c>
      <c r="E17" s="599" t="str">
        <f t="shared" si="0"/>
        <v>MagnusLandstad</v>
      </c>
      <c r="F17" s="192">
        <f>YEAR(I$5)-_xlfn.XLOOKUP(E17,Deltakerliste!E$5:E$98,Deltakerliste!I$5:I$98)</f>
        <v>82</v>
      </c>
      <c r="G17" s="192">
        <f>_xlfn.XLOOKUP(E17,Deltakerliste!E$5:E$98,Deltakerliste!H$5:H$98)</f>
        <v>2</v>
      </c>
      <c r="H17" s="592">
        <f>VLOOKUP(F17,Deltakerliste!P$6:T$84,G17,FALSE)</f>
        <v>2.0030000000000001</v>
      </c>
      <c r="I17" s="86"/>
      <c r="J17" s="86">
        <v>3.8229166666666668E-2</v>
      </c>
      <c r="K17" s="13"/>
      <c r="L17" s="321">
        <f t="shared" si="1"/>
        <v>1.3653273809523811E-2</v>
      </c>
      <c r="M17" s="594">
        <f>IF(L17="Løype",Poengsammendrag!$F$2,IF(L17="Arr",Poengsammendrag!$F$3,IF(L17="Brutt",50,IF(L17="Disk",50,ROUND(MAXA(100*(MIN(L$10:L$83)/L17),50),0)))))</f>
        <v>65</v>
      </c>
      <c r="N17" s="595">
        <f t="shared" si="2"/>
        <v>6.8164122863324066E-3</v>
      </c>
      <c r="O17" s="596">
        <f>IF(N17="Løype",Poengsammendrag!$F$2,IF(N17="Arr",Poengsammendrag!$F$3,IF(N17="Brutt",50,IF(N17="Disk",50,ROUND(MAXA(100*(MIN(N$10:N$83)/N17),50),0)))))</f>
        <v>71</v>
      </c>
      <c r="Q17" s="672"/>
      <c r="R17" s="672"/>
      <c r="S17" s="735" t="s">
        <v>166</v>
      </c>
      <c r="T17" s="736">
        <v>1.1168981481481481E-2</v>
      </c>
      <c r="U17" s="752">
        <v>80</v>
      </c>
      <c r="V17" s="781"/>
      <c r="W17" s="776" t="s">
        <v>114</v>
      </c>
      <c r="X17" s="740">
        <v>71</v>
      </c>
      <c r="AB17" s="828">
        <f t="shared" si="5"/>
        <v>62</v>
      </c>
      <c r="AC17" s="829">
        <f t="shared" si="4"/>
        <v>0</v>
      </c>
    </row>
    <row r="18" spans="2:29" ht="21" customHeight="1" thickBot="1" x14ac:dyDescent="0.3">
      <c r="B18" s="16">
        <f t="shared" si="3"/>
        <v>9</v>
      </c>
      <c r="C18" s="106" t="s">
        <v>159</v>
      </c>
      <c r="D18" s="107" t="s">
        <v>160</v>
      </c>
      <c r="E18" s="599" t="str">
        <f t="shared" si="0"/>
        <v>EigilSørli</v>
      </c>
      <c r="F18" s="192">
        <f>YEAR(I$5)-_xlfn.XLOOKUP(E18,Deltakerliste!E$5:E$98,Deltakerliste!I$5:I$98)</f>
        <v>85</v>
      </c>
      <c r="G18" s="192">
        <f>_xlfn.XLOOKUP(E18,Deltakerliste!E$5:E$98,Deltakerliste!H$5:H$98)</f>
        <v>2</v>
      </c>
      <c r="H18" s="592">
        <f>VLOOKUP(F18,Deltakerliste!P$6:T$84,G18,FALSE)</f>
        <v>2.2249999999999996</v>
      </c>
      <c r="I18" s="132">
        <v>2.2928240740740742E-2</v>
      </c>
      <c r="J18" s="18"/>
      <c r="K18" s="18"/>
      <c r="L18" s="321">
        <f t="shared" si="1"/>
        <v>1.5285493827160495E-2</v>
      </c>
      <c r="M18" s="594">
        <f>IF(L18="Løype",Poengsammendrag!$F$2,IF(L18="Arr",Poengsammendrag!$F$3,IF(L18="Brutt",50,IF(L18="Disk",50,ROUND(MAXA(100*(MIN(L$10:L$83)/L18),50),0)))))</f>
        <v>58</v>
      </c>
      <c r="N18" s="595">
        <f t="shared" si="2"/>
        <v>6.8698848661395496E-3</v>
      </c>
      <c r="O18" s="596">
        <f>IF(N18="Løype",Poengsammendrag!$F$2,IF(N18="Arr",Poengsammendrag!$F$3,IF(N18="Brutt",50,IF(N18="Disk",50,ROUND(MAXA(100*(MIN(N$10:N$83)/N18),50),0)))))</f>
        <v>70</v>
      </c>
      <c r="Q18" s="672"/>
      <c r="R18" s="672"/>
      <c r="S18" s="735" t="s">
        <v>101</v>
      </c>
      <c r="T18" s="736">
        <v>1.1619543650793651E-2</v>
      </c>
      <c r="U18" s="752">
        <v>77</v>
      </c>
      <c r="V18" s="781"/>
      <c r="W18" s="776" t="s">
        <v>159</v>
      </c>
      <c r="X18" s="740">
        <v>70</v>
      </c>
      <c r="AB18" s="828">
        <f t="shared" si="5"/>
        <v>63</v>
      </c>
      <c r="AC18" s="829">
        <f t="shared" si="4"/>
        <v>0</v>
      </c>
    </row>
    <row r="19" spans="2:29" ht="21" thickBot="1" x14ac:dyDescent="0.3">
      <c r="B19" s="16">
        <f t="shared" si="3"/>
        <v>10</v>
      </c>
      <c r="C19" s="106" t="s">
        <v>136</v>
      </c>
      <c r="D19" s="107" t="s">
        <v>137</v>
      </c>
      <c r="E19" s="599" t="str">
        <f t="shared" si="0"/>
        <v>HaraldOftedal</v>
      </c>
      <c r="F19" s="192">
        <f>YEAR(I$5)-_xlfn.XLOOKUP(E19,Deltakerliste!E$5:E$98,Deltakerliste!I$5:I$98)</f>
        <v>73</v>
      </c>
      <c r="G19" s="192">
        <f>_xlfn.XLOOKUP(E19,Deltakerliste!E$5:E$98,Deltakerliste!H$5:H$98)</f>
        <v>2</v>
      </c>
      <c r="H19" s="592">
        <f>VLOOKUP(F19,Deltakerliste!P$6:T$84,G19,FALSE)</f>
        <v>1.5329999999999999</v>
      </c>
      <c r="I19" s="134"/>
      <c r="J19" s="132">
        <v>2.9699074074074076E-2</v>
      </c>
      <c r="K19" s="134"/>
      <c r="L19" s="321">
        <f t="shared" si="1"/>
        <v>1.060681216931217E-2</v>
      </c>
      <c r="M19" s="594">
        <f>IF(L19="Løype",Poengsammendrag!$F$2,IF(L19="Arr",Poengsammendrag!$F$3,IF(L19="Brutt",50,IF(L19="Disk",50,ROUND(MAXA(100*(MIN(L$10:L$83)/L19),50),0)))))</f>
        <v>84</v>
      </c>
      <c r="N19" s="595">
        <f t="shared" si="2"/>
        <v>6.9189903257091791E-3</v>
      </c>
      <c r="O19" s="596">
        <f>IF(N19="Løype",Poengsammendrag!$F$2,IF(N19="Arr",Poengsammendrag!$F$3,IF(N19="Brutt",50,IF(N19="Disk",50,ROUND(MAXA(100*(MIN(N$10:N$83)/N19),50),0)))))</f>
        <v>70</v>
      </c>
      <c r="Q19" s="672"/>
      <c r="R19" s="672"/>
      <c r="S19" s="735" t="s">
        <v>138</v>
      </c>
      <c r="T19" s="736">
        <v>1.1966765873015874E-2</v>
      </c>
      <c r="U19" s="752">
        <v>75</v>
      </c>
      <c r="V19" s="781"/>
      <c r="W19" s="776" t="s">
        <v>136</v>
      </c>
      <c r="X19" s="740">
        <v>70</v>
      </c>
      <c r="AB19" s="828">
        <f t="shared" si="5"/>
        <v>64</v>
      </c>
      <c r="AC19" s="829">
        <f t="shared" si="4"/>
        <v>0</v>
      </c>
    </row>
    <row r="20" spans="2:29" ht="21" thickBot="1" x14ac:dyDescent="0.3">
      <c r="B20" s="16">
        <f t="shared" si="3"/>
        <v>11</v>
      </c>
      <c r="C20" s="106" t="s">
        <v>78</v>
      </c>
      <c r="D20" s="107" t="s">
        <v>146</v>
      </c>
      <c r="E20" s="599" t="str">
        <f t="shared" si="0"/>
        <v>LeifRøhjell</v>
      </c>
      <c r="F20" s="192">
        <f>YEAR(I$5)-_xlfn.XLOOKUP(E20,Deltakerliste!E$5:E$98,Deltakerliste!I$5:I$98)</f>
        <v>81</v>
      </c>
      <c r="G20" s="192">
        <f>_xlfn.XLOOKUP(E20,Deltakerliste!E$5:E$98,Deltakerliste!H$5:H$98)</f>
        <v>2</v>
      </c>
      <c r="H20" s="592">
        <f>VLOOKUP(F20,Deltakerliste!P$6:T$84,G20,FALSE)</f>
        <v>1.9290000000000003</v>
      </c>
      <c r="I20" s="132">
        <v>2.0173611111111111E-2</v>
      </c>
      <c r="J20" s="18"/>
      <c r="K20" s="18"/>
      <c r="L20" s="321">
        <f t="shared" si="1"/>
        <v>1.3449074074074073E-2</v>
      </c>
      <c r="M20" s="594">
        <f>IF(L20="Løype",Poengsammendrag!$F$2,IF(L20="Arr",Poengsammendrag!$F$3,IF(L20="Brutt",50,IF(L20="Disk",50,ROUND(MAXA(100*(MIN(L$10:L$83)/L20),50),0)))))</f>
        <v>66</v>
      </c>
      <c r="N20" s="595">
        <f t="shared" si="2"/>
        <v>6.9720446210855738E-3</v>
      </c>
      <c r="O20" s="596">
        <f>IF(N20="Løype",Poengsammendrag!$F$2,IF(N20="Arr",Poengsammendrag!$F$3,IF(N20="Brutt",50,IF(N20="Disk",50,ROUND(MAXA(100*(MIN(N$10:N$83)/N20),50),0)))))</f>
        <v>69</v>
      </c>
      <c r="Q20" s="672"/>
      <c r="R20" s="672"/>
      <c r="S20" s="735" t="s">
        <v>66</v>
      </c>
      <c r="T20" s="736">
        <v>1.226438492063492E-2</v>
      </c>
      <c r="U20" s="752">
        <v>73</v>
      </c>
      <c r="V20" s="781"/>
      <c r="W20" s="776" t="s">
        <v>337</v>
      </c>
      <c r="X20" s="740">
        <v>69</v>
      </c>
      <c r="AB20" s="828">
        <f t="shared" si="5"/>
        <v>65</v>
      </c>
      <c r="AC20" s="829">
        <f t="shared" si="4"/>
        <v>0</v>
      </c>
    </row>
    <row r="21" spans="2:29" ht="21" customHeight="1" thickBot="1" x14ac:dyDescent="0.3">
      <c r="B21" s="16">
        <f t="shared" si="3"/>
        <v>12</v>
      </c>
      <c r="C21" s="106" t="s">
        <v>88</v>
      </c>
      <c r="D21" s="107" t="s">
        <v>89</v>
      </c>
      <c r="E21" s="599" t="str">
        <f t="shared" si="0"/>
        <v>EdgarFuruholt</v>
      </c>
      <c r="F21" s="192">
        <f>YEAR(I$5)-_xlfn.XLOOKUP(E21,Deltakerliste!E$5:E$98,Deltakerliste!I$5:I$98)</f>
        <v>78</v>
      </c>
      <c r="G21" s="192">
        <f>_xlfn.XLOOKUP(E21,Deltakerliste!E$5:E$98,Deltakerliste!H$5:H$98)</f>
        <v>2</v>
      </c>
      <c r="H21" s="592">
        <f>VLOOKUP(F21,Deltakerliste!P$6:T$84,G21,FALSE)</f>
        <v>1.7550000000000001</v>
      </c>
      <c r="I21" s="18"/>
      <c r="J21" s="132">
        <v>3.4768518518518518E-2</v>
      </c>
      <c r="K21" s="18"/>
      <c r="L21" s="321">
        <f t="shared" si="1"/>
        <v>1.2417328042328042E-2</v>
      </c>
      <c r="M21" s="594">
        <f>IF(L21="Løype",Poengsammendrag!$F$2,IF(L21="Arr",Poengsammendrag!$F$3,IF(L21="Brutt",50,IF(L21="Disk",50,ROUND(MAXA(100*(MIN(L$10:L$83)/L21),50),0)))))</f>
        <v>72</v>
      </c>
      <c r="N21" s="595">
        <f t="shared" si="2"/>
        <v>7.0754005939191117E-3</v>
      </c>
      <c r="O21" s="596">
        <f>IF(N21="Løype",Poengsammendrag!$F$2,IF(N21="Arr",Poengsammendrag!$F$3,IF(N21="Brutt",50,IF(N21="Disk",50,ROUND(MAXA(100*(MIN(N$10:N$83)/N21),50),0)))))</f>
        <v>68</v>
      </c>
      <c r="Q21" s="672"/>
      <c r="R21" s="672"/>
      <c r="S21" s="735" t="s">
        <v>88</v>
      </c>
      <c r="T21" s="736">
        <v>1.2417328042328042E-2</v>
      </c>
      <c r="U21" s="752">
        <v>72</v>
      </c>
      <c r="V21" s="781"/>
      <c r="W21" s="776" t="s">
        <v>88</v>
      </c>
      <c r="X21" s="740">
        <v>68</v>
      </c>
      <c r="AB21" s="828">
        <f t="shared" si="5"/>
        <v>66</v>
      </c>
      <c r="AC21" s="829">
        <f t="shared" si="4"/>
        <v>3</v>
      </c>
    </row>
    <row r="22" spans="2:29" ht="21" customHeight="1" thickBot="1" x14ac:dyDescent="0.3">
      <c r="B22" s="16">
        <f t="shared" si="3"/>
        <v>13</v>
      </c>
      <c r="C22" s="106" t="s">
        <v>149</v>
      </c>
      <c r="D22" s="107" t="s">
        <v>150</v>
      </c>
      <c r="E22" s="599" t="str">
        <f t="shared" si="0"/>
        <v>BenteSkorge</v>
      </c>
      <c r="F22" s="192">
        <f>YEAR(I$5)-_xlfn.XLOOKUP(E22,Deltakerliste!E$5:E$98,Deltakerliste!I$5:I$98)</f>
        <v>66</v>
      </c>
      <c r="G22" s="192">
        <f>_xlfn.XLOOKUP(E22,Deltakerliste!E$5:E$98,Deltakerliste!H$5:H$98)</f>
        <v>4</v>
      </c>
      <c r="H22" s="592">
        <f>VLOOKUP(F22,Deltakerliste!P$6:T$84,G22,FALSE)</f>
        <v>1.8066000000000009</v>
      </c>
      <c r="I22" s="18"/>
      <c r="J22" s="132">
        <v>3.7824074074074072E-2</v>
      </c>
      <c r="K22" s="18"/>
      <c r="L22" s="321">
        <f t="shared" si="1"/>
        <v>1.3508597883597883E-2</v>
      </c>
      <c r="M22" s="594">
        <f>IF(L22="Løype",Poengsammendrag!$F$2,IF(L22="Arr",Poengsammendrag!$F$3,IF(L22="Brutt",50,IF(L22="Disk",50,ROUND(MAXA(100*(MIN(L$10:L$83)/L22),50),0)))))</f>
        <v>66</v>
      </c>
      <c r="N22" s="595">
        <f t="shared" si="2"/>
        <v>7.4773596167374496E-3</v>
      </c>
      <c r="O22" s="596">
        <f>IF(N22="Løype",Poengsammendrag!$F$2,IF(N22="Arr",Poengsammendrag!$F$3,IF(N22="Brutt",50,IF(N22="Disk",50,ROUND(MAXA(100*(MIN(N$10:N$83)/N22),50),0)))))</f>
        <v>65</v>
      </c>
      <c r="Q22" s="672"/>
      <c r="R22" s="672"/>
      <c r="S22" s="735" t="s">
        <v>90</v>
      </c>
      <c r="T22" s="736">
        <v>1.277006172839506E-2</v>
      </c>
      <c r="U22" s="752">
        <v>70</v>
      </c>
      <c r="V22" s="781"/>
      <c r="W22" s="776" t="s">
        <v>149</v>
      </c>
      <c r="X22" s="740">
        <v>65</v>
      </c>
      <c r="AB22" s="828">
        <f t="shared" si="5"/>
        <v>67</v>
      </c>
      <c r="AC22" s="829">
        <f t="shared" si="4"/>
        <v>0</v>
      </c>
    </row>
    <row r="23" spans="2:29" ht="21" customHeight="1" thickBot="1" x14ac:dyDescent="0.3">
      <c r="B23" s="16">
        <f t="shared" si="3"/>
        <v>14</v>
      </c>
      <c r="C23" s="106" t="s">
        <v>142</v>
      </c>
      <c r="D23" s="107" t="s">
        <v>143</v>
      </c>
      <c r="E23" s="599" t="str">
        <f t="shared" si="0"/>
        <v>EgilRepvik</v>
      </c>
      <c r="F23" s="192">
        <f>YEAR(I$5)-_xlfn.XLOOKUP(E23,Deltakerliste!E$5:E$98,Deltakerliste!I$5:I$98)</f>
        <v>79</v>
      </c>
      <c r="G23" s="192">
        <f>_xlfn.XLOOKUP(E23,Deltakerliste!E$5:E$98,Deltakerliste!H$5:H$98)</f>
        <v>2</v>
      </c>
      <c r="H23" s="592">
        <f>VLOOKUP(F23,Deltakerliste!P$6:T$84,G23,FALSE)</f>
        <v>1.8050000000000002</v>
      </c>
      <c r="I23" s="132">
        <v>2.042824074074074E-2</v>
      </c>
      <c r="J23" s="18"/>
      <c r="K23" s="18"/>
      <c r="L23" s="321">
        <f t="shared" si="1"/>
        <v>1.3618827160493827E-2</v>
      </c>
      <c r="M23" s="594">
        <f>IF(L23="Løype",Poengsammendrag!$F$2,IF(L23="Arr",Poengsammendrag!$F$3,IF(L23="Brutt",50,IF(L23="Disk",50,ROUND(MAXA(100*(MIN(L$10:L$83)/L23),50),0)))))</f>
        <v>65</v>
      </c>
      <c r="N23" s="595">
        <f t="shared" si="2"/>
        <v>7.5450565986115376E-3</v>
      </c>
      <c r="O23" s="596">
        <f>IF(N23="Løype",Poengsammendrag!$F$2,IF(N23="Arr",Poengsammendrag!$F$3,IF(N23="Brutt",50,IF(N23="Disk",50,ROUND(MAXA(100*(MIN(N$10:N$83)/N23),50),0)))))</f>
        <v>64</v>
      </c>
      <c r="Q23" s="672"/>
      <c r="R23" s="672"/>
      <c r="S23" s="735" t="s">
        <v>163</v>
      </c>
      <c r="T23" s="736">
        <v>1.3120039682539683E-2</v>
      </c>
      <c r="U23" s="752">
        <v>68</v>
      </c>
      <c r="V23" s="781"/>
      <c r="W23" s="776" t="s">
        <v>142</v>
      </c>
      <c r="X23" s="740">
        <v>64</v>
      </c>
      <c r="AB23" s="828">
        <f t="shared" si="5"/>
        <v>68</v>
      </c>
      <c r="AC23" s="829">
        <f t="shared" si="4"/>
        <v>1</v>
      </c>
    </row>
    <row r="24" spans="2:29" ht="21" thickBot="1" x14ac:dyDescent="0.3">
      <c r="B24" s="16">
        <f t="shared" si="3"/>
        <v>15</v>
      </c>
      <c r="C24" s="106" t="s">
        <v>101</v>
      </c>
      <c r="D24" s="107" t="s">
        <v>102</v>
      </c>
      <c r="E24" s="599" t="str">
        <f t="shared" si="0"/>
        <v>EvenHofstad</v>
      </c>
      <c r="F24" s="192">
        <f>YEAR(I$5)-_xlfn.XLOOKUP(E24,Deltakerliste!E$5:E$98,Deltakerliste!I$5:I$98)</f>
        <v>71</v>
      </c>
      <c r="G24" s="192">
        <f>_xlfn.XLOOKUP(E24,Deltakerliste!E$5:E$98,Deltakerliste!H$5:H$98)</f>
        <v>2</v>
      </c>
      <c r="H24" s="592">
        <f>VLOOKUP(F24,Deltakerliste!P$6:T$84,G24,FALSE)</f>
        <v>1.4609999999999999</v>
      </c>
      <c r="I24" s="86"/>
      <c r="J24" s="86">
        <v>3.2534722222222222E-2</v>
      </c>
      <c r="K24" s="13"/>
      <c r="L24" s="321">
        <f t="shared" si="1"/>
        <v>1.1619543650793651E-2</v>
      </c>
      <c r="M24" s="594">
        <f>IF(L24="Løype",Poengsammendrag!$F$2,IF(L24="Arr",Poengsammendrag!$F$3,IF(L24="Brutt",50,IF(L24="Disk",50,ROUND(MAXA(100*(MIN(L$10:L$83)/L24),50),0)))))</f>
        <v>77</v>
      </c>
      <c r="N24" s="595">
        <f t="shared" si="2"/>
        <v>7.9531441826103024E-3</v>
      </c>
      <c r="O24" s="596">
        <f>IF(N24="Løype",Poengsammendrag!$F$2,IF(N24="Arr",Poengsammendrag!$F$3,IF(N24="Brutt",50,IF(N24="Disk",50,ROUND(MAXA(100*(MIN(N$10:N$83)/N24),50),0)))))</f>
        <v>61</v>
      </c>
      <c r="Q24" s="672"/>
      <c r="R24" s="672"/>
      <c r="S24" s="735" t="s">
        <v>168</v>
      </c>
      <c r="T24" s="736">
        <v>1.3153108465608467E-2</v>
      </c>
      <c r="U24" s="752">
        <v>68</v>
      </c>
      <c r="V24" s="781"/>
      <c r="W24" s="776" t="s">
        <v>101</v>
      </c>
      <c r="X24" s="740">
        <v>61</v>
      </c>
      <c r="AB24" s="828">
        <f t="shared" si="5"/>
        <v>69</v>
      </c>
      <c r="AC24" s="829">
        <f t="shared" si="4"/>
        <v>1</v>
      </c>
    </row>
    <row r="25" spans="2:29" ht="21" thickBot="1" x14ac:dyDescent="0.3">
      <c r="B25" s="16">
        <f t="shared" si="3"/>
        <v>16</v>
      </c>
      <c r="C25" s="106" t="s">
        <v>90</v>
      </c>
      <c r="D25" s="107" t="s">
        <v>91</v>
      </c>
      <c r="E25" s="599" t="str">
        <f t="shared" si="0"/>
        <v>TorGjermstad</v>
      </c>
      <c r="F25" s="192">
        <f>YEAR(I$5)-_xlfn.XLOOKUP(E25,Deltakerliste!E$5:E$98,Deltakerliste!I$5:I$98)</f>
        <v>75</v>
      </c>
      <c r="G25" s="192">
        <f>_xlfn.XLOOKUP(E25,Deltakerliste!E$5:E$98,Deltakerliste!H$5:H$98)</f>
        <v>2</v>
      </c>
      <c r="H25" s="592">
        <f>VLOOKUP(F25,Deltakerliste!P$6:T$84,G25,FALSE)</f>
        <v>1.605</v>
      </c>
      <c r="I25" s="86">
        <v>1.9155092592592592E-2</v>
      </c>
      <c r="J25" s="86"/>
      <c r="K25" s="13"/>
      <c r="L25" s="321">
        <f t="shared" si="1"/>
        <v>1.277006172839506E-2</v>
      </c>
      <c r="M25" s="594">
        <f>IF(L25="Løype",Poengsammendrag!$F$2,IF(L25="Arr",Poengsammendrag!$F$3,IF(L25="Brutt",50,IF(L25="Disk",50,ROUND(MAXA(100*(MIN(L$10:L$83)/L25),50),0)))))</f>
        <v>70</v>
      </c>
      <c r="N25" s="595">
        <f t="shared" si="2"/>
        <v>7.9564247528941187E-3</v>
      </c>
      <c r="O25" s="596">
        <f>IF(N25="Løype",Poengsammendrag!$F$2,IF(N25="Arr",Poengsammendrag!$F$3,IF(N25="Brutt",50,IF(N25="Disk",50,ROUND(MAXA(100*(MIN(N$10:N$83)/N25),50),0)))))</f>
        <v>61</v>
      </c>
      <c r="Q25" s="672"/>
      <c r="R25" s="672"/>
      <c r="S25" s="735" t="s">
        <v>337</v>
      </c>
      <c r="T25" s="736">
        <v>1.3449074074074073E-2</v>
      </c>
      <c r="U25" s="752">
        <v>66</v>
      </c>
      <c r="V25" s="781"/>
      <c r="W25" s="776" t="s">
        <v>90</v>
      </c>
      <c r="X25" s="740">
        <v>61</v>
      </c>
      <c r="AB25" s="828">
        <f t="shared" si="5"/>
        <v>70</v>
      </c>
      <c r="AC25" s="829">
        <f t="shared" si="4"/>
        <v>2</v>
      </c>
    </row>
    <row r="26" spans="2:29" ht="21" customHeight="1" thickBot="1" x14ac:dyDescent="0.3">
      <c r="B26" s="16">
        <f t="shared" si="3"/>
        <v>17</v>
      </c>
      <c r="C26" s="106" t="s">
        <v>66</v>
      </c>
      <c r="D26" s="107" t="s">
        <v>67</v>
      </c>
      <c r="E26" s="599" t="str">
        <f t="shared" si="0"/>
        <v>FrankBjarkø</v>
      </c>
      <c r="F26" s="192">
        <f>YEAR(I$5)-_xlfn.XLOOKUP(E26,Deltakerliste!E$5:E$98,Deltakerliste!I$5:I$98)</f>
        <v>73</v>
      </c>
      <c r="G26" s="192">
        <f>_xlfn.XLOOKUP(E26,Deltakerliste!E$5:E$98,Deltakerliste!H$5:H$98)</f>
        <v>2</v>
      </c>
      <c r="H26" s="592">
        <f>VLOOKUP(F26,Deltakerliste!P$6:T$84,G26,FALSE)</f>
        <v>1.5329999999999999</v>
      </c>
      <c r="I26" s="13"/>
      <c r="J26" s="13">
        <v>3.4340277777777775E-2</v>
      </c>
      <c r="K26" s="13"/>
      <c r="L26" s="321">
        <f t="shared" si="1"/>
        <v>1.226438492063492E-2</v>
      </c>
      <c r="M26" s="594">
        <f>IF(L26="Løype",Poengsammendrag!$F$2,IF(L26="Arr",Poengsammendrag!$F$3,IF(L26="Brutt",50,IF(L26="Disk",50,ROUND(MAXA(100*(MIN(L$10:L$83)/L26),50),0)))))</f>
        <v>73</v>
      </c>
      <c r="N26" s="595">
        <f t="shared" si="2"/>
        <v>8.0002510897814235E-3</v>
      </c>
      <c r="O26" s="596">
        <f>IF(N26="Løype",Poengsammendrag!$F$2,IF(N26="Arr",Poengsammendrag!$F$3,IF(N26="Brutt",50,IF(N26="Disk",50,ROUND(MAXA(100*(MIN(N$10:N$83)/N26),50),0)))))</f>
        <v>60</v>
      </c>
      <c r="Q26" s="672"/>
      <c r="R26" s="672"/>
      <c r="S26" s="735" t="s">
        <v>149</v>
      </c>
      <c r="T26" s="736">
        <v>1.3508597883597883E-2</v>
      </c>
      <c r="U26" s="752">
        <v>66</v>
      </c>
      <c r="V26" s="781"/>
      <c r="W26" s="776" t="s">
        <v>66</v>
      </c>
      <c r="X26" s="740">
        <v>60</v>
      </c>
      <c r="AB26" s="828">
        <f t="shared" si="5"/>
        <v>71</v>
      </c>
      <c r="AC26" s="829">
        <f t="shared" si="4"/>
        <v>1</v>
      </c>
    </row>
    <row r="27" spans="2:29" ht="21" thickBot="1" x14ac:dyDescent="0.3">
      <c r="B27" s="16">
        <f t="shared" si="3"/>
        <v>18</v>
      </c>
      <c r="C27" s="106" t="s">
        <v>170</v>
      </c>
      <c r="D27" s="107" t="s">
        <v>171</v>
      </c>
      <c r="E27" s="599" t="str">
        <f t="shared" si="0"/>
        <v>ØisteinÅsmul</v>
      </c>
      <c r="F27" s="192">
        <f>YEAR(I$5)-_xlfn.XLOOKUP(E27,Deltakerliste!E$5:E$98,Deltakerliste!I$5:I$98)</f>
        <v>80</v>
      </c>
      <c r="G27" s="192">
        <f>_xlfn.XLOOKUP(E27,Deltakerliste!E$5:E$98,Deltakerliste!H$5:H$98)</f>
        <v>2</v>
      </c>
      <c r="H27" s="592">
        <f>VLOOKUP(F27,Deltakerliste!P$6:T$84,G27,FALSE)</f>
        <v>1.8550000000000002</v>
      </c>
      <c r="I27" s="132">
        <v>2.2280092592592591E-2</v>
      </c>
      <c r="J27" s="18"/>
      <c r="K27" s="18"/>
      <c r="L27" s="321">
        <f t="shared" si="1"/>
        <v>1.4853395061728393E-2</v>
      </c>
      <c r="M27" s="594">
        <f>IF(L27="Løype",Poengsammendrag!$F$2,IF(L27="Arr",Poengsammendrag!$F$3,IF(L27="Brutt",50,IF(L27="Disk",50,ROUND(MAXA(100*(MIN(L$10:L$83)/L27),50),0)))))</f>
        <v>60</v>
      </c>
      <c r="N27" s="595">
        <f t="shared" si="2"/>
        <v>8.0072210575355216E-3</v>
      </c>
      <c r="O27" s="596">
        <f>IF(N27="Løype",Poengsammendrag!$F$2,IF(N27="Arr",Poengsammendrag!$F$3,IF(N27="Brutt",50,IF(N27="Disk",50,ROUND(MAXA(100*(MIN(N$10:N$83)/N27),50),0)))))</f>
        <v>60</v>
      </c>
      <c r="Q27" s="672"/>
      <c r="R27" s="672"/>
      <c r="S27" s="735" t="s">
        <v>99</v>
      </c>
      <c r="T27" s="736">
        <v>1.359540343915344E-2</v>
      </c>
      <c r="U27" s="752">
        <v>66</v>
      </c>
      <c r="V27" s="781"/>
      <c r="W27" s="776" t="s">
        <v>170</v>
      </c>
      <c r="X27" s="740">
        <v>60</v>
      </c>
      <c r="AB27" s="828">
        <f t="shared" si="5"/>
        <v>72</v>
      </c>
      <c r="AC27" s="829">
        <f t="shared" si="4"/>
        <v>5</v>
      </c>
    </row>
    <row r="28" spans="2:29" ht="21" customHeight="1" thickBot="1" x14ac:dyDescent="0.3">
      <c r="B28" s="16">
        <f t="shared" si="3"/>
        <v>19</v>
      </c>
      <c r="C28" s="106" t="s">
        <v>251</v>
      </c>
      <c r="D28" s="107" t="s">
        <v>252</v>
      </c>
      <c r="E28" s="599" t="str">
        <f t="shared" si="0"/>
        <v>OttarKristiansen</v>
      </c>
      <c r="F28" s="192">
        <f>YEAR(I$5)-_xlfn.XLOOKUP(E28,Deltakerliste!E$5:E$98,Deltakerliste!I$5:I$98)</f>
        <v>76</v>
      </c>
      <c r="G28" s="192">
        <f>_xlfn.XLOOKUP(E28,Deltakerliste!E$5:E$98,Deltakerliste!H$5:H$98)</f>
        <v>2</v>
      </c>
      <c r="H28" s="592">
        <f>VLOOKUP(F28,Deltakerliste!P$6:T$84,G28,FALSE)</f>
        <v>1.655</v>
      </c>
      <c r="I28" s="86"/>
      <c r="J28" s="86">
        <v>3.8437499999999999E-2</v>
      </c>
      <c r="K28" s="17"/>
      <c r="L28" s="321">
        <f t="shared" si="1"/>
        <v>1.3727678571428573E-2</v>
      </c>
      <c r="M28" s="594">
        <f>IF(L28="Løype",Poengsammendrag!$F$2,IF(L28="Arr",Poengsammendrag!$F$3,IF(L28="Brutt",50,IF(L28="Disk",50,ROUND(MAXA(100*(MIN(L$10:L$83)/L28),50),0)))))</f>
        <v>65</v>
      </c>
      <c r="N28" s="595">
        <f t="shared" si="2"/>
        <v>8.2946698316788952E-3</v>
      </c>
      <c r="O28" s="596">
        <f>IF(N28="Løype",Poengsammendrag!$F$2,IF(N28="Arr",Poengsammendrag!$F$3,IF(N28="Brutt",50,IF(N28="Disk",50,ROUND(MAXA(100*(MIN(N$10:N$83)/N28),50),0)))))</f>
        <v>58</v>
      </c>
      <c r="Q28" s="672"/>
      <c r="R28" s="672"/>
      <c r="S28" s="735" t="s">
        <v>142</v>
      </c>
      <c r="T28" s="736">
        <v>1.3618827160493827E-2</v>
      </c>
      <c r="U28" s="752">
        <v>65</v>
      </c>
      <c r="V28" s="781"/>
      <c r="W28" s="776" t="s">
        <v>251</v>
      </c>
      <c r="X28" s="740">
        <v>58</v>
      </c>
      <c r="AB28" s="828">
        <f t="shared" si="5"/>
        <v>73</v>
      </c>
      <c r="AC28" s="829">
        <f t="shared" si="4"/>
        <v>3</v>
      </c>
    </row>
    <row r="29" spans="2:29" ht="21" thickBot="1" x14ac:dyDescent="0.3">
      <c r="B29" s="16">
        <f t="shared" si="3"/>
        <v>20</v>
      </c>
      <c r="C29" s="106" t="s">
        <v>122</v>
      </c>
      <c r="D29" s="107" t="s">
        <v>123</v>
      </c>
      <c r="E29" s="599" t="str">
        <f t="shared" si="0"/>
        <v>MartinMelhuus</v>
      </c>
      <c r="F29" s="192">
        <f>YEAR(I$5)-_xlfn.XLOOKUP(E29,Deltakerliste!E$5:E$98,Deltakerliste!I$5:I$98)</f>
        <v>81</v>
      </c>
      <c r="G29" s="192">
        <f>_xlfn.XLOOKUP(E29,Deltakerliste!E$5:E$98,Deltakerliste!H$5:H$98)</f>
        <v>2</v>
      </c>
      <c r="H29" s="592">
        <f>VLOOKUP(F29,Deltakerliste!P$6:T$84,G29,FALSE)</f>
        <v>1.9290000000000003</v>
      </c>
      <c r="I29" s="13">
        <v>2.4131944444444445E-2</v>
      </c>
      <c r="J29" s="13"/>
      <c r="K29" s="13"/>
      <c r="L29" s="321">
        <f t="shared" si="1"/>
        <v>1.6087962962962964E-2</v>
      </c>
      <c r="M29" s="594">
        <f>IF(L29="Løype",Poengsammendrag!$F$2,IF(L29="Arr",Poengsammendrag!$F$3,IF(L29="Brutt",50,IF(L29="Disk",50,ROUND(MAXA(100*(MIN(L$10:L$83)/L29),50),0)))))</f>
        <v>55</v>
      </c>
      <c r="N29" s="595">
        <f t="shared" si="2"/>
        <v>8.3400533763416072E-3</v>
      </c>
      <c r="O29" s="596">
        <f>IF(N29="Løype",Poengsammendrag!$F$2,IF(N29="Arr",Poengsammendrag!$F$3,IF(N29="Brutt",50,IF(N29="Disk",50,ROUND(MAXA(100*(MIN(N$10:N$83)/N29),50),0)))))</f>
        <v>58</v>
      </c>
      <c r="Q29" s="672"/>
      <c r="R29" s="672"/>
      <c r="S29" s="735" t="s">
        <v>114</v>
      </c>
      <c r="T29" s="736">
        <v>1.3653273809523811E-2</v>
      </c>
      <c r="U29" s="752">
        <v>65</v>
      </c>
      <c r="V29" s="781"/>
      <c r="W29" s="776" t="s">
        <v>122</v>
      </c>
      <c r="X29" s="740">
        <v>58</v>
      </c>
      <c r="AB29" s="828">
        <f t="shared" si="5"/>
        <v>74</v>
      </c>
      <c r="AC29" s="829">
        <f t="shared" si="4"/>
        <v>4</v>
      </c>
    </row>
    <row r="30" spans="2:29" ht="21" thickBot="1" x14ac:dyDescent="0.3">
      <c r="B30" s="16">
        <f t="shared" si="3"/>
        <v>21</v>
      </c>
      <c r="C30" s="106" t="s">
        <v>63</v>
      </c>
      <c r="D30" s="107" t="s">
        <v>336</v>
      </c>
      <c r="E30" s="599" t="str">
        <f t="shared" si="0"/>
        <v>ToreFornes</v>
      </c>
      <c r="F30" s="192">
        <f>YEAR(I$5)-_xlfn.XLOOKUP(E30,Deltakerliste!E$5:E$98,Deltakerliste!I$5:I$98)</f>
        <v>66</v>
      </c>
      <c r="G30" s="192">
        <f>_xlfn.XLOOKUP(E30,Deltakerliste!E$5:E$98,Deltakerliste!H$5:H$98)</f>
        <v>2</v>
      </c>
      <c r="H30" s="592">
        <f>VLOOKUP(F30,Deltakerliste!P$6:T$84,G30,FALSE)</f>
        <v>1.3209999999999997</v>
      </c>
      <c r="I30" s="86"/>
      <c r="J30" s="86">
        <v>3.0972222222222224E-2</v>
      </c>
      <c r="K30" s="13"/>
      <c r="L30" s="321">
        <f t="shared" si="1"/>
        <v>1.1061507936507937E-2</v>
      </c>
      <c r="M30" s="594">
        <f>IF(L30="Løype",Poengsammendrag!$F$2,IF(L30="Arr",Poengsammendrag!$F$3,IF(L30="Brutt",50,IF(L30="Disk",50,ROUND(MAXA(100*(MIN(L$10:L$83)/L30),50),0)))))</f>
        <v>81</v>
      </c>
      <c r="N30" s="595">
        <f t="shared" si="2"/>
        <v>8.3735866286963959E-3</v>
      </c>
      <c r="O30" s="596">
        <f>IF(N30="Løype",Poengsammendrag!$F$2,IF(N30="Arr",Poengsammendrag!$F$3,IF(N30="Brutt",50,IF(N30="Disk",50,ROUND(MAXA(100*(MIN(N$10:N$83)/N30),50),0)))))</f>
        <v>58</v>
      </c>
      <c r="Q30" s="672"/>
      <c r="R30" s="672"/>
      <c r="S30" s="735" t="s">
        <v>251</v>
      </c>
      <c r="T30" s="736">
        <v>1.3727678571428573E-2</v>
      </c>
      <c r="U30" s="752">
        <v>65</v>
      </c>
      <c r="V30" s="781"/>
      <c r="W30" s="776" t="s">
        <v>340</v>
      </c>
      <c r="X30" s="740">
        <v>58</v>
      </c>
      <c r="AB30" s="828">
        <f t="shared" si="5"/>
        <v>75</v>
      </c>
      <c r="AC30" s="829">
        <f t="shared" si="4"/>
        <v>1</v>
      </c>
    </row>
    <row r="31" spans="2:29" ht="21" customHeight="1" thickBot="1" x14ac:dyDescent="0.3">
      <c r="B31" s="16">
        <f t="shared" si="3"/>
        <v>22</v>
      </c>
      <c r="C31" s="106" t="s">
        <v>168</v>
      </c>
      <c r="D31" s="107" t="s">
        <v>169</v>
      </c>
      <c r="E31" s="599" t="str">
        <f t="shared" si="0"/>
        <v>SteinØvstedal</v>
      </c>
      <c r="F31" s="192">
        <f>YEAR(I$5)-_xlfn.XLOOKUP(E31,Deltakerliste!E$5:E$98,Deltakerliste!I$5:I$98)</f>
        <v>74</v>
      </c>
      <c r="G31" s="192">
        <f>_xlfn.XLOOKUP(E31,Deltakerliste!E$5:E$98,Deltakerliste!H$5:H$98)</f>
        <v>2</v>
      </c>
      <c r="H31" s="592">
        <f>VLOOKUP(F31,Deltakerliste!P$6:T$84,G31,FALSE)</f>
        <v>1.569</v>
      </c>
      <c r="I31" s="18"/>
      <c r="J31" s="132">
        <v>3.6828703703703704E-2</v>
      </c>
      <c r="K31" s="18"/>
      <c r="L31" s="321">
        <f t="shared" si="1"/>
        <v>1.3153108465608467E-2</v>
      </c>
      <c r="M31" s="594">
        <f>IF(L31="Løype",Poengsammendrag!$F$2,IF(L31="Arr",Poengsammendrag!$F$3,IF(L31="Brutt",50,IF(L31="Disk",50,ROUND(MAXA(100*(MIN(L$10:L$83)/L31),50),0)))))</f>
        <v>68</v>
      </c>
      <c r="N31" s="595">
        <f t="shared" si="2"/>
        <v>8.3831156568568935E-3</v>
      </c>
      <c r="O31" s="596">
        <f>IF(N31="Løype",Poengsammendrag!$F$2,IF(N31="Arr",Poengsammendrag!$F$3,IF(N31="Brutt",50,IF(N31="Disk",50,ROUND(MAXA(100*(MIN(N$10:N$83)/N31),50),0)))))</f>
        <v>58</v>
      </c>
      <c r="Q31" s="672"/>
      <c r="R31" s="672"/>
      <c r="S31" s="735" t="s">
        <v>72</v>
      </c>
      <c r="T31" s="736">
        <v>1.4112103174603177E-2</v>
      </c>
      <c r="U31" s="752">
        <v>63</v>
      </c>
      <c r="V31" s="781"/>
      <c r="W31" s="776" t="s">
        <v>168</v>
      </c>
      <c r="X31" s="740">
        <v>58</v>
      </c>
      <c r="AB31" s="828">
        <f t="shared" si="5"/>
        <v>76</v>
      </c>
      <c r="AC31" s="829">
        <f t="shared" si="4"/>
        <v>3</v>
      </c>
    </row>
    <row r="32" spans="2:29" ht="21" customHeight="1" thickBot="1" x14ac:dyDescent="0.3">
      <c r="B32" s="16">
        <f t="shared" si="3"/>
        <v>23</v>
      </c>
      <c r="C32" s="106" t="s">
        <v>161</v>
      </c>
      <c r="D32" s="107" t="s">
        <v>162</v>
      </c>
      <c r="E32" s="599" t="str">
        <f t="shared" si="0"/>
        <v>Nils OlavVennevik</v>
      </c>
      <c r="F32" s="192">
        <f>YEAR(I$5)-_xlfn.XLOOKUP(E32,Deltakerliste!E$5:E$98,Deltakerliste!I$5:I$98)</f>
        <v>77</v>
      </c>
      <c r="G32" s="192">
        <f>_xlfn.XLOOKUP(E32,Deltakerliste!E$5:E$98,Deltakerliste!H$5:H$98)</f>
        <v>2</v>
      </c>
      <c r="H32" s="592">
        <f>VLOOKUP(F32,Deltakerliste!P$6:T$84,G32,FALSE)</f>
        <v>1.7050000000000001</v>
      </c>
      <c r="I32" s="132">
        <v>2.1805555555555557E-2</v>
      </c>
      <c r="J32" s="18"/>
      <c r="K32" s="18"/>
      <c r="L32" s="321">
        <f t="shared" si="1"/>
        <v>1.4537037037037038E-2</v>
      </c>
      <c r="M32" s="594">
        <f>IF(L32="Løype",Poengsammendrag!$F$2,IF(L32="Arr",Poengsammendrag!$F$3,IF(L32="Brutt",50,IF(L32="Disk",50,ROUND(MAXA(100*(MIN(L$10:L$83)/L32),50),0)))))</f>
        <v>61</v>
      </c>
      <c r="N32" s="595">
        <f t="shared" si="2"/>
        <v>8.5261214293472359E-3</v>
      </c>
      <c r="O32" s="596">
        <f>IF(N32="Løype",Poengsammendrag!$F$2,IF(N32="Arr",Poengsammendrag!$F$3,IF(N32="Brutt",50,IF(N32="Disk",50,ROUND(MAXA(100*(MIN(N$10:N$83)/N32),50),0)))))</f>
        <v>57</v>
      </c>
      <c r="S32" s="735" t="s">
        <v>340</v>
      </c>
      <c r="T32" s="736">
        <v>1.4451058201058202E-2</v>
      </c>
      <c r="U32" s="752">
        <v>62</v>
      </c>
      <c r="V32" s="781"/>
      <c r="W32" s="776" t="s">
        <v>161</v>
      </c>
      <c r="X32" s="740">
        <v>57</v>
      </c>
      <c r="AB32" s="828">
        <f t="shared" si="5"/>
        <v>77</v>
      </c>
      <c r="AC32" s="829">
        <f t="shared" si="4"/>
        <v>1</v>
      </c>
    </row>
    <row r="33" spans="2:29" ht="21" customHeight="1" thickBot="1" x14ac:dyDescent="0.3">
      <c r="B33" s="16">
        <f t="shared" si="3"/>
        <v>24</v>
      </c>
      <c r="C33" s="106" t="s">
        <v>124</v>
      </c>
      <c r="D33" s="107" t="s">
        <v>125</v>
      </c>
      <c r="E33" s="599" t="str">
        <f t="shared" si="0"/>
        <v>Heidi Midttun</v>
      </c>
      <c r="F33" s="192">
        <f>YEAR(I$5)-_xlfn.XLOOKUP(E33,Deltakerliste!E$5:E$98,Deltakerliste!I$5:I$98)</f>
        <v>70</v>
      </c>
      <c r="G33" s="192">
        <f>_xlfn.XLOOKUP(E33,Deltakerliste!E$5:E$98,Deltakerliste!H$5:H$98)</f>
        <v>4</v>
      </c>
      <c r="H33" s="592">
        <f>VLOOKUP(F33,Deltakerliste!P$6:T$84,G33,FALSE)</f>
        <v>1.9490000000000012</v>
      </c>
      <c r="I33" s="13">
        <v>2.5162037037037038E-2</v>
      </c>
      <c r="J33" s="13"/>
      <c r="K33" s="13"/>
      <c r="L33" s="321">
        <f t="shared" si="1"/>
        <v>1.6774691358024691E-2</v>
      </c>
      <c r="M33" s="594">
        <f>IF(L33="Løype",Poengsammendrag!$F$2,IF(L33="Arr",Poengsammendrag!$F$3,IF(L33="Brutt",50,IF(L33="Disk",50,ROUND(MAXA(100*(MIN(L$10:L$83)/L33),50),0)))))</f>
        <v>53</v>
      </c>
      <c r="N33" s="595">
        <f t="shared" si="2"/>
        <v>8.6068195782579172E-3</v>
      </c>
      <c r="O33" s="596">
        <f>IF(N33="Løype",Poengsammendrag!$F$2,IF(N33="Arr",Poengsammendrag!$F$3,IF(N33="Brutt",50,IF(N33="Disk",50,ROUND(MAXA(100*(MIN(N$10:N$83)/N33),50),0)))))</f>
        <v>56</v>
      </c>
      <c r="S33" s="735" t="s">
        <v>161</v>
      </c>
      <c r="T33" s="736">
        <v>1.4537037037037038E-2</v>
      </c>
      <c r="U33" s="752">
        <v>61</v>
      </c>
      <c r="V33" s="781"/>
      <c r="W33" s="776" t="s">
        <v>124</v>
      </c>
      <c r="X33" s="740">
        <v>56</v>
      </c>
      <c r="AB33" s="828">
        <f t="shared" si="5"/>
        <v>78</v>
      </c>
      <c r="AC33" s="829">
        <f t="shared" si="4"/>
        <v>1</v>
      </c>
    </row>
    <row r="34" spans="2:29" ht="21" customHeight="1" thickBot="1" x14ac:dyDescent="0.3">
      <c r="B34" s="16">
        <f t="shared" si="3"/>
        <v>25</v>
      </c>
      <c r="C34" s="106" t="s">
        <v>163</v>
      </c>
      <c r="D34" s="107" t="s">
        <v>164</v>
      </c>
      <c r="E34" s="599" t="str">
        <f t="shared" si="0"/>
        <v>ArnulfVilmo</v>
      </c>
      <c r="F34" s="192">
        <f>YEAR(I$5)-_xlfn.XLOOKUP(E34,Deltakerliste!E$5:E$98,Deltakerliste!I$5:I$98)</f>
        <v>72</v>
      </c>
      <c r="G34" s="192">
        <f>_xlfn.XLOOKUP(E34,Deltakerliste!E$5:E$98,Deltakerliste!H$5:H$98)</f>
        <v>2</v>
      </c>
      <c r="H34" s="592">
        <f>VLOOKUP(F34,Deltakerliste!P$6:T$84,G34,FALSE)</f>
        <v>1.4969999999999999</v>
      </c>
      <c r="I34" s="18"/>
      <c r="J34" s="132">
        <v>3.6736111111111108E-2</v>
      </c>
      <c r="K34" s="18"/>
      <c r="L34" s="321">
        <f t="shared" si="1"/>
        <v>1.3120039682539683E-2</v>
      </c>
      <c r="M34" s="594">
        <f>IF(L34="Løype",Poengsammendrag!$F$2,IF(L34="Arr",Poengsammendrag!$F$3,IF(L34="Brutt",50,IF(L34="Disk",50,ROUND(MAXA(100*(MIN(L$10:L$83)/L34),50),0)))))</f>
        <v>68</v>
      </c>
      <c r="N34" s="595">
        <f t="shared" si="2"/>
        <v>8.7642215648227675E-3</v>
      </c>
      <c r="O34" s="596">
        <f>IF(N34="Løype",Poengsammendrag!$F$2,IF(N34="Arr",Poengsammendrag!$F$3,IF(N34="Brutt",50,IF(N34="Disk",50,ROUND(MAXA(100*(MIN(N$10:N$83)/N34),50),0)))))</f>
        <v>55</v>
      </c>
      <c r="S34" s="735" t="s">
        <v>170</v>
      </c>
      <c r="T34" s="736">
        <v>1.4853395061728393E-2</v>
      </c>
      <c r="U34" s="752">
        <v>60</v>
      </c>
      <c r="V34" s="781"/>
      <c r="W34" s="776" t="s">
        <v>163</v>
      </c>
      <c r="X34" s="740">
        <v>55</v>
      </c>
      <c r="AB34" s="828">
        <f t="shared" si="5"/>
        <v>79</v>
      </c>
      <c r="AC34" s="829">
        <f t="shared" si="4"/>
        <v>2</v>
      </c>
    </row>
    <row r="35" spans="2:29" ht="21" customHeight="1" thickBot="1" x14ac:dyDescent="0.3">
      <c r="B35" s="16">
        <f t="shared" si="3"/>
        <v>26</v>
      </c>
      <c r="C35" s="106" t="s">
        <v>72</v>
      </c>
      <c r="D35" s="107" t="s">
        <v>73</v>
      </c>
      <c r="E35" s="599" t="str">
        <f t="shared" si="0"/>
        <v>KåreEggereide</v>
      </c>
      <c r="F35" s="192">
        <f>YEAR(I$5)-_xlfn.XLOOKUP(E35,Deltakerliste!E$5:E$98,Deltakerliste!I$5:I$98)</f>
        <v>74</v>
      </c>
      <c r="G35" s="192">
        <f>_xlfn.XLOOKUP(E35,Deltakerliste!E$5:E$98,Deltakerliste!H$5:H$98)</f>
        <v>2</v>
      </c>
      <c r="H35" s="592">
        <f>VLOOKUP(F35,Deltakerliste!P$6:T$84,G35,FALSE)</f>
        <v>1.569</v>
      </c>
      <c r="I35" s="593"/>
      <c r="J35" s="13">
        <v>3.951388888888889E-2</v>
      </c>
      <c r="K35" s="13"/>
      <c r="L35" s="321">
        <f t="shared" si="1"/>
        <v>1.4112103174603177E-2</v>
      </c>
      <c r="M35" s="594">
        <f>IF(L35="Løype",Poengsammendrag!$F$2,IF(L35="Arr",Poengsammendrag!$F$3,IF(L35="Brutt",50,IF(L35="Disk",50,ROUND(MAXA(100*(MIN(L$10:L$83)/L35),50),0)))))</f>
        <v>63</v>
      </c>
      <c r="N35" s="595">
        <f t="shared" si="2"/>
        <v>8.9943296205246513E-3</v>
      </c>
      <c r="O35" s="596">
        <f>IF(N35="Løype",Poengsammendrag!$F$2,IF(N35="Arr",Poengsammendrag!$F$3,IF(N35="Brutt",50,IF(N35="Disk",50,ROUND(MAXA(100*(MIN(N$10:N$83)/N35),50),0)))))</f>
        <v>54</v>
      </c>
      <c r="S35" s="735" t="s">
        <v>159</v>
      </c>
      <c r="T35" s="736">
        <v>1.5285493827160495E-2</v>
      </c>
      <c r="U35" s="752">
        <v>58</v>
      </c>
      <c r="V35" s="781"/>
      <c r="W35" s="776" t="s">
        <v>72</v>
      </c>
      <c r="X35" s="740">
        <v>54</v>
      </c>
      <c r="AB35" s="828">
        <f t="shared" si="5"/>
        <v>80</v>
      </c>
      <c r="AC35" s="829">
        <f t="shared" si="4"/>
        <v>2</v>
      </c>
    </row>
    <row r="36" spans="2:29" ht="21" thickBot="1" x14ac:dyDescent="0.3">
      <c r="B36" s="16">
        <f t="shared" si="3"/>
        <v>27</v>
      </c>
      <c r="C36" s="106" t="s">
        <v>309</v>
      </c>
      <c r="D36" s="107" t="s">
        <v>310</v>
      </c>
      <c r="E36" s="599" t="str">
        <f t="shared" si="0"/>
        <v>VigdisHeimly</v>
      </c>
      <c r="F36" s="192">
        <f>YEAR(I$5)-_xlfn.XLOOKUP(E36,Deltakerliste!E$5:E$98,Deltakerliste!I$5:I$98)</f>
        <v>66</v>
      </c>
      <c r="G36" s="192">
        <f>_xlfn.XLOOKUP(E36,Deltakerliste!E$5:E$98,Deltakerliste!H$5:H$98)</f>
        <v>4</v>
      </c>
      <c r="H36" s="592">
        <f>VLOOKUP(F36,Deltakerliste!P$6:T$84,G36,FALSE)</f>
        <v>1.8066000000000009</v>
      </c>
      <c r="I36" s="86">
        <v>2.5972222222222223E-2</v>
      </c>
      <c r="J36" s="86"/>
      <c r="K36" s="17"/>
      <c r="L36" s="321">
        <f t="shared" si="1"/>
        <v>1.7314814814814814E-2</v>
      </c>
      <c r="M36" s="594">
        <f>IF(L36="Løype",Poengsammendrag!$F$2,IF(L36="Arr",Poengsammendrag!$F$3,IF(L36="Brutt",50,IF(L36="Disk",50,ROUND(MAXA(100*(MIN(L$10:L$83)/L36),50),0)))))</f>
        <v>52</v>
      </c>
      <c r="N36" s="595">
        <f t="shared" si="2"/>
        <v>9.5841994989564958E-3</v>
      </c>
      <c r="O36" s="596">
        <f>IF(N36="Løype",Poengsammendrag!$F$2,IF(N36="Arr",Poengsammendrag!$F$3,IF(N36="Brutt",50,IF(N36="Disk",50,ROUND(MAXA(100*(MIN(N$10:N$83)/N36),50),0)))))</f>
        <v>50</v>
      </c>
      <c r="S36" s="735" t="s">
        <v>122</v>
      </c>
      <c r="T36" s="736">
        <v>1.6087962962962964E-2</v>
      </c>
      <c r="U36" s="752">
        <v>55</v>
      </c>
      <c r="V36" s="781"/>
      <c r="W36" s="776" t="s">
        <v>309</v>
      </c>
      <c r="X36" s="740">
        <v>50</v>
      </c>
      <c r="AB36" s="828">
        <f t="shared" si="5"/>
        <v>81</v>
      </c>
      <c r="AC36" s="829">
        <f t="shared" si="4"/>
        <v>2</v>
      </c>
    </row>
    <row r="37" spans="2:29" ht="21" customHeight="1" thickBot="1" x14ac:dyDescent="0.3">
      <c r="B37" s="16">
        <f t="shared" si="3"/>
        <v>28</v>
      </c>
      <c r="C37" s="106" t="s">
        <v>63</v>
      </c>
      <c r="D37" s="107" t="s">
        <v>98</v>
      </c>
      <c r="E37" s="599" t="str">
        <f t="shared" si="0"/>
        <v>ToreHeggem</v>
      </c>
      <c r="F37" s="192">
        <f>YEAR(I$5)-_xlfn.XLOOKUP(E37,Deltakerliste!E$5:E$98,Deltakerliste!I$5:I$98)</f>
        <v>72</v>
      </c>
      <c r="G37" s="192">
        <f>_xlfn.XLOOKUP(E37,Deltakerliste!E$5:E$98,Deltakerliste!H$5:H$98)</f>
        <v>2</v>
      </c>
      <c r="H37" s="592">
        <f>VLOOKUP(F37,Deltakerliste!P$6:T$84,G37,FALSE)</f>
        <v>1.4969999999999999</v>
      </c>
      <c r="I37" s="86"/>
      <c r="J37" s="86">
        <v>4.0462962962962964E-2</v>
      </c>
      <c r="K37" s="13"/>
      <c r="L37" s="321">
        <f t="shared" si="1"/>
        <v>1.4451058201058202E-2</v>
      </c>
      <c r="M37" s="594">
        <f>IF(L37="Løype",Poengsammendrag!$F$2,IF(L37="Arr",Poengsammendrag!$F$3,IF(L37="Brutt",50,IF(L37="Disk",50,ROUND(MAXA(100*(MIN(L$10:L$83)/L37),50),0)))))</f>
        <v>62</v>
      </c>
      <c r="N37" s="595">
        <f t="shared" si="2"/>
        <v>9.6533454916888466E-3</v>
      </c>
      <c r="O37" s="596">
        <f>IF(N37="Løype",Poengsammendrag!$F$2,IF(N37="Arr",Poengsammendrag!$F$3,IF(N37="Brutt",50,IF(N37="Disk",50,ROUND(MAXA(100*(MIN(N$10:N$83)/N37),50),0)))))</f>
        <v>50</v>
      </c>
      <c r="S37" s="735" t="s">
        <v>299</v>
      </c>
      <c r="T37" s="736">
        <v>1.6137566137566138E-2</v>
      </c>
      <c r="U37" s="752">
        <v>55</v>
      </c>
      <c r="V37" s="781"/>
      <c r="W37" s="776" t="s">
        <v>340</v>
      </c>
      <c r="X37" s="740">
        <v>50</v>
      </c>
      <c r="AB37" s="828">
        <f t="shared" si="5"/>
        <v>82</v>
      </c>
      <c r="AC37" s="829">
        <f t="shared" si="4"/>
        <v>2</v>
      </c>
    </row>
    <row r="38" spans="2:29" ht="21" customHeight="1" thickBot="1" x14ac:dyDescent="0.3">
      <c r="B38" s="16">
        <f t="shared" si="3"/>
        <v>29</v>
      </c>
      <c r="C38" s="106" t="s">
        <v>99</v>
      </c>
      <c r="D38" s="107" t="s">
        <v>100</v>
      </c>
      <c r="E38" s="599" t="str">
        <f t="shared" si="0"/>
        <v>RobertHirsch</v>
      </c>
      <c r="F38" s="192">
        <f>YEAR(I$5)-_xlfn.XLOOKUP(E38,Deltakerliste!E$5:E$98,Deltakerliste!I$5:I$98)</f>
        <v>68</v>
      </c>
      <c r="G38" s="192">
        <f>_xlfn.XLOOKUP(E38,Deltakerliste!E$5:E$98,Deltakerliste!H$5:H$98)</f>
        <v>2</v>
      </c>
      <c r="H38" s="592">
        <f>VLOOKUP(F38,Deltakerliste!P$6:T$84,G38,FALSE)</f>
        <v>1.3729999999999998</v>
      </c>
      <c r="I38" s="86"/>
      <c r="J38" s="86">
        <v>3.8067129629629631E-2</v>
      </c>
      <c r="K38" s="13"/>
      <c r="L38" s="321">
        <f t="shared" si="1"/>
        <v>1.359540343915344E-2</v>
      </c>
      <c r="M38" s="594">
        <f>IF(L38="Løype",Poengsammendrag!$F$2,IF(L38="Arr",Poengsammendrag!$F$3,IF(L38="Brutt",50,IF(L38="Disk",50,ROUND(MAXA(100*(MIN(L$10:L$83)/L38),50),0)))))</f>
        <v>66</v>
      </c>
      <c r="N38" s="595">
        <f t="shared" si="2"/>
        <v>9.9019690015684208E-3</v>
      </c>
      <c r="O38" s="596">
        <f>IF(N38="Løype",Poengsammendrag!$F$2,IF(N38="Arr",Poengsammendrag!$F$3,IF(N38="Brutt",50,IF(N38="Disk",50,ROUND(MAXA(100*(MIN(N$10:N$83)/N38),50),0)))))</f>
        <v>50</v>
      </c>
      <c r="S38" s="735" t="s">
        <v>124</v>
      </c>
      <c r="T38" s="736">
        <v>1.6774691358024691E-2</v>
      </c>
      <c r="U38" s="752">
        <v>53</v>
      </c>
      <c r="V38" s="781"/>
      <c r="W38" s="776" t="s">
        <v>99</v>
      </c>
      <c r="X38" s="740">
        <v>50</v>
      </c>
      <c r="AB38" s="828">
        <f t="shared" si="5"/>
        <v>83</v>
      </c>
      <c r="AC38" s="829">
        <f t="shared" si="4"/>
        <v>1</v>
      </c>
    </row>
    <row r="39" spans="2:29" ht="21" customHeight="1" thickBot="1" x14ac:dyDescent="0.3">
      <c r="B39" s="16">
        <f t="shared" si="3"/>
        <v>30</v>
      </c>
      <c r="C39" s="106" t="s">
        <v>299</v>
      </c>
      <c r="D39" s="107" t="s">
        <v>300</v>
      </c>
      <c r="E39" s="599" t="str">
        <f t="shared" si="0"/>
        <v>OlavKvittem</v>
      </c>
      <c r="F39" s="192">
        <f>YEAR(I$5)-_xlfn.XLOOKUP(E39,Deltakerliste!E$5:E$98,Deltakerliste!I$5:I$98)</f>
        <v>70</v>
      </c>
      <c r="G39" s="192">
        <f>_xlfn.XLOOKUP(E39,Deltakerliste!E$5:E$98,Deltakerliste!H$5:H$98)</f>
        <v>2</v>
      </c>
      <c r="H39" s="592">
        <f>VLOOKUP(F39,Deltakerliste!P$6:T$84,G39,FALSE)</f>
        <v>1.4249999999999998</v>
      </c>
      <c r="I39" s="86"/>
      <c r="J39" s="86">
        <v>4.5185185185185182E-2</v>
      </c>
      <c r="K39" s="13"/>
      <c r="L39" s="321">
        <f t="shared" si="1"/>
        <v>1.6137566137566138E-2</v>
      </c>
      <c r="M39" s="594">
        <f>IF(L39="Løype",Poengsammendrag!$F$2,IF(L39="Arr",Poengsammendrag!$F$3,IF(L39="Brutt",50,IF(L39="Disk",50,ROUND(MAXA(100*(MIN(L$10:L$83)/L39),50),0)))))</f>
        <v>55</v>
      </c>
      <c r="N39" s="595">
        <f t="shared" si="2"/>
        <v>1.1324607815835887E-2</v>
      </c>
      <c r="O39" s="596">
        <f>IF(N39="Løype",Poengsammendrag!$F$2,IF(N39="Arr",Poengsammendrag!$F$3,IF(N39="Brutt",50,IF(N39="Disk",50,ROUND(MAXA(100*(MIN(N$10:N$83)/N39),50),0)))))</f>
        <v>50</v>
      </c>
      <c r="S39" s="735" t="s">
        <v>263</v>
      </c>
      <c r="T39" s="736">
        <v>1.699074074074074E-2</v>
      </c>
      <c r="U39" s="752">
        <v>53</v>
      </c>
      <c r="V39" s="781"/>
      <c r="W39" s="776" t="s">
        <v>299</v>
      </c>
      <c r="X39" s="740">
        <v>50</v>
      </c>
      <c r="AB39" s="828">
        <f t="shared" si="5"/>
        <v>84</v>
      </c>
      <c r="AC39" s="829">
        <f t="shared" si="4"/>
        <v>1</v>
      </c>
    </row>
    <row r="40" spans="2:29" ht="21" thickBot="1" x14ac:dyDescent="0.3">
      <c r="B40" s="16">
        <f t="shared" si="3"/>
        <v>31</v>
      </c>
      <c r="C40" s="106" t="s">
        <v>263</v>
      </c>
      <c r="D40" s="107" t="s">
        <v>264</v>
      </c>
      <c r="E40" s="599" t="str">
        <f t="shared" si="0"/>
        <v>RuneHolt</v>
      </c>
      <c r="F40" s="192">
        <f>YEAR(I$5)-_xlfn.XLOOKUP(E40,Deltakerliste!E$5:E$98,Deltakerliste!I$5:I$98)</f>
        <v>72</v>
      </c>
      <c r="G40" s="192">
        <f>_xlfn.XLOOKUP(E40,Deltakerliste!E$5:E$98,Deltakerliste!H$5:H$98)</f>
        <v>2</v>
      </c>
      <c r="H40" s="592">
        <f>VLOOKUP(F40,Deltakerliste!P$6:T$84,G40,FALSE)</f>
        <v>1.4969999999999999</v>
      </c>
      <c r="I40" s="86">
        <v>2.5486111111111112E-2</v>
      </c>
      <c r="J40" s="86"/>
      <c r="K40" s="17"/>
      <c r="L40" s="321">
        <f t="shared" si="1"/>
        <v>1.699074074074074E-2</v>
      </c>
      <c r="M40" s="594">
        <f>IF(L40="Løype",Poengsammendrag!$F$2,IF(L40="Arr",Poengsammendrag!$F$3,IF(L40="Brutt",50,IF(L40="Disk",50,ROUND(MAXA(100*(MIN(L$10:L$83)/L40),50),0)))))</f>
        <v>53</v>
      </c>
      <c r="N40" s="595">
        <f t="shared" si="2"/>
        <v>1.1349860214255672E-2</v>
      </c>
      <c r="O40" s="596">
        <f>IF(N40="Løype",Poengsammendrag!$F$2,IF(N40="Arr",Poengsammendrag!$F$3,IF(N40="Brutt",50,IF(N40="Disk",50,ROUND(MAXA(100*(MIN(N$10:N$83)/N40),50),0)))))</f>
        <v>50</v>
      </c>
      <c r="S40" s="735" t="s">
        <v>309</v>
      </c>
      <c r="T40" s="736">
        <v>1.7314814814814814E-2</v>
      </c>
      <c r="U40" s="752">
        <v>52</v>
      </c>
      <c r="V40" s="781"/>
      <c r="W40" s="776" t="s">
        <v>263</v>
      </c>
      <c r="X40" s="740">
        <v>50</v>
      </c>
      <c r="AB40" s="828">
        <f t="shared" si="5"/>
        <v>85</v>
      </c>
      <c r="AC40" s="829">
        <f t="shared" si="4"/>
        <v>1</v>
      </c>
    </row>
    <row r="41" spans="2:29" ht="21" thickBot="1" x14ac:dyDescent="0.3">
      <c r="B41" s="16">
        <f t="shared" si="3"/>
        <v>32</v>
      </c>
      <c r="C41" s="106" t="s">
        <v>108</v>
      </c>
      <c r="D41" s="107" t="s">
        <v>109</v>
      </c>
      <c r="E41" s="599" t="str">
        <f t="shared" si="0"/>
        <v>Finn FayeKnudsen</v>
      </c>
      <c r="F41" s="192">
        <f>YEAR(I$5)-_xlfn.XLOOKUP(E41,Deltakerliste!E$5:E$98,Deltakerliste!I$5:I$98)</f>
        <v>83</v>
      </c>
      <c r="G41" s="192">
        <f>_xlfn.XLOOKUP(E41,Deltakerliste!E$5:E$98,Deltakerliste!H$5:H$98)</f>
        <v>2</v>
      </c>
      <c r="H41" s="592">
        <f>VLOOKUP(F41,Deltakerliste!P$6:T$84,G41,FALSE)</f>
        <v>2.077</v>
      </c>
      <c r="I41" s="86">
        <v>4.0706018518518516E-2</v>
      </c>
      <c r="J41" s="86"/>
      <c r="K41" s="13"/>
      <c r="L41" s="321">
        <f t="shared" si="1"/>
        <v>2.7137345679012343E-2</v>
      </c>
      <c r="M41" s="594">
        <f>IF(L41="Løype",Poengsammendrag!$F$2,IF(L41="Arr",Poengsammendrag!$F$3,IF(L41="Brutt",50,IF(L41="Disk",50,ROUND(MAXA(100*(MIN(L$10:L$83)/L41),50),0)))))</f>
        <v>50</v>
      </c>
      <c r="N41" s="595">
        <f t="shared" si="2"/>
        <v>1.3065645488210084E-2</v>
      </c>
      <c r="O41" s="596">
        <f>IF(N41="Løype",Poengsammendrag!$F$2,IF(N41="Arr",Poengsammendrag!$F$3,IF(N41="Brutt",50,IF(N41="Disk",50,ROUND(MAXA(100*(MIN(N$10:N$83)/N41),50),0)))))</f>
        <v>50</v>
      </c>
      <c r="S41" s="735" t="s">
        <v>108</v>
      </c>
      <c r="T41" s="736">
        <v>2.7137345679012343E-2</v>
      </c>
      <c r="U41" s="752">
        <v>50</v>
      </c>
      <c r="V41" s="781"/>
      <c r="W41" s="776" t="s">
        <v>108</v>
      </c>
      <c r="X41" s="740">
        <v>50</v>
      </c>
      <c r="AB41" s="828">
        <f t="shared" si="5"/>
        <v>86</v>
      </c>
      <c r="AC41" s="829">
        <f t="shared" si="4"/>
        <v>3</v>
      </c>
    </row>
    <row r="42" spans="2:29" ht="21" customHeight="1" thickBot="1" x14ac:dyDescent="0.3">
      <c r="B42" s="16">
        <f t="shared" si="3"/>
        <v>33</v>
      </c>
      <c r="C42" s="106" t="s">
        <v>78</v>
      </c>
      <c r="D42" s="107" t="s">
        <v>79</v>
      </c>
      <c r="E42" s="599" t="str">
        <f t="shared" ref="E42:E73" si="6">_xlfn.CONCAT(C42:D42)</f>
        <v>LeifEngen</v>
      </c>
      <c r="F42" s="192">
        <f>YEAR(I$5)-_xlfn.XLOOKUP(E42,Deltakerliste!E$5:E$98,Deltakerliste!I$5:I$98)</f>
        <v>84</v>
      </c>
      <c r="G42" s="192">
        <f>_xlfn.XLOOKUP(E42,Deltakerliste!E$5:E$98,Deltakerliste!H$5:H$98)</f>
        <v>2</v>
      </c>
      <c r="H42" s="592">
        <f>VLOOKUP(F42,Deltakerliste!P$6:T$84,G42,FALSE)</f>
        <v>2.1509999999999998</v>
      </c>
      <c r="I42" s="593"/>
      <c r="J42" s="86" t="s">
        <v>7</v>
      </c>
      <c r="K42" s="13"/>
      <c r="L42" s="321" t="str">
        <f t="shared" si="1"/>
        <v>Arr</v>
      </c>
      <c r="M42" s="594">
        <f>IF(L42="Løype",Poengsammendrag!$F$2,IF(L42="Arr",Poengsammendrag!$F$3,IF(L42="Brutt",50,IF(L42="Disk",50,ROUND(MAXA(100*(MIN(L$10:L$83)/L42),50),0)))))</f>
        <v>94</v>
      </c>
      <c r="N42" s="595" t="str">
        <f t="shared" si="2"/>
        <v>Arr</v>
      </c>
      <c r="O42" s="596">
        <f>IF(N42="Løype",Poengsammendrag!$F$2,IF(N42="Arr",Poengsammendrag!$F$3,IF(N42="Brutt",50,IF(N42="Disk",50,ROUND(MAXA(100*(MIN(N$10:N$83)/N42),50),0)))))</f>
        <v>94</v>
      </c>
      <c r="S42" s="763" t="s">
        <v>338</v>
      </c>
      <c r="T42" s="764" t="s">
        <v>7</v>
      </c>
      <c r="U42" s="765">
        <v>94</v>
      </c>
      <c r="V42" s="782"/>
      <c r="W42" s="777" t="s">
        <v>78</v>
      </c>
      <c r="X42" s="762">
        <v>94</v>
      </c>
      <c r="AB42" s="828">
        <f t="shared" si="5"/>
        <v>87</v>
      </c>
      <c r="AC42" s="829">
        <f t="shared" si="4"/>
        <v>0</v>
      </c>
    </row>
    <row r="43" spans="2:29" ht="21" thickBot="1" x14ac:dyDescent="0.3">
      <c r="B43" s="16">
        <f t="shared" si="3"/>
        <v>34</v>
      </c>
      <c r="C43" s="106" t="s">
        <v>63</v>
      </c>
      <c r="D43" s="107" t="s">
        <v>105</v>
      </c>
      <c r="E43" s="599" t="str">
        <f t="shared" si="6"/>
        <v>ToreKiste</v>
      </c>
      <c r="F43" s="192">
        <f>YEAR(I$5)-_xlfn.XLOOKUP(E43,Deltakerliste!E$5:E$98,Deltakerliste!I$5:I$98)</f>
        <v>80</v>
      </c>
      <c r="G43" s="192">
        <f>_xlfn.XLOOKUP(E43,Deltakerliste!E$5:E$98,Deltakerliste!H$5:H$98)</f>
        <v>2</v>
      </c>
      <c r="H43" s="592">
        <f>VLOOKUP(F43,Deltakerliste!P$6:T$84,G43,FALSE)</f>
        <v>1.8550000000000002</v>
      </c>
      <c r="I43" s="86"/>
      <c r="J43" s="86" t="s">
        <v>7</v>
      </c>
      <c r="K43" s="13"/>
      <c r="L43" s="321" t="str">
        <f t="shared" si="1"/>
        <v>Arr</v>
      </c>
      <c r="M43" s="594">
        <f>IF(L43="Løype",Poengsammendrag!$F$2,IF(L43="Arr",Poengsammendrag!$F$3,IF(L43="Brutt",50,IF(L43="Disk",50,ROUND(MAXA(100*(MIN(L$10:L$83)/L43),50),0)))))</f>
        <v>94</v>
      </c>
      <c r="N43" s="595" t="str">
        <f t="shared" si="2"/>
        <v>Arr</v>
      </c>
      <c r="O43" s="596">
        <f>IF(N43="Løype",Poengsammendrag!$F$2,IF(N43="Arr",Poengsammendrag!$F$3,IF(N43="Brutt",50,IF(N43="Disk",50,ROUND(MAXA(100*(MIN(N$10:N$83)/N43),50),0)))))</f>
        <v>94</v>
      </c>
      <c r="S43" s="766" t="s">
        <v>339</v>
      </c>
      <c r="T43" s="768" t="s">
        <v>7</v>
      </c>
      <c r="U43" s="770">
        <v>94</v>
      </c>
      <c r="V43" s="778"/>
      <c r="W43" s="783" t="s">
        <v>339</v>
      </c>
      <c r="X43" s="740">
        <v>94</v>
      </c>
      <c r="AB43" s="828">
        <f t="shared" si="5"/>
        <v>88</v>
      </c>
      <c r="AC43" s="829">
        <f t="shared" si="4"/>
        <v>0</v>
      </c>
    </row>
    <row r="44" spans="2:29" ht="21" customHeight="1" thickBot="1" x14ac:dyDescent="0.3">
      <c r="B44" s="16">
        <f t="shared" si="3"/>
        <v>35</v>
      </c>
      <c r="C44" s="106" t="s">
        <v>130</v>
      </c>
      <c r="D44" s="107" t="s">
        <v>131</v>
      </c>
      <c r="E44" s="599" t="str">
        <f t="shared" si="6"/>
        <v>AtleMørk</v>
      </c>
      <c r="F44" s="192">
        <f>YEAR(I$5)-_xlfn.XLOOKUP(E44,Deltakerliste!E$5:E$98,Deltakerliste!I$5:I$98)</f>
        <v>76</v>
      </c>
      <c r="G44" s="192">
        <f>_xlfn.XLOOKUP(E44,Deltakerliste!E$5:E$98,Deltakerliste!H$5:H$98)</f>
        <v>2</v>
      </c>
      <c r="H44" s="592">
        <f>VLOOKUP(F44,Deltakerliste!P$6:T$84,G44,FALSE)</f>
        <v>1.655</v>
      </c>
      <c r="I44" s="132" t="s">
        <v>306</v>
      </c>
      <c r="J44" s="134"/>
      <c r="K44" s="132">
        <v>2.78125E-2</v>
      </c>
      <c r="L44" s="321" t="str">
        <f t="shared" si="1"/>
        <v>Brutt</v>
      </c>
      <c r="M44" s="594">
        <f>IF(L44="Løype",Poengsammendrag!$F$2,IF(L44="Arr",Poengsammendrag!$F$3,IF(L44="Brutt",50,IF(L44="Disk",50,ROUND(MAXA(100*(MIN(L$10:L$83)/L44),50),0)))))</f>
        <v>50</v>
      </c>
      <c r="N44" s="595" t="str">
        <f t="shared" si="2"/>
        <v>Brutt</v>
      </c>
      <c r="O44" s="596">
        <f>IF(N44="Løype",Poengsammendrag!$F$2,IF(N44="Arr",Poengsammendrag!$F$3,IF(N44="Brutt",50,IF(N44="Disk",50,ROUND(MAXA(100*(MIN(N$10:N$83)/N44),50),0)))))</f>
        <v>50</v>
      </c>
      <c r="S44" s="766" t="s">
        <v>130</v>
      </c>
      <c r="T44" s="768" t="s">
        <v>306</v>
      </c>
      <c r="U44" s="770">
        <v>50</v>
      </c>
      <c r="V44" s="772"/>
      <c r="W44" s="783" t="s">
        <v>130</v>
      </c>
      <c r="X44" s="740">
        <v>50</v>
      </c>
      <c r="AB44" s="828">
        <f t="shared" si="5"/>
        <v>89</v>
      </c>
      <c r="AC44" s="829">
        <f t="shared" si="4"/>
        <v>0</v>
      </c>
    </row>
    <row r="45" spans="2:29" ht="21" thickBot="1" x14ac:dyDescent="0.3">
      <c r="B45" s="16">
        <f t="shared" si="3"/>
        <v>36</v>
      </c>
      <c r="C45" s="106" t="s">
        <v>82</v>
      </c>
      <c r="D45" s="107" t="s">
        <v>83</v>
      </c>
      <c r="E45" s="599" t="str">
        <f t="shared" si="6"/>
        <v>RoarForbord</v>
      </c>
      <c r="F45" s="192">
        <f>YEAR(I$5)-_xlfn.XLOOKUP(E45,Deltakerliste!E$5:E$98,Deltakerliste!I$5:I$98)</f>
        <v>82</v>
      </c>
      <c r="G45" s="192">
        <f>_xlfn.XLOOKUP(E45,Deltakerliste!E$5:E$98,Deltakerliste!H$5:H$98)</f>
        <v>2</v>
      </c>
      <c r="H45" s="592">
        <f>VLOOKUP(F45,Deltakerliste!P$6:T$84,G45,FALSE)</f>
        <v>2.0030000000000001</v>
      </c>
      <c r="I45" s="86" t="s">
        <v>306</v>
      </c>
      <c r="J45" s="86"/>
      <c r="K45" s="13"/>
      <c r="L45" s="321" t="str">
        <f t="shared" si="1"/>
        <v>Brutt</v>
      </c>
      <c r="M45" s="594">
        <f>IF(L45="Løype",Poengsammendrag!$F$2,IF(L45="Arr",Poengsammendrag!$F$3,IF(L45="Brutt",50,IF(L45="Disk",50,ROUND(MAXA(100*(MIN(L$10:L$83)/L45),50),0)))))</f>
        <v>50</v>
      </c>
      <c r="N45" s="595" t="str">
        <f t="shared" si="2"/>
        <v>Brutt</v>
      </c>
      <c r="O45" s="596">
        <f>IF(N45="Løype",Poengsammendrag!$F$2,IF(N45="Arr",Poengsammendrag!$F$3,IF(N45="Brutt",50,IF(N45="Disk",50,ROUND(MAXA(100*(MIN(N$10:N$83)/N45),50),0)))))</f>
        <v>50</v>
      </c>
      <c r="S45" s="766" t="s">
        <v>82</v>
      </c>
      <c r="T45" s="768" t="s">
        <v>306</v>
      </c>
      <c r="U45" s="770">
        <v>50</v>
      </c>
      <c r="V45" s="772"/>
      <c r="W45" s="783" t="s">
        <v>82</v>
      </c>
      <c r="X45" s="740">
        <v>50</v>
      </c>
      <c r="AB45" s="828">
        <f t="shared" si="5"/>
        <v>90</v>
      </c>
      <c r="AC45" s="829">
        <f t="shared" si="4"/>
        <v>0</v>
      </c>
    </row>
    <row r="46" spans="2:29" ht="21" thickBot="1" x14ac:dyDescent="0.3">
      <c r="B46" s="16">
        <f t="shared" si="3"/>
        <v>37</v>
      </c>
      <c r="C46" s="106" t="s">
        <v>96</v>
      </c>
      <c r="D46" s="107" t="s">
        <v>97</v>
      </c>
      <c r="E46" s="599" t="str">
        <f t="shared" si="6"/>
        <v>StigHaugskott</v>
      </c>
      <c r="F46" s="192">
        <f>YEAR(I$5)-_xlfn.XLOOKUP(E46,Deltakerliste!E$5:E$98,Deltakerliste!I$5:I$98)</f>
        <v>86</v>
      </c>
      <c r="G46" s="192">
        <f>_xlfn.XLOOKUP(E46,Deltakerliste!E$5:E$98,Deltakerliste!H$5:H$98)</f>
        <v>2</v>
      </c>
      <c r="H46" s="592">
        <f>VLOOKUP(F46,Deltakerliste!P$6:T$84,G46,FALSE)</f>
        <v>2.3089999999999997</v>
      </c>
      <c r="I46" s="86" t="s">
        <v>306</v>
      </c>
      <c r="J46" s="86"/>
      <c r="K46" s="86">
        <v>3.574074074074074E-2</v>
      </c>
      <c r="L46" s="321" t="str">
        <f t="shared" si="1"/>
        <v>Brutt</v>
      </c>
      <c r="M46" s="594">
        <f>IF(L46="Løype",Poengsammendrag!$F$2,IF(L46="Arr",Poengsammendrag!$F$3,IF(L46="Brutt",50,IF(L46="Disk",50,ROUND(MAXA(100*(MIN(L$10:L$83)/L46),50),0)))))</f>
        <v>50</v>
      </c>
      <c r="N46" s="595" t="str">
        <f t="shared" si="2"/>
        <v>Brutt</v>
      </c>
      <c r="O46" s="596">
        <f>IF(N46="Løype",Poengsammendrag!$F$2,IF(N46="Arr",Poengsammendrag!$F$3,IF(N46="Brutt",50,IF(N46="Disk",50,ROUND(MAXA(100*(MIN(N$10:N$83)/N46),50),0)))))</f>
        <v>50</v>
      </c>
      <c r="S46" s="766" t="s">
        <v>96</v>
      </c>
      <c r="T46" s="768" t="s">
        <v>306</v>
      </c>
      <c r="U46" s="770">
        <v>50</v>
      </c>
      <c r="V46" s="772"/>
      <c r="W46" s="783" t="s">
        <v>96</v>
      </c>
      <c r="X46" s="740">
        <v>50</v>
      </c>
      <c r="AB46" s="828">
        <f t="shared" si="5"/>
        <v>91</v>
      </c>
      <c r="AC46" s="829">
        <f t="shared" si="4"/>
        <v>0</v>
      </c>
    </row>
    <row r="47" spans="2:29" ht="21" customHeight="1" thickBot="1" x14ac:dyDescent="0.3">
      <c r="B47" s="16">
        <f t="shared" si="3"/>
        <v>38</v>
      </c>
      <c r="C47" s="106" t="s">
        <v>116</v>
      </c>
      <c r="D47" s="107" t="s">
        <v>117</v>
      </c>
      <c r="E47" s="599" t="str">
        <f t="shared" si="6"/>
        <v>AndersLauglo</v>
      </c>
      <c r="F47" s="192">
        <f>YEAR(I$5)-_xlfn.XLOOKUP(E47,Deltakerliste!E$5:E$98,Deltakerliste!I$5:I$98)</f>
        <v>86</v>
      </c>
      <c r="G47" s="192">
        <f>_xlfn.XLOOKUP(E47,Deltakerliste!E$5:E$98,Deltakerliste!H$5:H$98)</f>
        <v>2</v>
      </c>
      <c r="H47" s="592">
        <f>VLOOKUP(F47,Deltakerliste!P$6:T$84,G47,FALSE)</f>
        <v>2.3089999999999997</v>
      </c>
      <c r="I47" s="13" t="s">
        <v>306</v>
      </c>
      <c r="J47" s="13"/>
      <c r="K47" s="86">
        <v>4.1736111111111113E-2</v>
      </c>
      <c r="L47" s="321" t="str">
        <f t="shared" si="1"/>
        <v>Brutt</v>
      </c>
      <c r="M47" s="594">
        <f>IF(L47="Løype",Poengsammendrag!$F$2,IF(L47="Arr",Poengsammendrag!$F$3,IF(L47="Brutt",50,IF(L47="Disk",50,ROUND(MAXA(100*(MIN(L$10:L$83)/L47),50),0)))))</f>
        <v>50</v>
      </c>
      <c r="N47" s="595" t="str">
        <f t="shared" si="2"/>
        <v>Brutt</v>
      </c>
      <c r="O47" s="596">
        <f>IF(N47="Løype",Poengsammendrag!$F$2,IF(N47="Arr",Poengsammendrag!$F$3,IF(N47="Brutt",50,IF(N47="Disk",50,ROUND(MAXA(100*(MIN(N$10:N$83)/N47),50),0)))))</f>
        <v>50</v>
      </c>
      <c r="S47" s="766" t="s">
        <v>315</v>
      </c>
      <c r="T47" s="768" t="s">
        <v>306</v>
      </c>
      <c r="U47" s="770">
        <v>50</v>
      </c>
      <c r="V47" s="772"/>
      <c r="W47" s="783" t="s">
        <v>315</v>
      </c>
      <c r="X47" s="740">
        <v>50</v>
      </c>
      <c r="AB47" s="828">
        <f t="shared" si="5"/>
        <v>92</v>
      </c>
      <c r="AC47" s="829">
        <f t="shared" si="4"/>
        <v>0</v>
      </c>
    </row>
    <row r="48" spans="2:29" ht="21" customHeight="1" thickBot="1" x14ac:dyDescent="0.3">
      <c r="B48" s="16">
        <f t="shared" si="3"/>
        <v>39</v>
      </c>
      <c r="C48" s="106" t="s">
        <v>68</v>
      </c>
      <c r="D48" s="107" t="s">
        <v>69</v>
      </c>
      <c r="E48" s="599" t="str">
        <f t="shared" si="6"/>
        <v>JanBøhle</v>
      </c>
      <c r="F48" s="192">
        <f>YEAR(I$5)-_xlfn.XLOOKUP(E48,Deltakerliste!E$5:E$98,Deltakerliste!I$5:I$98)</f>
        <v>73</v>
      </c>
      <c r="G48" s="192">
        <f>_xlfn.XLOOKUP(E48,Deltakerliste!E$5:E$98,Deltakerliste!H$5:H$98)</f>
        <v>2</v>
      </c>
      <c r="H48" s="592">
        <f>VLOOKUP(F48,Deltakerliste!P$6:T$84,G48,FALSE)</f>
        <v>1.5329999999999999</v>
      </c>
      <c r="I48" s="86"/>
      <c r="J48" s="86" t="s">
        <v>306</v>
      </c>
      <c r="K48" s="13">
        <v>3.8599537037037036E-2</v>
      </c>
      <c r="L48" s="321" t="str">
        <f t="shared" si="1"/>
        <v>Brutt</v>
      </c>
      <c r="M48" s="594">
        <f>IF(L48="Løype",Poengsammendrag!$F$2,IF(L48="Arr",Poengsammendrag!$F$3,IF(L48="Brutt",50,IF(L48="Disk",50,ROUND(MAXA(100*(MIN(L$10:L$83)/L48),50),0)))))</f>
        <v>50</v>
      </c>
      <c r="N48" s="595" t="str">
        <f t="shared" si="2"/>
        <v>Brutt</v>
      </c>
      <c r="O48" s="596">
        <f>IF(N48="Løype",Poengsammendrag!$F$2,IF(N48="Arr",Poengsammendrag!$F$3,IF(N48="Brutt",50,IF(N48="Disk",50,ROUND(MAXA(100*(MIN(N$10:N$83)/N48),50),0)))))</f>
        <v>50</v>
      </c>
      <c r="S48" s="766" t="s">
        <v>68</v>
      </c>
      <c r="T48" s="768" t="s">
        <v>306</v>
      </c>
      <c r="U48" s="770">
        <v>50</v>
      </c>
      <c r="V48" s="772"/>
      <c r="W48" s="783" t="s">
        <v>68</v>
      </c>
      <c r="X48" s="740">
        <v>50</v>
      </c>
      <c r="AB48" s="828">
        <f t="shared" si="5"/>
        <v>93</v>
      </c>
      <c r="AC48" s="829">
        <f t="shared" si="4"/>
        <v>0</v>
      </c>
    </row>
    <row r="49" spans="2:29" ht="21" customHeight="1" thickBot="1" x14ac:dyDescent="0.3">
      <c r="B49" s="16">
        <f t="shared" si="3"/>
        <v>40</v>
      </c>
      <c r="C49" s="106" t="s">
        <v>80</v>
      </c>
      <c r="D49" s="107" t="s">
        <v>81</v>
      </c>
      <c r="E49" s="599" t="str">
        <f t="shared" si="6"/>
        <v>HalvorFlatberg</v>
      </c>
      <c r="F49" s="192">
        <f>YEAR(I$5)-_xlfn.XLOOKUP(E49,Deltakerliste!E$5:E$98,Deltakerliste!I$5:I$98)</f>
        <v>79</v>
      </c>
      <c r="G49" s="192">
        <f>_xlfn.XLOOKUP(E49,Deltakerliste!E$5:E$98,Deltakerliste!H$5:H$98)</f>
        <v>2</v>
      </c>
      <c r="H49" s="592">
        <f>VLOOKUP(F49,Deltakerliste!P$6:T$84,G49,FALSE)</f>
        <v>1.8050000000000002</v>
      </c>
      <c r="I49" s="86"/>
      <c r="J49" s="86" t="s">
        <v>62</v>
      </c>
      <c r="K49" s="13"/>
      <c r="L49" s="321" t="str">
        <f t="shared" si="1"/>
        <v>Løype</v>
      </c>
      <c r="M49" s="594">
        <f>IF(L49="Løype",Poengsammendrag!$F$2,IF(L49="Arr",Poengsammendrag!$F$3,IF(L49="Brutt",50,IF(L49="Disk",50,ROUND(MAXA(100*(MIN(L$10:L$83)/L49),50),0)))))</f>
        <v>100</v>
      </c>
      <c r="N49" s="595" t="str">
        <f t="shared" si="2"/>
        <v>Løype</v>
      </c>
      <c r="O49" s="596">
        <f>IF(N49="Løype",Poengsammendrag!$F$2,IF(N49="Arr",Poengsammendrag!$F$3,IF(N49="Brutt",50,IF(N49="Disk",50,ROUND(MAXA(100*(MIN(N$10:N$83)/N49),50),0)))))</f>
        <v>100</v>
      </c>
      <c r="S49" s="767" t="s">
        <v>80</v>
      </c>
      <c r="T49" s="769" t="s">
        <v>62</v>
      </c>
      <c r="U49" s="771">
        <v>100</v>
      </c>
      <c r="V49" s="773"/>
      <c r="W49" s="784" t="s">
        <v>80</v>
      </c>
      <c r="X49" s="741">
        <v>100</v>
      </c>
      <c r="AB49" s="828">
        <f t="shared" si="5"/>
        <v>94</v>
      </c>
      <c r="AC49" s="829">
        <f t="shared" si="4"/>
        <v>0</v>
      </c>
    </row>
    <row r="50" spans="2:29" ht="21" thickBot="1" x14ac:dyDescent="0.3">
      <c r="B50" s="16">
        <f t="shared" si="3"/>
        <v>41</v>
      </c>
      <c r="C50" s="106" t="s">
        <v>60</v>
      </c>
      <c r="D50" s="107" t="s">
        <v>61</v>
      </c>
      <c r="E50" s="599" t="str">
        <f t="shared" si="6"/>
        <v>JosteinAlvestad</v>
      </c>
      <c r="F50" s="192">
        <f>YEAR(I$5)-_xlfn.XLOOKUP(E50,Deltakerliste!E$5:E$98,Deltakerliste!I$5:I$98)</f>
        <v>70</v>
      </c>
      <c r="G50" s="192">
        <f>_xlfn.XLOOKUP(E50,Deltakerliste!E$5:E$98,Deltakerliste!H$5:H$98)</f>
        <v>2</v>
      </c>
      <c r="H50" s="592">
        <f>VLOOKUP(F50,Deltakerliste!P$6:T$84,G50,FALSE)</f>
        <v>1.4249999999999998</v>
      </c>
      <c r="I50" s="13"/>
      <c r="J50" s="13"/>
      <c r="K50" s="17"/>
      <c r="L50" s="321"/>
      <c r="M50" s="594"/>
      <c r="N50" s="595"/>
      <c r="O50" s="596"/>
      <c r="AB50" s="830">
        <f t="shared" si="5"/>
        <v>95</v>
      </c>
      <c r="AC50" s="831">
        <f t="shared" si="4"/>
        <v>0</v>
      </c>
    </row>
    <row r="51" spans="2:29" ht="21" customHeight="1" thickBot="1" x14ac:dyDescent="0.3">
      <c r="B51" s="16">
        <f t="shared" si="3"/>
        <v>42</v>
      </c>
      <c r="C51" s="106" t="s">
        <v>64</v>
      </c>
      <c r="D51" s="107" t="s">
        <v>267</v>
      </c>
      <c r="E51" s="599" t="str">
        <f t="shared" si="6"/>
        <v>BjørnBrenne</v>
      </c>
      <c r="F51" s="192">
        <f>YEAR(I$5)-_xlfn.XLOOKUP(E51,Deltakerliste!E$5:E$98,Deltakerliste!I$5:I$98)</f>
        <v>80</v>
      </c>
      <c r="G51" s="192">
        <f>_xlfn.XLOOKUP(E51,Deltakerliste!E$5:E$98,Deltakerliste!H$5:H$98)</f>
        <v>2</v>
      </c>
      <c r="H51" s="592">
        <f>VLOOKUP(F51,Deltakerliste!P$6:T$84,G51,FALSE)</f>
        <v>1.8550000000000002</v>
      </c>
      <c r="I51" s="86"/>
      <c r="J51" s="86"/>
      <c r="K51" s="13"/>
      <c r="L51" s="321"/>
      <c r="M51" s="594"/>
      <c r="N51" s="595"/>
      <c r="O51" s="596"/>
    </row>
    <row r="52" spans="2:29" ht="21" thickBot="1" x14ac:dyDescent="0.3">
      <c r="B52" s="16">
        <f t="shared" si="3"/>
        <v>43</v>
      </c>
      <c r="C52" s="106" t="s">
        <v>70</v>
      </c>
      <c r="D52" s="107" t="s">
        <v>71</v>
      </c>
      <c r="E52" s="599" t="str">
        <f t="shared" si="6"/>
        <v>TrondDamås</v>
      </c>
      <c r="F52" s="192">
        <f>YEAR(I$5)-_xlfn.XLOOKUP(E52,Deltakerliste!E$5:E$98,Deltakerliste!I$5:I$98)</f>
        <v>75</v>
      </c>
      <c r="G52" s="192">
        <f>_xlfn.XLOOKUP(E52,Deltakerliste!E$5:E$98,Deltakerliste!H$5:H$98)</f>
        <v>2</v>
      </c>
      <c r="H52" s="592">
        <f>VLOOKUP(F52,Deltakerliste!P$6:T$84,G52,FALSE)</f>
        <v>1.605</v>
      </c>
      <c r="I52" s="13"/>
      <c r="J52" s="13"/>
      <c r="K52" s="13"/>
      <c r="L52" s="321"/>
      <c r="M52" s="594"/>
      <c r="N52" s="595"/>
      <c r="O52" s="596"/>
    </row>
    <row r="53" spans="2:29" ht="21" thickBot="1" x14ac:dyDescent="0.3">
      <c r="B53" s="16">
        <f t="shared" si="3"/>
        <v>44</v>
      </c>
      <c r="C53" s="106" t="s">
        <v>74</v>
      </c>
      <c r="D53" s="107" t="s">
        <v>75</v>
      </c>
      <c r="E53" s="599" t="str">
        <f t="shared" si="6"/>
        <v>StinaElfving</v>
      </c>
      <c r="F53" s="192">
        <f>YEAR(I$5)-_xlfn.XLOOKUP(E53,Deltakerliste!E$5:E$98,Deltakerliste!I$5:I$98)</f>
        <v>75</v>
      </c>
      <c r="G53" s="192">
        <f>_xlfn.XLOOKUP(E53,Deltakerliste!E$5:E$98,Deltakerliste!H$5:H$98)</f>
        <v>4</v>
      </c>
      <c r="H53" s="592">
        <f>VLOOKUP(F53,Deltakerliste!P$6:T$84,G53,FALSE)</f>
        <v>2.1670000000000016</v>
      </c>
      <c r="I53" s="13"/>
      <c r="J53" s="13"/>
      <c r="K53" s="17"/>
      <c r="L53" s="321"/>
      <c r="M53" s="594"/>
      <c r="N53" s="595"/>
      <c r="O53" s="596"/>
    </row>
    <row r="54" spans="2:29" ht="21" thickBot="1" x14ac:dyDescent="0.3">
      <c r="B54" s="16">
        <f t="shared" si="3"/>
        <v>45</v>
      </c>
      <c r="C54" s="106" t="s">
        <v>76</v>
      </c>
      <c r="D54" s="107" t="s">
        <v>77</v>
      </c>
      <c r="E54" s="599" t="str">
        <f t="shared" si="6"/>
        <v>ReinoldEllingsen</v>
      </c>
      <c r="F54" s="192">
        <f>YEAR(I$5)-_xlfn.XLOOKUP(E54,Deltakerliste!E$5:E$98,Deltakerliste!I$5:I$98)</f>
        <v>74</v>
      </c>
      <c r="G54" s="192">
        <f>_xlfn.XLOOKUP(E54,Deltakerliste!E$5:E$98,Deltakerliste!H$5:H$98)</f>
        <v>2</v>
      </c>
      <c r="H54" s="592">
        <f>VLOOKUP(F54,Deltakerliste!P$6:T$84,G54,FALSE)</f>
        <v>1.569</v>
      </c>
      <c r="I54" s="13"/>
      <c r="J54" s="13"/>
      <c r="K54" s="13"/>
      <c r="L54" s="321"/>
      <c r="M54" s="594"/>
      <c r="N54" s="595"/>
      <c r="O54" s="596"/>
    </row>
    <row r="55" spans="2:29" ht="21" customHeight="1" thickBot="1" x14ac:dyDescent="0.3">
      <c r="B55" s="16">
        <f t="shared" si="3"/>
        <v>46</v>
      </c>
      <c r="C55" s="106" t="s">
        <v>216</v>
      </c>
      <c r="D55" s="107" t="s">
        <v>77</v>
      </c>
      <c r="E55" s="599" t="str">
        <f t="shared" si="6"/>
        <v>Åse RitaEllingsen</v>
      </c>
      <c r="F55" s="192">
        <f>YEAR(I$5)-_xlfn.XLOOKUP(E55,Deltakerliste!E$5:E$98,Deltakerliste!I$5:I$98)</f>
        <v>61</v>
      </c>
      <c r="G55" s="192">
        <f>_xlfn.XLOOKUP(E55,Deltakerliste!E$5:E$98,Deltakerliste!H$5:H$98)</f>
        <v>4</v>
      </c>
      <c r="H55" s="592">
        <f>VLOOKUP(F55,Deltakerliste!P$6:T$84,G55,FALSE)</f>
        <v>1.6542000000000003</v>
      </c>
      <c r="I55" s="593"/>
      <c r="J55" s="14"/>
      <c r="K55" s="13"/>
      <c r="L55" s="321"/>
      <c r="M55" s="594"/>
      <c r="N55" s="595"/>
      <c r="O55" s="596"/>
    </row>
    <row r="56" spans="2:29" ht="21" thickBot="1" x14ac:dyDescent="0.3">
      <c r="B56" s="16">
        <f t="shared" si="3"/>
        <v>47</v>
      </c>
      <c r="C56" s="106" t="s">
        <v>271</v>
      </c>
      <c r="D56" s="107" t="s">
        <v>272</v>
      </c>
      <c r="E56" s="599" t="str">
        <f t="shared" si="6"/>
        <v>Arne KjellFoldvik</v>
      </c>
      <c r="F56" s="192">
        <f>YEAR(I$5)-_xlfn.XLOOKUP(E56,Deltakerliste!E$5:E$98,Deltakerliste!I$5:I$98)</f>
        <v>91</v>
      </c>
      <c r="G56" s="192">
        <f>_xlfn.XLOOKUP(E56,Deltakerliste!E$5:E$98,Deltakerliste!H$5:H$98)</f>
        <v>2</v>
      </c>
      <c r="H56" s="592">
        <f>VLOOKUP(F56,Deltakerliste!P$6:T$84,G56,FALSE)</f>
        <v>2.7290000000000001</v>
      </c>
      <c r="I56" s="14"/>
      <c r="J56" s="14"/>
      <c r="K56" s="13"/>
      <c r="L56" s="321"/>
      <c r="M56" s="594"/>
      <c r="N56" s="595"/>
      <c r="O56" s="596"/>
    </row>
    <row r="57" spans="2:29" ht="21" thickBot="1" x14ac:dyDescent="0.3">
      <c r="B57" s="16">
        <f t="shared" si="3"/>
        <v>48</v>
      </c>
      <c r="C57" s="106" t="s">
        <v>84</v>
      </c>
      <c r="D57" s="107" t="s">
        <v>85</v>
      </c>
      <c r="E57" s="599" t="str">
        <f t="shared" si="6"/>
        <v>PaulForseth</v>
      </c>
      <c r="F57" s="192">
        <f>YEAR(I$5)-_xlfn.XLOOKUP(E57,Deltakerliste!E$5:E$98,Deltakerliste!I$5:I$98)</f>
        <v>93</v>
      </c>
      <c r="G57" s="192">
        <f>_xlfn.XLOOKUP(E57,Deltakerliste!E$5:E$98,Deltakerliste!H$5:H$98)</f>
        <v>2</v>
      </c>
      <c r="H57" s="592">
        <f>VLOOKUP(F57,Deltakerliste!P$6:T$84,G57,FALSE)</f>
        <v>2.8970000000000002</v>
      </c>
      <c r="I57" s="86"/>
      <c r="J57" s="86"/>
      <c r="K57" s="17"/>
      <c r="L57" s="321"/>
      <c r="M57" s="594"/>
      <c r="N57" s="595"/>
      <c r="O57" s="596"/>
    </row>
    <row r="58" spans="2:29" ht="20" customHeight="1" thickBot="1" x14ac:dyDescent="0.3">
      <c r="B58" s="16">
        <f t="shared" si="3"/>
        <v>49</v>
      </c>
      <c r="C58" s="106" t="s">
        <v>86</v>
      </c>
      <c r="D58" s="107" t="s">
        <v>87</v>
      </c>
      <c r="E58" s="599" t="str">
        <f t="shared" si="6"/>
        <v>KristianFougner</v>
      </c>
      <c r="F58" s="192">
        <f>YEAR(I$5)-_xlfn.XLOOKUP(E58,Deltakerliste!E$5:E$98,Deltakerliste!I$5:I$98)</f>
        <v>75</v>
      </c>
      <c r="G58" s="192">
        <f>_xlfn.XLOOKUP(E58,Deltakerliste!E$5:E$98,Deltakerliste!H$5:H$98)</f>
        <v>2</v>
      </c>
      <c r="H58" s="592">
        <f>VLOOKUP(F58,Deltakerliste!P$6:T$84,G58,FALSE)</f>
        <v>1.605</v>
      </c>
      <c r="I58" s="86"/>
      <c r="J58" s="86"/>
      <c r="K58" s="13"/>
      <c r="L58" s="321"/>
      <c r="M58" s="594"/>
      <c r="N58" s="595"/>
      <c r="O58" s="596"/>
    </row>
    <row r="59" spans="2:29" ht="21" thickBot="1" x14ac:dyDescent="0.3">
      <c r="B59" s="16">
        <f t="shared" si="3"/>
        <v>50</v>
      </c>
      <c r="C59" s="106" t="s">
        <v>207</v>
      </c>
      <c r="D59" s="107" t="s">
        <v>89</v>
      </c>
      <c r="E59" s="599" t="str">
        <f t="shared" si="6"/>
        <v>AnneFuruholt</v>
      </c>
      <c r="F59" s="192">
        <f>YEAR(I$5)-_xlfn.XLOOKUP(E59,Deltakerliste!E$5:E$98,Deltakerliste!I$5:I$98)</f>
        <v>78</v>
      </c>
      <c r="G59" s="192">
        <f>_xlfn.XLOOKUP(E59,Deltakerliste!E$5:E$98,Deltakerliste!H$5:H$98)</f>
        <v>4</v>
      </c>
      <c r="H59" s="592">
        <f>VLOOKUP(F59,Deltakerliste!P$6:T$84,G59,FALSE)</f>
        <v>2.3398000000000012</v>
      </c>
      <c r="I59" s="13"/>
      <c r="J59" s="13"/>
      <c r="K59" s="13"/>
      <c r="L59" s="321"/>
      <c r="M59" s="594"/>
      <c r="N59" s="595"/>
      <c r="O59" s="596"/>
    </row>
    <row r="60" spans="2:29" ht="21" customHeight="1" thickBot="1" x14ac:dyDescent="0.3">
      <c r="B60" s="16">
        <f t="shared" si="3"/>
        <v>51</v>
      </c>
      <c r="C60" s="106" t="s">
        <v>92</v>
      </c>
      <c r="D60" s="107" t="s">
        <v>93</v>
      </c>
      <c r="E60" s="599" t="str">
        <f t="shared" si="6"/>
        <v>Jens ØysteinGjersvold</v>
      </c>
      <c r="F60" s="192">
        <f>YEAR(I$5)-_xlfn.XLOOKUP(E60,Deltakerliste!E$5:E$98,Deltakerliste!I$5:I$98)</f>
        <v>73</v>
      </c>
      <c r="G60" s="192">
        <f>_xlfn.XLOOKUP(E60,Deltakerliste!E$5:E$98,Deltakerliste!H$5:H$98)</f>
        <v>2</v>
      </c>
      <c r="H60" s="592">
        <f>VLOOKUP(F60,Deltakerliste!P$6:T$84,G60,FALSE)</f>
        <v>1.5329999999999999</v>
      </c>
      <c r="I60" s="14"/>
      <c r="J60" s="14"/>
      <c r="K60" s="18"/>
      <c r="L60" s="321"/>
      <c r="M60" s="594"/>
      <c r="N60" s="595"/>
      <c r="O60" s="596"/>
    </row>
    <row r="61" spans="2:29" ht="21" customHeight="1" thickBot="1" x14ac:dyDescent="0.3">
      <c r="B61" s="16">
        <f t="shared" si="3"/>
        <v>52</v>
      </c>
      <c r="C61" s="106" t="s">
        <v>94</v>
      </c>
      <c r="D61" s="107" t="s">
        <v>95</v>
      </c>
      <c r="E61" s="599" t="str">
        <f t="shared" si="6"/>
        <v>TerjeHanssen</v>
      </c>
      <c r="F61" s="192">
        <f>YEAR(I$5)-_xlfn.XLOOKUP(E61,Deltakerliste!E$5:E$98,Deltakerliste!I$5:I$98)</f>
        <v>77</v>
      </c>
      <c r="G61" s="192">
        <f>_xlfn.XLOOKUP(E61,Deltakerliste!E$5:E$98,Deltakerliste!H$5:H$98)</f>
        <v>2</v>
      </c>
      <c r="H61" s="592">
        <f>VLOOKUP(F61,Deltakerliste!P$6:T$84,G61,FALSE)</f>
        <v>1.7050000000000001</v>
      </c>
      <c r="I61" s="86"/>
      <c r="J61" s="86"/>
      <c r="K61" s="17"/>
      <c r="L61" s="321"/>
      <c r="M61" s="594"/>
      <c r="N61" s="595"/>
      <c r="O61" s="596"/>
    </row>
    <row r="62" spans="2:29" ht="21" customHeight="1" thickBot="1" x14ac:dyDescent="0.3">
      <c r="B62" s="16">
        <f t="shared" si="3"/>
        <v>53</v>
      </c>
      <c r="C62" s="106" t="s">
        <v>103</v>
      </c>
      <c r="D62" s="107" t="s">
        <v>104</v>
      </c>
      <c r="E62" s="599" t="str">
        <f t="shared" si="6"/>
        <v>SveinHove</v>
      </c>
      <c r="F62" s="192">
        <f>YEAR(I$5)-_xlfn.XLOOKUP(E62,Deltakerliste!E$5:E$98,Deltakerliste!I$5:I$98)</f>
        <v>78</v>
      </c>
      <c r="G62" s="192">
        <f>_xlfn.XLOOKUP(E62,Deltakerliste!E$5:E$98,Deltakerliste!H$5:H$98)</f>
        <v>2</v>
      </c>
      <c r="H62" s="592">
        <f>VLOOKUP(F62,Deltakerliste!P$6:T$84,G62,FALSE)</f>
        <v>1.7550000000000001</v>
      </c>
      <c r="I62" s="86"/>
      <c r="J62" s="86"/>
      <c r="K62" s="17"/>
      <c r="L62" s="321"/>
      <c r="M62" s="594"/>
      <c r="N62" s="595"/>
      <c r="O62" s="596"/>
    </row>
    <row r="63" spans="2:29" ht="21" thickBot="1" x14ac:dyDescent="0.3">
      <c r="B63" s="16">
        <f t="shared" si="3"/>
        <v>54</v>
      </c>
      <c r="C63" s="106" t="s">
        <v>269</v>
      </c>
      <c r="D63" s="107" t="s">
        <v>270</v>
      </c>
      <c r="E63" s="599" t="str">
        <f t="shared" si="6"/>
        <v>Per OlavJohansen</v>
      </c>
      <c r="F63" s="192">
        <f>YEAR(I$5)-_xlfn.XLOOKUP(E63,Deltakerliste!E$5:E$98,Deltakerliste!I$5:I$98)</f>
        <v>67</v>
      </c>
      <c r="G63" s="192">
        <f>_xlfn.XLOOKUP(E63,Deltakerliste!E$5:E$98,Deltakerliste!H$5:H$98)</f>
        <v>2</v>
      </c>
      <c r="H63" s="592">
        <f>VLOOKUP(F63,Deltakerliste!P$6:T$84,G63,FALSE)</f>
        <v>1.3469999999999998</v>
      </c>
      <c r="I63" s="134"/>
      <c r="J63" s="134"/>
      <c r="K63" s="134"/>
      <c r="L63" s="321"/>
      <c r="M63" s="594"/>
      <c r="N63" s="595"/>
      <c r="O63" s="596"/>
    </row>
    <row r="64" spans="2:29" ht="21" thickBot="1" x14ac:dyDescent="0.3">
      <c r="B64" s="16">
        <f t="shared" si="3"/>
        <v>55</v>
      </c>
      <c r="C64" s="106" t="s">
        <v>110</v>
      </c>
      <c r="D64" s="107" t="s">
        <v>111</v>
      </c>
      <c r="E64" s="599" t="str">
        <f t="shared" si="6"/>
        <v>Jan ErikKofoed</v>
      </c>
      <c r="F64" s="192">
        <f>YEAR(I$5)-_xlfn.XLOOKUP(E64,Deltakerliste!E$5:E$98,Deltakerliste!I$5:I$98)</f>
        <v>71</v>
      </c>
      <c r="G64" s="192">
        <f>_xlfn.XLOOKUP(E64,Deltakerliste!E$5:E$98,Deltakerliste!H$5:H$98)</f>
        <v>2</v>
      </c>
      <c r="H64" s="592">
        <f>VLOOKUP(F64,Deltakerliste!P$6:T$84,G64,FALSE)</f>
        <v>1.4609999999999999</v>
      </c>
      <c r="I64" s="86"/>
      <c r="J64" s="86"/>
      <c r="K64" s="13"/>
      <c r="L64" s="321"/>
      <c r="M64" s="594"/>
      <c r="N64" s="595"/>
      <c r="O64" s="596"/>
    </row>
    <row r="65" spans="2:17" ht="21" thickBot="1" x14ac:dyDescent="0.3">
      <c r="B65" s="16">
        <f t="shared" si="3"/>
        <v>56</v>
      </c>
      <c r="C65" s="106" t="s">
        <v>112</v>
      </c>
      <c r="D65" s="107" t="s">
        <v>113</v>
      </c>
      <c r="E65" s="599" t="str">
        <f t="shared" si="6"/>
        <v>ToridKvaal</v>
      </c>
      <c r="F65" s="192">
        <f>YEAR(I$5)-_xlfn.XLOOKUP(E65,Deltakerliste!E$5:E$98,Deltakerliste!I$5:I$98)</f>
        <v>83</v>
      </c>
      <c r="G65" s="192">
        <f>_xlfn.XLOOKUP(E65,Deltakerliste!E$5:E$98,Deltakerliste!H$5:H$98)</f>
        <v>4</v>
      </c>
      <c r="H65" s="592">
        <f>VLOOKUP(F65,Deltakerliste!P$6:T$84,G65,FALSE)</f>
        <v>2.6998000000000006</v>
      </c>
      <c r="I65" s="86"/>
      <c r="J65" s="86"/>
      <c r="K65" s="13"/>
      <c r="L65" s="321"/>
      <c r="M65" s="594"/>
      <c r="N65" s="595"/>
      <c r="O65" s="596"/>
    </row>
    <row r="66" spans="2:17" ht="21" thickBot="1" x14ac:dyDescent="0.3">
      <c r="B66" s="16">
        <f t="shared" si="3"/>
        <v>57</v>
      </c>
      <c r="C66" s="106" t="s">
        <v>254</v>
      </c>
      <c r="D66" s="107" t="s">
        <v>255</v>
      </c>
      <c r="E66" s="599" t="str">
        <f t="shared" si="6"/>
        <v>ArnfinnLangeland</v>
      </c>
      <c r="F66" s="192">
        <f>YEAR(I$5)-_xlfn.XLOOKUP(E66,Deltakerliste!E$5:E$98,Deltakerliste!I$5:I$98)</f>
        <v>89</v>
      </c>
      <c r="G66" s="192">
        <f>_xlfn.XLOOKUP(E66,Deltakerliste!E$5:E$98,Deltakerliste!H$5:H$98)</f>
        <v>2</v>
      </c>
      <c r="H66" s="592">
        <f>VLOOKUP(F66,Deltakerliste!P$6:T$84,G66,FALSE)</f>
        <v>2.5609999999999999</v>
      </c>
      <c r="I66" s="86"/>
      <c r="J66" s="86"/>
      <c r="K66" s="13"/>
      <c r="L66" s="321"/>
      <c r="M66" s="594"/>
      <c r="N66" s="595"/>
      <c r="O66" s="596"/>
    </row>
    <row r="67" spans="2:17" ht="21" thickBot="1" x14ac:dyDescent="0.3">
      <c r="B67" s="16">
        <f t="shared" si="3"/>
        <v>58</v>
      </c>
      <c r="C67" s="106" t="s">
        <v>118</v>
      </c>
      <c r="D67" s="107" t="s">
        <v>119</v>
      </c>
      <c r="E67" s="599" t="str">
        <f t="shared" si="6"/>
        <v>KnutLillealtern</v>
      </c>
      <c r="F67" s="192">
        <f>YEAR(I$5)-_xlfn.XLOOKUP(E67,Deltakerliste!E$5:E$98,Deltakerliste!I$5:I$98)</f>
        <v>76</v>
      </c>
      <c r="G67" s="192">
        <f>_xlfn.XLOOKUP(E67,Deltakerliste!E$5:E$98,Deltakerliste!H$5:H$98)</f>
        <v>2</v>
      </c>
      <c r="H67" s="592">
        <f>VLOOKUP(F67,Deltakerliste!P$6:T$84,G67,FALSE)</f>
        <v>1.655</v>
      </c>
      <c r="I67" s="13"/>
      <c r="J67" s="13"/>
      <c r="K67" s="17"/>
      <c r="L67" s="321"/>
      <c r="M67" s="594"/>
      <c r="N67" s="595"/>
      <c r="O67" s="596"/>
    </row>
    <row r="68" spans="2:17" ht="21" thickBot="1" x14ac:dyDescent="0.3">
      <c r="B68" s="16">
        <f t="shared" si="3"/>
        <v>59</v>
      </c>
      <c r="C68" s="106" t="s">
        <v>120</v>
      </c>
      <c r="D68" s="107" t="s">
        <v>121</v>
      </c>
      <c r="E68" s="599" t="str">
        <f t="shared" si="6"/>
        <v>KlausLivik</v>
      </c>
      <c r="F68" s="192">
        <f>YEAR(I$5)-_xlfn.XLOOKUP(E68,Deltakerliste!E$5:E$98,Deltakerliste!I$5:I$98)</f>
        <v>71</v>
      </c>
      <c r="G68" s="192">
        <f>_xlfn.XLOOKUP(E68,Deltakerliste!E$5:E$98,Deltakerliste!H$5:H$98)</f>
        <v>2</v>
      </c>
      <c r="H68" s="592">
        <f>VLOOKUP(F68,Deltakerliste!P$6:T$84,G68,FALSE)</f>
        <v>1.4609999999999999</v>
      </c>
      <c r="I68" s="13"/>
      <c r="J68" s="13"/>
      <c r="K68" s="17"/>
      <c r="L68" s="321"/>
      <c r="M68" s="594"/>
      <c r="N68" s="595"/>
      <c r="O68" s="596"/>
    </row>
    <row r="69" spans="2:17" ht="21" thickBot="1" x14ac:dyDescent="0.3">
      <c r="B69" s="16">
        <f t="shared" si="3"/>
        <v>60</v>
      </c>
      <c r="C69" s="106" t="s">
        <v>248</v>
      </c>
      <c r="D69" s="107" t="s">
        <v>249</v>
      </c>
      <c r="E69" s="599" t="str">
        <f t="shared" si="6"/>
        <v>ErikLund</v>
      </c>
      <c r="F69" s="192">
        <f>YEAR(I$5)-_xlfn.XLOOKUP(E69,Deltakerliste!E$5:E$98,Deltakerliste!I$5:I$98)</f>
        <v>78</v>
      </c>
      <c r="G69" s="192">
        <f>_xlfn.XLOOKUP(E69,Deltakerliste!E$5:E$98,Deltakerliste!H$5:H$98)</f>
        <v>2</v>
      </c>
      <c r="H69" s="592">
        <f>VLOOKUP(F69,Deltakerliste!P$6:T$84,G69,FALSE)</f>
        <v>1.7550000000000001</v>
      </c>
      <c r="I69" s="13"/>
      <c r="J69" s="13"/>
      <c r="K69" s="17"/>
      <c r="L69" s="321"/>
      <c r="M69" s="594"/>
      <c r="N69" s="595"/>
      <c r="O69" s="596"/>
    </row>
    <row r="70" spans="2:17" ht="21" thickBot="1" x14ac:dyDescent="0.3">
      <c r="B70" s="16">
        <f t="shared" si="3"/>
        <v>61</v>
      </c>
      <c r="C70" s="106" t="s">
        <v>222</v>
      </c>
      <c r="D70" s="107" t="s">
        <v>221</v>
      </c>
      <c r="E70" s="599" t="str">
        <f t="shared" si="6"/>
        <v>Kjell Maroni</v>
      </c>
      <c r="F70" s="192">
        <f>YEAR(I$5)-_xlfn.XLOOKUP(E70,Deltakerliste!E$5:E$98,Deltakerliste!I$5:I$98)</f>
        <v>69</v>
      </c>
      <c r="G70" s="192">
        <f>_xlfn.XLOOKUP(E70,Deltakerliste!E$5:E$98,Deltakerliste!H$5:H$98)</f>
        <v>2</v>
      </c>
      <c r="H70" s="592">
        <f>VLOOKUP(F70,Deltakerliste!P$6:T$84,G70,FALSE)</f>
        <v>1.3989999999999998</v>
      </c>
      <c r="I70" s="13"/>
      <c r="J70" s="13"/>
      <c r="K70" s="13"/>
      <c r="L70" s="321"/>
      <c r="M70" s="594"/>
      <c r="N70" s="595"/>
      <c r="O70" s="596"/>
    </row>
    <row r="71" spans="2:17" ht="21" thickBot="1" x14ac:dyDescent="0.3">
      <c r="B71" s="16">
        <f t="shared" si="3"/>
        <v>62</v>
      </c>
      <c r="C71" s="106" t="s">
        <v>128</v>
      </c>
      <c r="D71" s="107" t="s">
        <v>129</v>
      </c>
      <c r="E71" s="599" t="str">
        <f t="shared" si="6"/>
        <v>OddMusum</v>
      </c>
      <c r="F71" s="192">
        <f>YEAR(I$5)-_xlfn.XLOOKUP(E71,Deltakerliste!E$5:E$98,Deltakerliste!I$5:I$98)</f>
        <v>83</v>
      </c>
      <c r="G71" s="192">
        <f>_xlfn.XLOOKUP(E71,Deltakerliste!E$5:E$98,Deltakerliste!H$5:H$98)</f>
        <v>2</v>
      </c>
      <c r="H71" s="592">
        <f>VLOOKUP(F71,Deltakerliste!P$6:T$84,G71,FALSE)</f>
        <v>2.077</v>
      </c>
      <c r="I71" s="13"/>
      <c r="J71" s="13"/>
      <c r="K71" s="13"/>
      <c r="L71" s="321"/>
      <c r="M71" s="594"/>
      <c r="N71" s="595"/>
      <c r="O71" s="596"/>
    </row>
    <row r="72" spans="2:17" ht="21" thickBot="1" x14ac:dyDescent="0.3">
      <c r="B72" s="16">
        <f t="shared" si="3"/>
        <v>63</v>
      </c>
      <c r="C72" s="106" t="s">
        <v>132</v>
      </c>
      <c r="D72" s="107" t="s">
        <v>133</v>
      </c>
      <c r="E72" s="599" t="str">
        <f t="shared" si="6"/>
        <v>JarleNestvold</v>
      </c>
      <c r="F72" s="192">
        <f>YEAR(I$5)-_xlfn.XLOOKUP(E72,Deltakerliste!E$5:E$98,Deltakerliste!I$5:I$98)</f>
        <v>88</v>
      </c>
      <c r="G72" s="192">
        <f>_xlfn.XLOOKUP(E72,Deltakerliste!E$5:E$98,Deltakerliste!H$5:H$98)</f>
        <v>2</v>
      </c>
      <c r="H72" s="592">
        <f>VLOOKUP(F72,Deltakerliste!P$6:T$84,G72,FALSE)</f>
        <v>2.4769999999999999</v>
      </c>
      <c r="I72" s="18"/>
      <c r="J72" s="18"/>
      <c r="K72" s="18"/>
      <c r="L72" s="321"/>
      <c r="M72" s="594"/>
      <c r="N72" s="595"/>
      <c r="O72" s="596"/>
    </row>
    <row r="73" spans="2:17" ht="21" thickBot="1" x14ac:dyDescent="0.3">
      <c r="B73" s="16">
        <f t="shared" si="3"/>
        <v>64</v>
      </c>
      <c r="C73" s="106" t="s">
        <v>72</v>
      </c>
      <c r="D73" s="107" t="s">
        <v>139</v>
      </c>
      <c r="E73" s="599" t="str">
        <f t="shared" si="6"/>
        <v>KåreOnsøyen</v>
      </c>
      <c r="F73" s="192">
        <f>YEAR(I$5)-_xlfn.XLOOKUP(E73,Deltakerliste!E$5:E$98,Deltakerliste!I$5:I$98)</f>
        <v>77</v>
      </c>
      <c r="G73" s="192">
        <f>_xlfn.XLOOKUP(E73,Deltakerliste!E$5:E$98,Deltakerliste!H$5:H$98)</f>
        <v>2</v>
      </c>
      <c r="H73" s="592">
        <f>VLOOKUP(F73,Deltakerliste!P$6:T$84,G73,FALSE)</f>
        <v>1.7050000000000001</v>
      </c>
      <c r="I73" s="13"/>
      <c r="J73" s="13"/>
      <c r="K73" s="13"/>
      <c r="L73" s="321"/>
      <c r="M73" s="594"/>
      <c r="N73" s="595"/>
      <c r="O73" s="596"/>
    </row>
    <row r="74" spans="2:17" ht="21" thickBot="1" x14ac:dyDescent="0.3">
      <c r="B74" s="16">
        <f t="shared" si="3"/>
        <v>65</v>
      </c>
      <c r="C74" s="111" t="s">
        <v>140</v>
      </c>
      <c r="D74" s="193" t="s">
        <v>141</v>
      </c>
      <c r="E74" s="599" t="str">
        <f t="shared" ref="E74:E85" si="7">_xlfn.CONCAT(C74:D74)</f>
        <v>Grete BergeOwren</v>
      </c>
      <c r="F74" s="192">
        <f>YEAR(I$5)-_xlfn.XLOOKUP(E74,Deltakerliste!E$5:E$98,Deltakerliste!I$5:I$98)</f>
        <v>67</v>
      </c>
      <c r="G74" s="192">
        <f>_xlfn.XLOOKUP(E74,Deltakerliste!E$5:E$98,Deltakerliste!H$5:H$98)</f>
        <v>4</v>
      </c>
      <c r="H74" s="592">
        <f>VLOOKUP(F74,Deltakerliste!P$6:T$84,G74,FALSE)</f>
        <v>1.8422000000000009</v>
      </c>
      <c r="I74" s="18"/>
      <c r="J74" s="18"/>
      <c r="K74" s="18"/>
      <c r="L74" s="321"/>
      <c r="M74" s="594"/>
      <c r="N74" s="595"/>
      <c r="O74" s="596"/>
    </row>
    <row r="75" spans="2:17" ht="21" thickBot="1" x14ac:dyDescent="0.3">
      <c r="B75" s="16">
        <f t="shared" si="3"/>
        <v>66</v>
      </c>
      <c r="C75" s="111" t="s">
        <v>144</v>
      </c>
      <c r="D75" s="193" t="s">
        <v>145</v>
      </c>
      <c r="E75" s="599" t="str">
        <f t="shared" si="7"/>
        <v>Bjørn Rindstad</v>
      </c>
      <c r="F75" s="192">
        <f>YEAR(I$5)-_xlfn.XLOOKUP(E75,Deltakerliste!E$5:E$98,Deltakerliste!I$5:I$98)</f>
        <v>74</v>
      </c>
      <c r="G75" s="192">
        <f>_xlfn.XLOOKUP(E75,Deltakerliste!E$5:E$98,Deltakerliste!H$5:H$98)</f>
        <v>2</v>
      </c>
      <c r="H75" s="592">
        <f>VLOOKUP(F75,Deltakerliste!P$6:T$84,G75,FALSE)</f>
        <v>1.569</v>
      </c>
      <c r="I75" s="18"/>
      <c r="J75" s="18"/>
      <c r="K75" s="18"/>
      <c r="L75" s="321"/>
      <c r="M75" s="594"/>
      <c r="N75" s="595"/>
      <c r="O75" s="596"/>
      <c r="Q75" s="112"/>
    </row>
    <row r="76" spans="2:17" ht="21" thickBot="1" x14ac:dyDescent="0.3">
      <c r="B76" s="16">
        <f t="shared" ref="B76:B85" si="8">B75+1</f>
        <v>67</v>
      </c>
      <c r="C76" s="111" t="s">
        <v>228</v>
      </c>
      <c r="D76" s="108" t="s">
        <v>229</v>
      </c>
      <c r="E76" s="599" t="str">
        <f t="shared" si="7"/>
        <v>May-LisRønning</v>
      </c>
      <c r="F76" s="192">
        <f>YEAR(I$5)-_xlfn.XLOOKUP(E76,Deltakerliste!E$5:E$98,Deltakerliste!I$5:I$98)</f>
        <v>55</v>
      </c>
      <c r="G76" s="192">
        <f>_xlfn.XLOOKUP(E76,Deltakerliste!E$5:E$98,Deltakerliste!H$5:H$98)</f>
        <v>4</v>
      </c>
      <c r="H76" s="592">
        <f>VLOOKUP(F76,Deltakerliste!P$6:T$84,G76,FALSE)</f>
        <v>1.5099999999999996</v>
      </c>
      <c r="I76" s="18"/>
      <c r="J76" s="18"/>
      <c r="K76" s="18"/>
      <c r="L76" s="321"/>
      <c r="M76" s="594"/>
      <c r="N76" s="595"/>
      <c r="O76" s="596"/>
    </row>
    <row r="77" spans="2:17" ht="21" thickBot="1" x14ac:dyDescent="0.3">
      <c r="B77" s="16">
        <f t="shared" si="8"/>
        <v>68</v>
      </c>
      <c r="C77" s="111" t="s">
        <v>147</v>
      </c>
      <c r="D77" s="193" t="s">
        <v>148</v>
      </c>
      <c r="E77" s="599" t="str">
        <f t="shared" si="7"/>
        <v>ViggoSchei</v>
      </c>
      <c r="F77" s="192">
        <f>YEAR(I$5)-_xlfn.XLOOKUP(E77,Deltakerliste!E$5:E$98,Deltakerliste!I$5:I$98)</f>
        <v>74</v>
      </c>
      <c r="G77" s="192">
        <f>_xlfn.XLOOKUP(E77,Deltakerliste!E$5:E$98,Deltakerliste!H$5:H$98)</f>
        <v>2</v>
      </c>
      <c r="H77" s="592">
        <f>VLOOKUP(F77,Deltakerliste!P$6:T$84,G77,FALSE)</f>
        <v>1.569</v>
      </c>
      <c r="I77" s="18"/>
      <c r="J77" s="18"/>
      <c r="K77" s="18"/>
      <c r="L77" s="321"/>
      <c r="M77" s="594"/>
      <c r="N77" s="595"/>
      <c r="O77" s="596"/>
    </row>
    <row r="78" spans="2:17" ht="21" thickBot="1" x14ac:dyDescent="0.3">
      <c r="B78" s="16">
        <f t="shared" si="8"/>
        <v>69</v>
      </c>
      <c r="C78" s="111" t="s">
        <v>298</v>
      </c>
      <c r="D78" s="193" t="s">
        <v>297</v>
      </c>
      <c r="E78" s="599" t="str">
        <f t="shared" si="7"/>
        <v>ØyvindSchjelderup</v>
      </c>
      <c r="F78" s="192">
        <f>YEAR(I$5)-_xlfn.XLOOKUP(E78,Deltakerliste!E$5:E$98,Deltakerliste!I$5:I$98)</f>
        <v>60</v>
      </c>
      <c r="G78" s="192">
        <f>_xlfn.XLOOKUP(E78,Deltakerliste!E$5:E$98,Deltakerliste!H$5:H$98)</f>
        <v>2</v>
      </c>
      <c r="H78" s="592">
        <f>VLOOKUP(F78,Deltakerliste!P$6:T$84,G78,FALSE)</f>
        <v>1.2000000000000002</v>
      </c>
      <c r="I78" s="18"/>
      <c r="J78" s="18"/>
      <c r="K78" s="18"/>
      <c r="L78" s="321"/>
      <c r="M78" s="594"/>
      <c r="N78" s="595"/>
      <c r="O78" s="596"/>
    </row>
    <row r="79" spans="2:17" ht="21" thickBot="1" x14ac:dyDescent="0.3">
      <c r="B79" s="16">
        <f t="shared" si="8"/>
        <v>70</v>
      </c>
      <c r="C79" s="111" t="s">
        <v>151</v>
      </c>
      <c r="D79" s="108" t="s">
        <v>152</v>
      </c>
      <c r="E79" s="599" t="str">
        <f t="shared" si="7"/>
        <v>PålSkyberg</v>
      </c>
      <c r="F79" s="192" t="e">
        <f>YEAR(I$5)-_xlfn.XLOOKUP(E79,Deltakerliste!E$5:E$98,Deltakerliste!I$5:I$98)</f>
        <v>#N/A</v>
      </c>
      <c r="G79" s="192" t="e">
        <f>_xlfn.XLOOKUP(E79,Deltakerliste!E$5:E$98,Deltakerliste!H$5:H$98)</f>
        <v>#N/A</v>
      </c>
      <c r="H79" s="592" t="e">
        <f>VLOOKUP(F79,Deltakerliste!P$6:T$84,G79,FALSE)</f>
        <v>#N/A</v>
      </c>
      <c r="I79" s="18"/>
      <c r="J79" s="18"/>
      <c r="K79" s="18"/>
      <c r="L79" s="321"/>
      <c r="M79" s="594"/>
      <c r="N79" s="595"/>
      <c r="O79" s="596"/>
    </row>
    <row r="80" spans="2:17" ht="21" thickBot="1" x14ac:dyDescent="0.3">
      <c r="B80" s="16">
        <f t="shared" si="8"/>
        <v>71</v>
      </c>
      <c r="C80" s="111" t="s">
        <v>153</v>
      </c>
      <c r="D80" s="108" t="s">
        <v>154</v>
      </c>
      <c r="E80" s="599" t="str">
        <f t="shared" si="7"/>
        <v>ReidunSmaavik</v>
      </c>
      <c r="F80" s="192">
        <f>YEAR(I$5)-_xlfn.XLOOKUP(E80,Deltakerliste!E$5:E$98,Deltakerliste!I$5:I$98)</f>
        <v>70</v>
      </c>
      <c r="G80" s="192">
        <f>_xlfn.XLOOKUP(E80,Deltakerliste!E$5:E$98,Deltakerliste!H$5:H$98)</f>
        <v>4</v>
      </c>
      <c r="H80" s="592">
        <f>VLOOKUP(F80,Deltakerliste!P$6:T$84,G80,FALSE)</f>
        <v>1.9490000000000012</v>
      </c>
      <c r="I80" s="18"/>
      <c r="J80" s="18"/>
      <c r="K80" s="18"/>
      <c r="L80" s="321"/>
      <c r="M80" s="594"/>
      <c r="N80" s="595"/>
      <c r="O80" s="596"/>
    </row>
    <row r="81" spans="2:15" ht="21" thickBot="1" x14ac:dyDescent="0.3">
      <c r="B81" s="16">
        <f t="shared" si="8"/>
        <v>72</v>
      </c>
      <c r="C81" s="193" t="s">
        <v>155</v>
      </c>
      <c r="D81" s="108" t="s">
        <v>156</v>
      </c>
      <c r="E81" s="599" t="str">
        <f t="shared" si="7"/>
        <v>KjellrunSporild</v>
      </c>
      <c r="F81" s="192">
        <f>YEAR(I$5)-_xlfn.XLOOKUP(E81,Deltakerliste!E$5:E$98,Deltakerliste!I$5:I$98)</f>
        <v>70</v>
      </c>
      <c r="G81" s="192">
        <f>_xlfn.XLOOKUP(E81,Deltakerliste!E$5:E$98,Deltakerliste!H$5:H$98)</f>
        <v>4</v>
      </c>
      <c r="H81" s="592">
        <f>VLOOKUP(F81,Deltakerliste!P$6:T$84,G81,FALSE)</f>
        <v>1.9490000000000012</v>
      </c>
      <c r="I81" s="18"/>
      <c r="J81" s="18"/>
      <c r="K81" s="18"/>
      <c r="L81" s="321"/>
      <c r="M81" s="594"/>
      <c r="N81" s="595"/>
      <c r="O81" s="596"/>
    </row>
    <row r="82" spans="2:15" ht="21" thickBot="1" x14ac:dyDescent="0.3">
      <c r="B82" s="16">
        <f t="shared" si="8"/>
        <v>73</v>
      </c>
      <c r="C82" s="193" t="s">
        <v>232</v>
      </c>
      <c r="D82" s="133" t="s">
        <v>231</v>
      </c>
      <c r="E82" s="599" t="str">
        <f t="shared" si="7"/>
        <v>BeritSunnset</v>
      </c>
      <c r="F82" s="192">
        <f>YEAR(I$5)-_xlfn.XLOOKUP(E82,Deltakerliste!E$5:E$98,Deltakerliste!I$5:I$98)</f>
        <v>62</v>
      </c>
      <c r="G82" s="192">
        <f>_xlfn.XLOOKUP(E82,Deltakerliste!E$5:E$98,Deltakerliste!H$5:H$98)</f>
        <v>4</v>
      </c>
      <c r="H82" s="592">
        <f>VLOOKUP(F82,Deltakerliste!P$6:T$84,G82,FALSE)</f>
        <v>1.6834000000000005</v>
      </c>
      <c r="I82" s="18"/>
      <c r="J82" s="18"/>
      <c r="K82" s="18"/>
      <c r="L82" s="321"/>
      <c r="M82" s="594"/>
      <c r="N82" s="595"/>
      <c r="O82" s="596"/>
    </row>
    <row r="83" spans="2:15" ht="21" thickBot="1" x14ac:dyDescent="0.3">
      <c r="B83" s="16">
        <f t="shared" si="8"/>
        <v>74</v>
      </c>
      <c r="C83" s="193" t="s">
        <v>230</v>
      </c>
      <c r="D83" s="108" t="s">
        <v>231</v>
      </c>
      <c r="E83" s="599" t="str">
        <f t="shared" si="7"/>
        <v>TrineSunnset</v>
      </c>
      <c r="F83" s="192">
        <f>YEAR(I$5)-_xlfn.XLOOKUP(E83,Deltakerliste!E$5:E$98,Deltakerliste!I$5:I$98)</f>
        <v>62</v>
      </c>
      <c r="G83" s="192">
        <f>_xlfn.XLOOKUP(E83,Deltakerliste!E$5:E$98,Deltakerliste!H$5:H$98)</f>
        <v>4</v>
      </c>
      <c r="H83" s="592">
        <f>VLOOKUP(F83,Deltakerliste!P$6:T$84,G83,FALSE)</f>
        <v>1.6834000000000005</v>
      </c>
      <c r="I83" s="18"/>
      <c r="J83" s="18"/>
      <c r="K83" s="18"/>
      <c r="L83" s="756"/>
      <c r="M83" s="594"/>
      <c r="N83" s="595"/>
      <c r="O83" s="596"/>
    </row>
    <row r="84" spans="2:15" ht="21" thickBot="1" x14ac:dyDescent="0.3">
      <c r="B84" s="16">
        <f t="shared" si="8"/>
        <v>75</v>
      </c>
      <c r="C84" s="193" t="s">
        <v>265</v>
      </c>
      <c r="D84" s="108" t="s">
        <v>266</v>
      </c>
      <c r="E84" s="599" t="str">
        <f t="shared" si="7"/>
        <v>ØysteinWiggen</v>
      </c>
      <c r="F84" s="192">
        <f>YEAR(I$5)-_xlfn.XLOOKUP(E84,Deltakerliste!E$5:E$98,Deltakerliste!I$5:I$98)</f>
        <v>59</v>
      </c>
      <c r="G84" s="192">
        <f>_xlfn.XLOOKUP(E84,Deltakerliste!E$5:E$98,Deltakerliste!H$5:H$98)</f>
        <v>2</v>
      </c>
      <c r="H84" s="592">
        <f>VLOOKUP(F84,Deltakerliste!P$6:T$84,G84,FALSE)</f>
        <v>1.1860000000000002</v>
      </c>
      <c r="I84" s="18"/>
      <c r="J84" s="18"/>
      <c r="K84" s="18"/>
      <c r="L84" s="757"/>
      <c r="M84" s="594"/>
      <c r="N84" s="758"/>
      <c r="O84" s="596"/>
    </row>
    <row r="85" spans="2:15" ht="21" thickBot="1" x14ac:dyDescent="0.3">
      <c r="B85" s="16">
        <f t="shared" si="8"/>
        <v>76</v>
      </c>
      <c r="C85" s="193" t="s">
        <v>116</v>
      </c>
      <c r="D85" s="108" t="s">
        <v>165</v>
      </c>
      <c r="E85" s="599" t="str">
        <f t="shared" si="7"/>
        <v>AndersWaage</v>
      </c>
      <c r="F85" s="192">
        <f>YEAR(I$5)-_xlfn.XLOOKUP(E85,Deltakerliste!E$5:E$98,Deltakerliste!I$5:I$98)</f>
        <v>77</v>
      </c>
      <c r="G85" s="192">
        <f>_xlfn.XLOOKUP(E85,Deltakerliste!E$5:E$98,Deltakerliste!H$5:H$98)</f>
        <v>2</v>
      </c>
      <c r="H85" s="592">
        <f>VLOOKUP(F85,Deltakerliste!P$6:T$84,G85,FALSE)</f>
        <v>1.7050000000000001</v>
      </c>
      <c r="I85" s="18"/>
      <c r="J85" s="18"/>
      <c r="K85" s="18"/>
      <c r="L85" s="676"/>
      <c r="M85" s="717"/>
      <c r="N85" s="718"/>
      <c r="O85" s="719"/>
    </row>
    <row r="100" spans="4:11" ht="17" thickBot="1" x14ac:dyDescent="0.25"/>
    <row r="101" spans="4:11" ht="21" thickTop="1" thickBot="1" x14ac:dyDescent="0.3">
      <c r="D101" s="646" t="s">
        <v>288</v>
      </c>
      <c r="E101" s="647"/>
      <c r="F101" s="666"/>
      <c r="G101" s="666"/>
      <c r="H101" s="666"/>
      <c r="I101" s="648" t="s">
        <v>195</v>
      </c>
      <c r="J101" s="648" t="s">
        <v>196</v>
      </c>
      <c r="K101" s="649" t="s">
        <v>197</v>
      </c>
    </row>
    <row r="102" spans="4:11" ht="20" x14ac:dyDescent="0.25">
      <c r="D102" s="634" t="s">
        <v>172</v>
      </c>
      <c r="E102" s="320"/>
      <c r="F102" s="208"/>
      <c r="G102" s="208"/>
      <c r="H102" s="208"/>
      <c r="I102" s="635">
        <f>COUNT(I10:I92)+COUNTIF(I10:I92,"Brutt")+COUNTIF(I10:I92,"(*)")</f>
        <v>15</v>
      </c>
      <c r="J102" s="635">
        <f>COUNT(J10:J92)+COUNTIF(J10:J92,"Brutt")+COUNTIF(J10:J92,"(*)")</f>
        <v>22</v>
      </c>
      <c r="K102" s="636">
        <f>I102+J102</f>
        <v>37</v>
      </c>
    </row>
    <row r="103" spans="4:11" ht="19" x14ac:dyDescent="0.25">
      <c r="D103" s="637" t="s">
        <v>174</v>
      </c>
      <c r="E103" s="320"/>
      <c r="F103" s="208"/>
      <c r="G103" s="208"/>
      <c r="H103" s="208"/>
      <c r="I103" s="635">
        <f>COUNT(I10:I92)</f>
        <v>11</v>
      </c>
      <c r="J103" s="635">
        <f>COUNT(J10:J92)</f>
        <v>21</v>
      </c>
      <c r="K103" s="636">
        <f t="shared" ref="K103" si="9">I103+J103</f>
        <v>32</v>
      </c>
    </row>
    <row r="104" spans="4:11" ht="19" x14ac:dyDescent="0.25">
      <c r="D104" s="637" t="s">
        <v>173</v>
      </c>
      <c r="E104" s="320"/>
      <c r="F104" s="208"/>
      <c r="G104" s="208"/>
      <c r="H104" s="208"/>
      <c r="I104" s="208"/>
      <c r="J104" s="208"/>
      <c r="K104" s="636">
        <f>K102+COUNTIF(L10:L92,"Arr")+COUNTIF(L10:L92,"Løype")</f>
        <v>40</v>
      </c>
    </row>
    <row r="105" spans="4:11" ht="19" x14ac:dyDescent="0.25">
      <c r="D105" s="637" t="s">
        <v>341</v>
      </c>
      <c r="E105" s="320"/>
      <c r="F105" s="208"/>
      <c r="G105" s="208"/>
      <c r="H105" s="208"/>
      <c r="I105" s="208"/>
      <c r="J105" s="208"/>
      <c r="K105" s="638">
        <f>AVERAGEIF(M10:M84,"&gt;0",F10:F84)</f>
        <v>75.825000000000003</v>
      </c>
    </row>
    <row r="106" spans="4:11" ht="19" x14ac:dyDescent="0.25">
      <c r="D106" s="637" t="s">
        <v>296</v>
      </c>
      <c r="E106" s="320"/>
      <c r="F106" s="208"/>
      <c r="G106" s="208"/>
      <c r="H106" s="208"/>
      <c r="I106" s="208"/>
      <c r="J106" s="208"/>
      <c r="K106" s="638">
        <f>AVERAGE(I8:J8)</f>
        <v>2.15</v>
      </c>
    </row>
    <row r="107" spans="4:11" ht="19" x14ac:dyDescent="0.25">
      <c r="D107" s="637" t="s">
        <v>176</v>
      </c>
      <c r="E107" s="320"/>
      <c r="F107" s="208"/>
      <c r="G107" s="208"/>
      <c r="H107" s="208"/>
      <c r="I107" s="112">
        <f>I8*I103</f>
        <v>16.5</v>
      </c>
      <c r="J107" s="112">
        <f>J8*J103</f>
        <v>58.8</v>
      </c>
      <c r="K107" s="638">
        <f>I107+J107</f>
        <v>75.3</v>
      </c>
    </row>
    <row r="108" spans="4:11" ht="19" x14ac:dyDescent="0.25">
      <c r="D108" s="639" t="s">
        <v>286</v>
      </c>
      <c r="E108" s="320"/>
      <c r="F108" s="208"/>
      <c r="G108" s="208"/>
      <c r="H108" s="208"/>
      <c r="I108" s="103">
        <f>IF(SUM(I10:I92)=0," ",AVERAGE(I10:I92))</f>
        <v>2.43844696969697E-2</v>
      </c>
      <c r="J108" s="103">
        <f>IF(SUM(J10:J92)=0," ",AVERAGE(J10:J92))</f>
        <v>3.3925264550264546E-2</v>
      </c>
      <c r="K108" s="640">
        <f>IF(SUM(I10:J92)=0," ",AVERAGE(I10:J92))</f>
        <v>3.0645616319444437E-2</v>
      </c>
    </row>
    <row r="109" spans="4:11" ht="20" thickBot="1" x14ac:dyDescent="0.3">
      <c r="D109" s="641" t="s">
        <v>287</v>
      </c>
      <c r="E109" s="642"/>
      <c r="F109" s="644"/>
      <c r="G109" s="644"/>
      <c r="H109" s="644"/>
      <c r="I109" s="643"/>
      <c r="J109" s="644"/>
      <c r="K109" s="645">
        <f>MIN(L10:L92)</f>
        <v>8.9203042328042329E-3</v>
      </c>
    </row>
    <row r="110" spans="4:11" ht="17" thickTop="1" x14ac:dyDescent="0.2"/>
  </sheetData>
  <autoFilter ref="C9:O83" xr:uid="{F6EBD80A-6C8F-0645-A4EE-B956A883897E}">
    <sortState xmlns:xlrd2="http://schemas.microsoft.com/office/spreadsheetml/2017/richdata2" ref="C11:X85">
      <sortCondition ref="N9:N85"/>
    </sortState>
  </autoFilter>
  <mergeCells count="3">
    <mergeCell ref="W7:X7"/>
    <mergeCell ref="S8:U8"/>
    <mergeCell ref="W8:X8"/>
  </mergeCells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91B95-DB12-F74E-B4DC-62141AD3050D}">
  <dimension ref="B1:AC110"/>
  <sheetViews>
    <sheetView topLeftCell="A71" workbookViewId="0">
      <selection activeCell="G1" sqref="G1:G1048576"/>
    </sheetView>
  </sheetViews>
  <sheetFormatPr baseColWidth="10" defaultColWidth="10.83203125" defaultRowHeight="16" x14ac:dyDescent="0.2"/>
  <cols>
    <col min="3" max="3" width="14.5" customWidth="1"/>
    <col min="4" max="4" width="20.1640625" customWidth="1"/>
    <col min="5" max="5" width="20.1640625" hidden="1" customWidth="1"/>
    <col min="6" max="6" width="14.5" style="15" customWidth="1"/>
    <col min="7" max="7" width="14.5" style="15" hidden="1" customWidth="1"/>
    <col min="8" max="8" width="14" style="15" customWidth="1"/>
    <col min="9" max="10" width="19.1640625" style="15" customWidth="1"/>
    <col min="11" max="11" width="17.6640625" style="15" customWidth="1"/>
    <col min="18" max="18" width="12.5" customWidth="1"/>
    <col min="19" max="19" width="13.5" customWidth="1"/>
    <col min="22" max="22" width="1.83203125" customWidth="1"/>
    <col min="23" max="23" width="15.83203125" customWidth="1"/>
    <col min="24" max="24" width="11" customWidth="1"/>
  </cols>
  <sheetData>
    <row r="1" spans="2:29" ht="8" customHeight="1" x14ac:dyDescent="0.2"/>
    <row r="2" spans="2:29" ht="8" customHeight="1" x14ac:dyDescent="0.2"/>
    <row r="5" spans="2:29" ht="26" x14ac:dyDescent="0.3">
      <c r="B5" s="21" t="s">
        <v>199</v>
      </c>
      <c r="C5" s="245" t="s">
        <v>305</v>
      </c>
      <c r="F5" s="667"/>
      <c r="G5" s="667"/>
      <c r="H5" s="671" t="s">
        <v>189</v>
      </c>
      <c r="I5" s="670">
        <v>45951</v>
      </c>
    </row>
    <row r="6" spans="2:29" ht="15.75" thickBot="1" x14ac:dyDescent="0.25">
      <c r="B6" s="15"/>
    </row>
    <row r="7" spans="2:29" ht="59" customHeight="1" thickBot="1" x14ac:dyDescent="0.35">
      <c r="B7" s="12" t="s">
        <v>194</v>
      </c>
      <c r="C7" s="662" t="s">
        <v>57</v>
      </c>
      <c r="D7" s="391" t="s">
        <v>58</v>
      </c>
      <c r="E7" s="663"/>
      <c r="F7" s="663" t="s">
        <v>234</v>
      </c>
      <c r="G7" s="391" t="s">
        <v>280</v>
      </c>
      <c r="H7" s="391" t="s">
        <v>235</v>
      </c>
      <c r="I7" s="391" t="s">
        <v>302</v>
      </c>
      <c r="J7" s="391" t="s">
        <v>303</v>
      </c>
      <c r="K7" s="391" t="s">
        <v>192</v>
      </c>
      <c r="L7" s="194" t="s">
        <v>209</v>
      </c>
      <c r="M7" s="392" t="s">
        <v>55</v>
      </c>
      <c r="N7" s="393" t="s">
        <v>242</v>
      </c>
      <c r="O7" s="393" t="s">
        <v>240</v>
      </c>
      <c r="Q7" s="319"/>
      <c r="R7" s="319"/>
      <c r="S7" s="755" t="str">
        <f>B5</f>
        <v>Løp 3</v>
      </c>
      <c r="T7" s="754" t="str">
        <f>C5</f>
        <v>Solemsåsen</v>
      </c>
      <c r="U7" s="730"/>
      <c r="V7" s="730"/>
      <c r="W7" s="941"/>
      <c r="X7" s="941"/>
    </row>
    <row r="8" spans="2:29" ht="23" customHeight="1" thickTop="1" thickBot="1" x14ac:dyDescent="0.35">
      <c r="B8" s="22"/>
      <c r="C8" s="394"/>
      <c r="D8" s="395"/>
      <c r="E8" s="597"/>
      <c r="F8" s="668"/>
      <c r="G8" s="668"/>
      <c r="H8" s="664"/>
      <c r="I8" s="391">
        <v>2.1</v>
      </c>
      <c r="J8" s="391">
        <v>3.5</v>
      </c>
      <c r="K8" s="391"/>
      <c r="N8" s="389"/>
      <c r="O8" s="390"/>
      <c r="S8" s="942" t="s">
        <v>312</v>
      </c>
      <c r="T8" s="943"/>
      <c r="U8" s="944"/>
      <c r="V8" s="779"/>
      <c r="W8" s="945" t="s">
        <v>313</v>
      </c>
      <c r="X8" s="940"/>
      <c r="AB8" s="836" t="s">
        <v>361</v>
      </c>
      <c r="AC8" s="827"/>
    </row>
    <row r="9" spans="2:29" ht="21" thickBot="1" x14ac:dyDescent="0.3">
      <c r="B9" s="22"/>
      <c r="C9" s="109"/>
      <c r="D9" s="105"/>
      <c r="E9" s="598"/>
      <c r="F9" s="669"/>
      <c r="G9" s="669"/>
      <c r="H9" s="665"/>
      <c r="I9" s="12"/>
      <c r="J9" s="12"/>
      <c r="K9" s="12"/>
      <c r="N9" s="199"/>
      <c r="O9" s="200"/>
      <c r="Q9" s="110"/>
      <c r="S9" s="731"/>
      <c r="T9" s="727" t="s">
        <v>311</v>
      </c>
      <c r="U9" s="750" t="s">
        <v>55</v>
      </c>
      <c r="V9" s="780"/>
      <c r="W9" s="774"/>
      <c r="X9" s="732" t="s">
        <v>55</v>
      </c>
      <c r="AB9" s="834" t="s">
        <v>234</v>
      </c>
      <c r="AC9" s="835" t="s">
        <v>362</v>
      </c>
    </row>
    <row r="10" spans="2:29" ht="21" thickBot="1" x14ac:dyDescent="0.3">
      <c r="B10" s="16">
        <v>1</v>
      </c>
      <c r="C10" s="106" t="s">
        <v>118</v>
      </c>
      <c r="D10" s="107" t="s">
        <v>119</v>
      </c>
      <c r="E10" s="599" t="str">
        <f t="shared" ref="E10:E41" si="0">_xlfn.CONCAT(C10:D10)</f>
        <v>KnutLillealtern</v>
      </c>
      <c r="F10" s="192">
        <f>YEAR(I$5)-_xlfn.XLOOKUP(E10,Deltakerliste!E$5:E$98,Deltakerliste!I$5:I$98)</f>
        <v>76</v>
      </c>
      <c r="G10" s="192">
        <f>_xlfn.XLOOKUP(E10,Deltakerliste!E$5:E$98,Deltakerliste!H$5:H$98)</f>
        <v>2</v>
      </c>
      <c r="H10" s="592">
        <f>VLOOKUP(F10,Deltakerliste!P$6:T$84,G10,FALSE)</f>
        <v>1.655</v>
      </c>
      <c r="I10" s="13"/>
      <c r="J10" s="13">
        <v>3.152777777777778E-2</v>
      </c>
      <c r="K10" s="17"/>
      <c r="L10" s="321">
        <f t="shared" ref="L10:L44" si="1">IF(OR(I10="Arr",J10="Arr",K10="Arr"),"Arr",IF(OR(I10="Brutt",J10="Brutt",K10="Brutt"),"Brutt",IF(OR(I10="Løype",J10="Løype",K10="Løype"),"Løype",IF(I10&gt;0,I10/I$8,J10/J$8))))</f>
        <v>9.0079365079365082E-3</v>
      </c>
      <c r="M10" s="594">
        <f>IF(L10="Løype",Poengsammendrag!$F$2,IF(L10="Arr",Poengsammendrag!$F$3,IF(L10="Brutt",50,IF(L10="Disk",50,ROUND(MAXA(100*(MIN(L$10:L$84)/L10),50),0)))))</f>
        <v>100</v>
      </c>
      <c r="N10" s="595">
        <f t="shared" ref="N10:N44" si="2">IF(L10="Arr","Arr",IF(L10="Brutt","Brutt",IF(L10="Løype","Løype",L10/H10)))</f>
        <v>5.4428619383302167E-3</v>
      </c>
      <c r="O10" s="596">
        <f>IF(N10="Løype",Poengsammendrag!$F$2,IF(N10="Arr",Poengsammendrag!$F$3,IF(N10="Brutt",50,IF(N10="Disk",50,ROUND(MAXA(100*(MIN(N$10:N$84)/N10),50),0)))))</f>
        <v>100</v>
      </c>
      <c r="Q10" s="672"/>
      <c r="R10" s="672"/>
      <c r="S10" s="733" t="s">
        <v>118</v>
      </c>
      <c r="T10" s="734">
        <v>9.0079365079365082E-3</v>
      </c>
      <c r="U10" s="751">
        <v>100</v>
      </c>
      <c r="V10" s="781"/>
      <c r="W10" s="775" t="s">
        <v>118</v>
      </c>
      <c r="X10" s="739">
        <v>100</v>
      </c>
      <c r="AB10" s="832">
        <v>55</v>
      </c>
      <c r="AC10" s="833">
        <f>COUNTIFS(F$10:F$94,AB10,M$10:M$94,"&gt;0")</f>
        <v>0</v>
      </c>
    </row>
    <row r="11" spans="2:29" ht="21" customHeight="1" thickBot="1" x14ac:dyDescent="0.3">
      <c r="B11" s="16">
        <f t="shared" ref="B11:B75" si="3">B10+1</f>
        <v>2</v>
      </c>
      <c r="C11" s="106" t="s">
        <v>120</v>
      </c>
      <c r="D11" s="107" t="s">
        <v>121</v>
      </c>
      <c r="E11" s="599" t="str">
        <f t="shared" si="0"/>
        <v>KlausLivik</v>
      </c>
      <c r="F11" s="192">
        <f>YEAR(I$5)-_xlfn.XLOOKUP(E11,Deltakerliste!E$5:E$98,Deltakerliste!I$5:I$98)</f>
        <v>71</v>
      </c>
      <c r="G11" s="192">
        <f>_xlfn.XLOOKUP(E11,Deltakerliste!E$5:E$98,Deltakerliste!H$5:H$98)</f>
        <v>2</v>
      </c>
      <c r="H11" s="592">
        <f>VLOOKUP(F11,Deltakerliste!P$6:T$84,G11,FALSE)</f>
        <v>1.4609999999999999</v>
      </c>
      <c r="I11" s="13"/>
      <c r="J11" s="13">
        <v>3.5011574074074077E-2</v>
      </c>
      <c r="K11" s="17"/>
      <c r="L11" s="321">
        <f t="shared" si="1"/>
        <v>1.0003306878306879E-2</v>
      </c>
      <c r="M11" s="594">
        <f>IF(L11="Løype",Poengsammendrag!$F$2,IF(L11="Arr",Poengsammendrag!$F$3,IF(L11="Brutt",50,IF(L11="Disk",50,ROUND(MAXA(100*(MIN(L$10:L$84)/L11),50),0)))))</f>
        <v>90</v>
      </c>
      <c r="N11" s="595">
        <f t="shared" si="2"/>
        <v>6.8468904026741132E-3</v>
      </c>
      <c r="O11" s="596">
        <f>IF(N11="Løype",Poengsammendrag!$F$2,IF(N11="Arr",Poengsammendrag!$F$3,IF(N11="Brutt",50,IF(N11="Disk",50,ROUND(MAXA(100*(MIN(N$10:N$84)/N11),50),0)))))</f>
        <v>79</v>
      </c>
      <c r="Q11" s="672"/>
      <c r="R11" s="672"/>
      <c r="S11" s="735" t="s">
        <v>120</v>
      </c>
      <c r="T11" s="736">
        <v>1.0003306878306879E-2</v>
      </c>
      <c r="U11" s="752">
        <v>90</v>
      </c>
      <c r="V11" s="781"/>
      <c r="W11" s="776" t="s">
        <v>138</v>
      </c>
      <c r="X11" s="740">
        <v>98</v>
      </c>
      <c r="AB11" s="828">
        <f>AB10+1</f>
        <v>56</v>
      </c>
      <c r="AC11" s="829">
        <f t="shared" ref="AC11:AC50" si="4">COUNTIFS(F$10:F$94,AB11,M$10:M$94,"&gt;0")</f>
        <v>0</v>
      </c>
    </row>
    <row r="12" spans="2:29" ht="21" customHeight="1" thickBot="1" x14ac:dyDescent="0.3">
      <c r="B12" s="16">
        <f t="shared" si="3"/>
        <v>3</v>
      </c>
      <c r="C12" s="106" t="s">
        <v>136</v>
      </c>
      <c r="D12" s="107" t="s">
        <v>137</v>
      </c>
      <c r="E12" s="599" t="str">
        <f t="shared" si="0"/>
        <v>HaraldOftedal</v>
      </c>
      <c r="F12" s="192">
        <f>YEAR(I$5)-_xlfn.XLOOKUP(E12,Deltakerliste!E$5:E$98,Deltakerliste!I$5:I$98)</f>
        <v>73</v>
      </c>
      <c r="G12" s="192">
        <f>_xlfn.XLOOKUP(E12,Deltakerliste!E$5:E$98,Deltakerliste!H$5:H$98)</f>
        <v>2</v>
      </c>
      <c r="H12" s="592">
        <f>VLOOKUP(F12,Deltakerliste!P$6:T$84,G12,FALSE)</f>
        <v>1.5329999999999999</v>
      </c>
      <c r="I12" s="134"/>
      <c r="J12" s="132">
        <v>3.6597222222222225E-2</v>
      </c>
      <c r="K12" s="134"/>
      <c r="L12" s="321">
        <f t="shared" si="1"/>
        <v>1.0456349206349207E-2</v>
      </c>
      <c r="M12" s="594">
        <f>IF(L12="Løype",Poengsammendrag!$F$2,IF(L12="Arr",Poengsammendrag!$F$3,IF(L12="Brutt",50,IF(L12="Disk",50,ROUND(MAXA(100*(MIN(L$10:L$84)/L12),50),0)))))</f>
        <v>86</v>
      </c>
      <c r="N12" s="595">
        <f t="shared" si="2"/>
        <v>6.8208409695689545E-3</v>
      </c>
      <c r="O12" s="596">
        <f>IF(N12="Løype",Poengsammendrag!$F$2,IF(N12="Arr",Poengsammendrag!$F$3,IF(N12="Brutt",50,IF(N12="Disk",50,ROUND(MAXA(100*(MIN(N$10:N$84)/N12),50),0)))))</f>
        <v>80</v>
      </c>
      <c r="Q12" s="672"/>
      <c r="R12" s="672"/>
      <c r="S12" s="735" t="s">
        <v>136</v>
      </c>
      <c r="T12" s="736">
        <v>1.0456349206349207E-2</v>
      </c>
      <c r="U12" s="752">
        <v>86</v>
      </c>
      <c r="V12" s="781"/>
      <c r="W12" s="776" t="s">
        <v>159</v>
      </c>
      <c r="X12" s="740">
        <v>93</v>
      </c>
      <c r="AB12" s="828">
        <f t="shared" ref="AB12:AB50" si="5">AB11+1</f>
        <v>57</v>
      </c>
      <c r="AC12" s="829">
        <f t="shared" si="4"/>
        <v>0</v>
      </c>
    </row>
    <row r="13" spans="2:29" ht="21" customHeight="1" thickBot="1" x14ac:dyDescent="0.3">
      <c r="B13" s="16">
        <f t="shared" si="3"/>
        <v>4</v>
      </c>
      <c r="C13" s="106" t="s">
        <v>307</v>
      </c>
      <c r="D13" s="107" t="s">
        <v>308</v>
      </c>
      <c r="E13" s="599" t="str">
        <f t="shared" si="0"/>
        <v>RolfWærnes</v>
      </c>
      <c r="F13" s="192">
        <f>YEAR(I$5)-_xlfn.XLOOKUP(E13,Deltakerliste!E$5:E$98,Deltakerliste!I$5:I$98)</f>
        <v>74</v>
      </c>
      <c r="G13" s="192">
        <f>_xlfn.XLOOKUP(E13,Deltakerliste!E$5:E$98,Deltakerliste!H$5:H$98)</f>
        <v>2</v>
      </c>
      <c r="H13" s="592">
        <f>VLOOKUP(F13,Deltakerliste!P$6:T$84,G13,FALSE)</f>
        <v>1.569</v>
      </c>
      <c r="I13" s="18"/>
      <c r="J13" s="132">
        <v>3.7002314814814814E-2</v>
      </c>
      <c r="K13" s="18"/>
      <c r="L13" s="321">
        <f t="shared" si="1"/>
        <v>1.0572089947089946E-2</v>
      </c>
      <c r="M13" s="594">
        <f>IF(L13="Løype",Poengsammendrag!$F$2,IF(L13="Arr",Poengsammendrag!$F$3,IF(L13="Brutt",50,IF(L13="Disk",50,ROUND(MAXA(100*(MIN(L$10:L$84)/L13),50),0)))))</f>
        <v>85</v>
      </c>
      <c r="N13" s="595">
        <f t="shared" si="2"/>
        <v>6.7381070408476396E-3</v>
      </c>
      <c r="O13" s="596">
        <f>IF(N13="Løype",Poengsammendrag!$F$2,IF(N13="Arr",Poengsammendrag!$F$3,IF(N13="Brutt",50,IF(N13="Disk",50,ROUND(MAXA(100*(MIN(N$10:N$84)/N13),50),0)))))</f>
        <v>81</v>
      </c>
      <c r="Q13" s="672"/>
      <c r="R13" s="672"/>
      <c r="S13" s="735" t="s">
        <v>307</v>
      </c>
      <c r="T13" s="736">
        <v>1.0572089947089946E-2</v>
      </c>
      <c r="U13" s="752">
        <v>85</v>
      </c>
      <c r="V13" s="781"/>
      <c r="W13" s="776" t="s">
        <v>338</v>
      </c>
      <c r="X13" s="740">
        <v>90</v>
      </c>
      <c r="AB13" s="828">
        <f t="shared" si="5"/>
        <v>58</v>
      </c>
      <c r="AC13" s="829">
        <f t="shared" si="4"/>
        <v>0</v>
      </c>
    </row>
    <row r="14" spans="2:29" ht="21" customHeight="1" thickBot="1" x14ac:dyDescent="0.3">
      <c r="B14" s="16">
        <f t="shared" si="3"/>
        <v>5</v>
      </c>
      <c r="C14" s="106" t="s">
        <v>101</v>
      </c>
      <c r="D14" s="107" t="s">
        <v>102</v>
      </c>
      <c r="E14" s="599" t="str">
        <f t="shared" si="0"/>
        <v>EvenHofstad</v>
      </c>
      <c r="F14" s="192">
        <f>YEAR(I$5)-_xlfn.XLOOKUP(E14,Deltakerliste!E$5:E$98,Deltakerliste!I$5:I$98)</f>
        <v>71</v>
      </c>
      <c r="G14" s="192">
        <f>_xlfn.XLOOKUP(E14,Deltakerliste!E$5:E$98,Deltakerliste!H$5:H$98)</f>
        <v>2</v>
      </c>
      <c r="H14" s="592">
        <f>VLOOKUP(F14,Deltakerliste!P$6:T$84,G14,FALSE)</f>
        <v>1.4609999999999999</v>
      </c>
      <c r="I14" s="86"/>
      <c r="J14" s="86">
        <v>3.7037037037037035E-2</v>
      </c>
      <c r="K14" s="13"/>
      <c r="L14" s="321">
        <f t="shared" si="1"/>
        <v>1.0582010582010581E-2</v>
      </c>
      <c r="M14" s="594">
        <f>IF(L14="Løype",Poengsammendrag!$F$2,IF(L14="Arr",Poengsammendrag!$F$3,IF(L14="Brutt",50,IF(L14="Disk",50,ROUND(MAXA(100*(MIN(L$10:L$84)/L14),50),0)))))</f>
        <v>85</v>
      </c>
      <c r="N14" s="595">
        <f t="shared" si="2"/>
        <v>7.2429915003494744E-3</v>
      </c>
      <c r="O14" s="596">
        <f>IF(N14="Løype",Poengsammendrag!$F$2,IF(N14="Arr",Poengsammendrag!$F$3,IF(N14="Brutt",50,IF(N14="Disk",50,ROUND(MAXA(100*(MIN(N$10:N$84)/N14),50),0)))))</f>
        <v>75</v>
      </c>
      <c r="Q14" s="672"/>
      <c r="R14" s="672"/>
      <c r="S14" s="735" t="s">
        <v>101</v>
      </c>
      <c r="T14" s="736">
        <v>1.0582010582010581E-2</v>
      </c>
      <c r="U14" s="752">
        <v>85</v>
      </c>
      <c r="V14" s="781"/>
      <c r="W14" s="776" t="s">
        <v>315</v>
      </c>
      <c r="X14" s="740">
        <v>84</v>
      </c>
      <c r="AB14" s="828">
        <f t="shared" si="5"/>
        <v>59</v>
      </c>
      <c r="AC14" s="829">
        <f t="shared" si="4"/>
        <v>0</v>
      </c>
    </row>
    <row r="15" spans="2:29" ht="21" customHeight="1" thickBot="1" x14ac:dyDescent="0.3">
      <c r="B15" s="16">
        <f t="shared" si="3"/>
        <v>6</v>
      </c>
      <c r="C15" s="106" t="s">
        <v>265</v>
      </c>
      <c r="D15" s="107" t="s">
        <v>344</v>
      </c>
      <c r="E15" s="599" t="str">
        <f t="shared" si="0"/>
        <v>ØysteinNytrø</v>
      </c>
      <c r="F15" s="192">
        <f>YEAR(I$5)-_xlfn.XLOOKUP(E15,Deltakerliste!E$5:E$98,Deltakerliste!I$5:I$98)</f>
        <v>65</v>
      </c>
      <c r="G15" s="192">
        <f>_xlfn.XLOOKUP(E15,Deltakerliste!E$5:E$98,Deltakerliste!H$5:H$98)</f>
        <v>2</v>
      </c>
      <c r="H15" s="592">
        <f>VLOOKUP(F15,Deltakerliste!P$6:T$84,G15,FALSE)</f>
        <v>1.2949999999999997</v>
      </c>
      <c r="I15" s="18"/>
      <c r="J15" s="132">
        <v>3.7175925925925925E-2</v>
      </c>
      <c r="K15" s="18"/>
      <c r="L15" s="321">
        <f t="shared" si="1"/>
        <v>1.0621693121693121E-2</v>
      </c>
      <c r="M15" s="594">
        <f>IF(L15="Løype",Poengsammendrag!$F$2,IF(L15="Arr",Poengsammendrag!$F$3,IF(L15="Brutt",50,IF(L15="Disk",50,ROUND(MAXA(100*(MIN(L$10:L$84)/L15),50),0)))))</f>
        <v>85</v>
      </c>
      <c r="N15" s="595">
        <f t="shared" si="2"/>
        <v>8.2020796306510602E-3</v>
      </c>
      <c r="O15" s="596">
        <f>IF(N15="Løype",Poengsammendrag!$F$2,IF(N15="Arr",Poengsammendrag!$F$3,IF(N15="Brutt",50,IF(N15="Disk",50,ROUND(MAXA(100*(MIN(N$10:N$84)/N15),50),0)))))</f>
        <v>66</v>
      </c>
      <c r="Q15" s="672"/>
      <c r="R15" s="672"/>
      <c r="S15" s="735" t="s">
        <v>345</v>
      </c>
      <c r="T15" s="736">
        <v>1.0621693121693121E-2</v>
      </c>
      <c r="U15" s="752">
        <v>85</v>
      </c>
      <c r="V15" s="781"/>
      <c r="W15" s="776" t="s">
        <v>122</v>
      </c>
      <c r="X15" s="740">
        <v>83</v>
      </c>
      <c r="AB15" s="828">
        <f t="shared" si="5"/>
        <v>60</v>
      </c>
      <c r="AC15" s="829">
        <f t="shared" si="4"/>
        <v>0</v>
      </c>
    </row>
    <row r="16" spans="2:29" ht="21" customHeight="1" thickBot="1" x14ac:dyDescent="0.3">
      <c r="B16" s="16">
        <f t="shared" si="3"/>
        <v>7</v>
      </c>
      <c r="C16" s="106" t="s">
        <v>134</v>
      </c>
      <c r="D16" s="107" t="s">
        <v>135</v>
      </c>
      <c r="E16" s="599" t="str">
        <f t="shared" si="0"/>
        <v>IngeNørstebø</v>
      </c>
      <c r="F16" s="192">
        <f>YEAR(I$5)-_xlfn.XLOOKUP(E16,Deltakerliste!E$5:E$98,Deltakerliste!I$5:I$98)</f>
        <v>69</v>
      </c>
      <c r="G16" s="192">
        <f>_xlfn.XLOOKUP(E16,Deltakerliste!E$5:E$98,Deltakerliste!H$5:H$98)</f>
        <v>2</v>
      </c>
      <c r="H16" s="592">
        <f>VLOOKUP(F16,Deltakerliste!P$6:T$84,G16,FALSE)</f>
        <v>1.3989999999999998</v>
      </c>
      <c r="I16" s="13"/>
      <c r="J16" s="13">
        <v>3.7314814814814815E-2</v>
      </c>
      <c r="K16" s="13"/>
      <c r="L16" s="321">
        <f t="shared" si="1"/>
        <v>1.0661375661375662E-2</v>
      </c>
      <c r="M16" s="594">
        <f>IF(L16="Løype",Poengsammendrag!$F$2,IF(L16="Arr",Poengsammendrag!$F$3,IF(L16="Brutt",50,IF(L16="Disk",50,ROUND(MAXA(100*(MIN(L$10:L$84)/L16),50),0)))))</f>
        <v>84</v>
      </c>
      <c r="N16" s="595">
        <f t="shared" si="2"/>
        <v>7.6207116950505098E-3</v>
      </c>
      <c r="O16" s="596">
        <f>IF(N16="Løype",Poengsammendrag!$F$2,IF(N16="Arr",Poengsammendrag!$F$3,IF(N16="Brutt",50,IF(N16="Disk",50,ROUND(MAXA(100*(MIN(N$10:N$84)/N16),50),0)))))</f>
        <v>71</v>
      </c>
      <c r="Q16" s="672"/>
      <c r="R16" s="672"/>
      <c r="S16" s="735" t="s">
        <v>134</v>
      </c>
      <c r="T16" s="736">
        <v>1.0661375661375662E-2</v>
      </c>
      <c r="U16" s="752">
        <v>84</v>
      </c>
      <c r="V16" s="781"/>
      <c r="W16" s="776" t="s">
        <v>96</v>
      </c>
      <c r="X16" s="740">
        <v>82</v>
      </c>
      <c r="AB16" s="828">
        <f t="shared" si="5"/>
        <v>61</v>
      </c>
      <c r="AC16" s="829">
        <f t="shared" si="4"/>
        <v>0</v>
      </c>
    </row>
    <row r="17" spans="2:29" ht="21" customHeight="1" thickBot="1" x14ac:dyDescent="0.3">
      <c r="B17" s="16">
        <f t="shared" si="3"/>
        <v>8</v>
      </c>
      <c r="C17" s="106" t="s">
        <v>138</v>
      </c>
      <c r="D17" s="107" t="s">
        <v>137</v>
      </c>
      <c r="E17" s="599" t="str">
        <f t="shared" si="0"/>
        <v>GunnhildOftedal</v>
      </c>
      <c r="F17" s="192">
        <f>YEAR(I$5)-_xlfn.XLOOKUP(E17,Deltakerliste!E$5:E$98,Deltakerliste!I$5:I$98)</f>
        <v>72</v>
      </c>
      <c r="G17" s="192">
        <f>_xlfn.XLOOKUP(E17,Deltakerliste!E$5:E$98,Deltakerliste!H$5:H$98)</f>
        <v>4</v>
      </c>
      <c r="H17" s="592">
        <f>VLOOKUP(F17,Deltakerliste!P$6:T$84,G17,FALSE)</f>
        <v>2.0362000000000013</v>
      </c>
      <c r="I17" s="13"/>
      <c r="J17" s="13">
        <v>3.9618055555555552E-2</v>
      </c>
      <c r="K17" s="13"/>
      <c r="L17" s="321">
        <f t="shared" si="1"/>
        <v>1.1319444444444443E-2</v>
      </c>
      <c r="M17" s="594">
        <f>IF(L17="Løype",Poengsammendrag!$F$2,IF(L17="Arr",Poengsammendrag!$F$3,IF(L17="Brutt",50,IF(L17="Disk",50,ROUND(MAXA(100*(MIN(L$10:L$84)/L17),50),0)))))</f>
        <v>80</v>
      </c>
      <c r="N17" s="595">
        <f t="shared" si="2"/>
        <v>5.5591024675593929E-3</v>
      </c>
      <c r="O17" s="596">
        <f>IF(N17="Løype",Poengsammendrag!$F$2,IF(N17="Arr",Poengsammendrag!$F$3,IF(N17="Brutt",50,IF(N17="Disk",50,ROUND(MAXA(100*(MIN(N$10:N$84)/N17),50),0)))))</f>
        <v>98</v>
      </c>
      <c r="Q17" s="672"/>
      <c r="R17" s="672"/>
      <c r="S17" s="735" t="s">
        <v>138</v>
      </c>
      <c r="T17" s="736">
        <v>1.1319444444444443E-2</v>
      </c>
      <c r="U17" s="752">
        <v>80</v>
      </c>
      <c r="V17" s="781"/>
      <c r="W17" s="776" t="s">
        <v>142</v>
      </c>
      <c r="X17" s="740">
        <v>81</v>
      </c>
      <c r="AB17" s="828">
        <f t="shared" si="5"/>
        <v>62</v>
      </c>
      <c r="AC17" s="829">
        <f t="shared" si="4"/>
        <v>0</v>
      </c>
    </row>
    <row r="18" spans="2:29" ht="21" customHeight="1" thickBot="1" x14ac:dyDescent="0.3">
      <c r="B18" s="16">
        <f t="shared" si="3"/>
        <v>9</v>
      </c>
      <c r="C18" s="106" t="s">
        <v>106</v>
      </c>
      <c r="D18" s="107" t="s">
        <v>107</v>
      </c>
      <c r="E18" s="599" t="str">
        <f t="shared" si="0"/>
        <v>Jon ArneKlemetsaune</v>
      </c>
      <c r="F18" s="192">
        <f>YEAR(I$5)-_xlfn.XLOOKUP(E18,Deltakerliste!E$5:E$98,Deltakerliste!I$5:I$98)</f>
        <v>76</v>
      </c>
      <c r="G18" s="192">
        <f>_xlfn.XLOOKUP(E18,Deltakerliste!E$5:E$98,Deltakerliste!H$5:H$98)</f>
        <v>2</v>
      </c>
      <c r="H18" s="592">
        <f>VLOOKUP(F18,Deltakerliste!P$6:T$84,G18,FALSE)</f>
        <v>1.655</v>
      </c>
      <c r="I18" s="86"/>
      <c r="J18" s="86">
        <v>4.0381944444444443E-2</v>
      </c>
      <c r="K18" s="17"/>
      <c r="L18" s="321">
        <f t="shared" si="1"/>
        <v>1.1537698412698413E-2</v>
      </c>
      <c r="M18" s="594">
        <f>IF(L18="Løype",Poengsammendrag!$F$2,IF(L18="Arr",Poengsammendrag!$F$3,IF(L18="Brutt",50,IF(L18="Disk",50,ROUND(MAXA(100*(MIN(L$10:L$84)/L18),50),0)))))</f>
        <v>78</v>
      </c>
      <c r="N18" s="595">
        <f t="shared" si="2"/>
        <v>6.9714189804824245E-3</v>
      </c>
      <c r="O18" s="596">
        <f>IF(N18="Løype",Poengsammendrag!$F$2,IF(N18="Arr",Poengsammendrag!$F$3,IF(N18="Brutt",50,IF(N18="Disk",50,ROUND(MAXA(100*(MIN(N$10:N$84)/N18),50),0)))))</f>
        <v>78</v>
      </c>
      <c r="Q18" s="672"/>
      <c r="R18" s="672"/>
      <c r="S18" s="735" t="s">
        <v>106</v>
      </c>
      <c r="T18" s="736">
        <v>1.1537698412698413E-2</v>
      </c>
      <c r="U18" s="752">
        <v>78</v>
      </c>
      <c r="V18" s="781"/>
      <c r="W18" s="776" t="s">
        <v>307</v>
      </c>
      <c r="X18" s="740">
        <v>81</v>
      </c>
      <c r="AB18" s="828">
        <f t="shared" si="5"/>
        <v>63</v>
      </c>
      <c r="AC18" s="829">
        <f t="shared" si="4"/>
        <v>0</v>
      </c>
    </row>
    <row r="19" spans="2:29" ht="21" thickBot="1" x14ac:dyDescent="0.3">
      <c r="B19" s="16">
        <f t="shared" si="3"/>
        <v>10</v>
      </c>
      <c r="C19" s="106" t="s">
        <v>94</v>
      </c>
      <c r="D19" s="107" t="s">
        <v>95</v>
      </c>
      <c r="E19" s="599" t="str">
        <f t="shared" si="0"/>
        <v>TerjeHanssen</v>
      </c>
      <c r="F19" s="192">
        <f>YEAR(I$5)-_xlfn.XLOOKUP(E19,Deltakerliste!E$5:E$98,Deltakerliste!I$5:I$98)</f>
        <v>77</v>
      </c>
      <c r="G19" s="192">
        <f>_xlfn.XLOOKUP(E19,Deltakerliste!E$5:E$98,Deltakerliste!H$5:H$98)</f>
        <v>2</v>
      </c>
      <c r="H19" s="592">
        <f>VLOOKUP(F19,Deltakerliste!P$6:T$84,G19,FALSE)</f>
        <v>1.7050000000000001</v>
      </c>
      <c r="I19" s="86">
        <v>2.5277777777777777E-2</v>
      </c>
      <c r="J19" s="86"/>
      <c r="K19" s="17"/>
      <c r="L19" s="321">
        <f t="shared" si="1"/>
        <v>1.2037037037037037E-2</v>
      </c>
      <c r="M19" s="594">
        <f>IF(L19="Løype",Poengsammendrag!$F$2,IF(L19="Arr",Poengsammendrag!$F$3,IF(L19="Brutt",50,IF(L19="Disk",50,ROUND(MAXA(100*(MIN(L$10:L$83)/L19),50),0)))))</f>
        <v>75</v>
      </c>
      <c r="N19" s="595">
        <f t="shared" si="2"/>
        <v>7.0598457695231886E-3</v>
      </c>
      <c r="O19" s="596">
        <f>IF(N19="Løype",Poengsammendrag!$F$2,IF(N19="Arr",Poengsammendrag!$F$3,IF(N19="Brutt",50,IF(N19="Disk",50,ROUND(MAXA(100*(MIN(N$10:N$84)/N19),50),0)))))</f>
        <v>77</v>
      </c>
      <c r="Q19" s="672"/>
      <c r="R19" s="672"/>
      <c r="S19" s="735" t="s">
        <v>94</v>
      </c>
      <c r="T19" s="736">
        <v>1.2037037037037037E-2</v>
      </c>
      <c r="U19" s="752">
        <v>75</v>
      </c>
      <c r="V19" s="781"/>
      <c r="W19" s="776" t="s">
        <v>136</v>
      </c>
      <c r="X19" s="740">
        <v>80</v>
      </c>
      <c r="AB19" s="828">
        <f t="shared" si="5"/>
        <v>64</v>
      </c>
      <c r="AC19" s="829">
        <f t="shared" si="4"/>
        <v>0</v>
      </c>
    </row>
    <row r="20" spans="2:29" ht="21" thickBot="1" x14ac:dyDescent="0.3">
      <c r="B20" s="16">
        <f t="shared" si="3"/>
        <v>11</v>
      </c>
      <c r="C20" s="106" t="s">
        <v>142</v>
      </c>
      <c r="D20" s="107" t="s">
        <v>143</v>
      </c>
      <c r="E20" s="599" t="str">
        <f t="shared" si="0"/>
        <v>EgilRepvik</v>
      </c>
      <c r="F20" s="192">
        <f>YEAR(I$5)-_xlfn.XLOOKUP(E20,Deltakerliste!E$5:E$98,Deltakerliste!I$5:I$98)</f>
        <v>79</v>
      </c>
      <c r="G20" s="192">
        <f>_xlfn.XLOOKUP(E20,Deltakerliste!E$5:E$98,Deltakerliste!H$5:H$98)</f>
        <v>2</v>
      </c>
      <c r="H20" s="592">
        <f>VLOOKUP(F20,Deltakerliste!P$6:T$84,G20,FALSE)</f>
        <v>1.8050000000000002</v>
      </c>
      <c r="I20" s="132">
        <v>2.5405092592592594E-2</v>
      </c>
      <c r="J20" s="18"/>
      <c r="K20" s="18"/>
      <c r="L20" s="321">
        <f t="shared" si="1"/>
        <v>1.2097663139329806E-2</v>
      </c>
      <c r="M20" s="594">
        <f>IF(L20="Løype",Poengsammendrag!$F$2,IF(L20="Arr",Poengsammendrag!$F$3,IF(L20="Brutt",50,IF(L20="Disk",50,ROUND(MAXA(100*(MIN(L$10:L$84)/L20),50),0)))))</f>
        <v>74</v>
      </c>
      <c r="N20" s="595">
        <f t="shared" si="2"/>
        <v>6.7023064483821638E-3</v>
      </c>
      <c r="O20" s="596">
        <f>IF(N20="Løype",Poengsammendrag!$F$2,IF(N20="Arr",Poengsammendrag!$F$3,IF(N20="Brutt",50,IF(N20="Disk",50,ROUND(MAXA(100*(MIN(N$10:N$84)/N20),50),0)))))</f>
        <v>81</v>
      </c>
      <c r="Q20" s="672"/>
      <c r="R20" s="672"/>
      <c r="S20" s="735" t="s">
        <v>142</v>
      </c>
      <c r="T20" s="736">
        <v>1.2097663139329806E-2</v>
      </c>
      <c r="U20" s="752">
        <v>74</v>
      </c>
      <c r="V20" s="781"/>
      <c r="W20" s="776" t="s">
        <v>120</v>
      </c>
      <c r="X20" s="740">
        <v>79</v>
      </c>
      <c r="AB20" s="828">
        <f t="shared" si="5"/>
        <v>65</v>
      </c>
      <c r="AC20" s="829">
        <f t="shared" si="4"/>
        <v>1</v>
      </c>
    </row>
    <row r="21" spans="2:29" ht="21" customHeight="1" thickBot="1" x14ac:dyDescent="0.3">
      <c r="B21" s="16">
        <f t="shared" si="3"/>
        <v>12</v>
      </c>
      <c r="C21" s="106" t="s">
        <v>72</v>
      </c>
      <c r="D21" s="107" t="s">
        <v>73</v>
      </c>
      <c r="E21" s="599" t="str">
        <f t="shared" si="0"/>
        <v>KåreEggereide</v>
      </c>
      <c r="F21" s="192">
        <f>YEAR(I$5)-_xlfn.XLOOKUP(E21,Deltakerliste!E$5:E$98,Deltakerliste!I$5:I$98)</f>
        <v>74</v>
      </c>
      <c r="G21" s="192">
        <f>_xlfn.XLOOKUP(E21,Deltakerliste!E$5:E$98,Deltakerliste!H$5:H$98)</f>
        <v>2</v>
      </c>
      <c r="H21" s="592">
        <f>VLOOKUP(F21,Deltakerliste!P$6:T$84,G21,FALSE)</f>
        <v>1.569</v>
      </c>
      <c r="I21" s="593"/>
      <c r="J21" s="13">
        <v>4.310185185185185E-2</v>
      </c>
      <c r="K21" s="13"/>
      <c r="L21" s="321">
        <f t="shared" si="1"/>
        <v>1.2314814814814815E-2</v>
      </c>
      <c r="M21" s="594">
        <f>IF(L21="Løype",Poengsammendrag!$F$2,IF(L21="Arr",Poengsammendrag!$F$3,IF(L21="Brutt",50,IF(L21="Disk",50,ROUND(MAXA(100*(MIN(L$10:L$84)/L21),50),0)))))</f>
        <v>73</v>
      </c>
      <c r="N21" s="595">
        <f t="shared" si="2"/>
        <v>7.8488303472369764E-3</v>
      </c>
      <c r="O21" s="596">
        <f>IF(N21="Løype",Poengsammendrag!$F$2,IF(N21="Arr",Poengsammendrag!$F$3,IF(N21="Brutt",50,IF(N21="Disk",50,ROUND(MAXA(100*(MIN(N$10:N$84)/N21),50),0)))))</f>
        <v>69</v>
      </c>
      <c r="Q21" s="672"/>
      <c r="R21" s="672"/>
      <c r="S21" s="735" t="s">
        <v>350</v>
      </c>
      <c r="T21" s="736">
        <v>1.2314814814814815E-2</v>
      </c>
      <c r="U21" s="752">
        <v>73</v>
      </c>
      <c r="V21" s="781"/>
      <c r="W21" s="776" t="s">
        <v>106</v>
      </c>
      <c r="X21" s="740">
        <v>78</v>
      </c>
      <c r="AB21" s="828">
        <f t="shared" si="5"/>
        <v>66</v>
      </c>
      <c r="AC21" s="829">
        <f t="shared" si="4"/>
        <v>3</v>
      </c>
    </row>
    <row r="22" spans="2:29" ht="21" customHeight="1" thickBot="1" x14ac:dyDescent="0.3">
      <c r="B22" s="16">
        <f t="shared" si="3"/>
        <v>13</v>
      </c>
      <c r="C22" s="106" t="s">
        <v>63</v>
      </c>
      <c r="D22" s="107" t="s">
        <v>336</v>
      </c>
      <c r="E22" s="599" t="str">
        <f t="shared" si="0"/>
        <v>ToreFornes</v>
      </c>
      <c r="F22" s="192">
        <f>YEAR(I$5)-_xlfn.XLOOKUP(E22,Deltakerliste!E$5:E$98,Deltakerliste!I$5:I$98)</f>
        <v>66</v>
      </c>
      <c r="G22" s="192">
        <f>_xlfn.XLOOKUP(E22,Deltakerliste!E$5:E$98,Deltakerliste!H$5:H$98)</f>
        <v>2</v>
      </c>
      <c r="H22" s="592">
        <f>VLOOKUP(F22,Deltakerliste!P$6:T$84,G22,FALSE)</f>
        <v>1.3209999999999997</v>
      </c>
      <c r="I22" s="86"/>
      <c r="J22" s="86">
        <v>4.327546296296296E-2</v>
      </c>
      <c r="K22" s="13"/>
      <c r="L22" s="321">
        <f t="shared" si="1"/>
        <v>1.2364417989417989E-2</v>
      </c>
      <c r="M22" s="594">
        <f>IF(L22="Løype",Poengsammendrag!$F$2,IF(L22="Arr",Poengsammendrag!$F$3,IF(L22="Brutt",50,IF(L22="Disk",50,ROUND(MAXA(100*(MIN(L$10:L$84)/L22),50),0)))))</f>
        <v>73</v>
      </c>
      <c r="N22" s="595">
        <f t="shared" si="2"/>
        <v>9.3598924976669128E-3</v>
      </c>
      <c r="O22" s="596">
        <f>IF(N22="Løype",Poengsammendrag!$F$2,IF(N22="Arr",Poengsammendrag!$F$3,IF(N22="Brutt",50,IF(N22="Disk",50,ROUND(MAXA(100*(MIN(N$10:N$84)/N22),50),0)))))</f>
        <v>58</v>
      </c>
      <c r="Q22" s="672"/>
      <c r="R22" s="672"/>
      <c r="S22" s="735" t="s">
        <v>346</v>
      </c>
      <c r="T22" s="736">
        <v>1.2364417989417989E-2</v>
      </c>
      <c r="U22" s="752">
        <v>73</v>
      </c>
      <c r="V22" s="781"/>
      <c r="W22" s="776" t="s">
        <v>94</v>
      </c>
      <c r="X22" s="740">
        <v>77</v>
      </c>
      <c r="AB22" s="828">
        <f t="shared" si="5"/>
        <v>67</v>
      </c>
      <c r="AC22" s="829">
        <f t="shared" si="4"/>
        <v>0</v>
      </c>
    </row>
    <row r="23" spans="2:29" ht="21" customHeight="1" thickBot="1" x14ac:dyDescent="0.3">
      <c r="B23" s="16">
        <f t="shared" si="3"/>
        <v>14</v>
      </c>
      <c r="C23" s="106" t="s">
        <v>122</v>
      </c>
      <c r="D23" s="107" t="s">
        <v>123</v>
      </c>
      <c r="E23" s="599" t="str">
        <f t="shared" si="0"/>
        <v>MartinMelhuus</v>
      </c>
      <c r="F23" s="192">
        <f>YEAR(I$5)-_xlfn.XLOOKUP(E23,Deltakerliste!E$5:E$98,Deltakerliste!I$5:I$98)</f>
        <v>81</v>
      </c>
      <c r="G23" s="192">
        <f>_xlfn.XLOOKUP(E23,Deltakerliste!E$5:E$98,Deltakerliste!H$5:H$98)</f>
        <v>2</v>
      </c>
      <c r="H23" s="592">
        <f>VLOOKUP(F23,Deltakerliste!P$6:T$84,G23,FALSE)</f>
        <v>1.9290000000000003</v>
      </c>
      <c r="I23" s="13">
        <v>2.6724537037037036E-2</v>
      </c>
      <c r="J23" s="13"/>
      <c r="K23" s="13"/>
      <c r="L23" s="321">
        <f t="shared" si="1"/>
        <v>1.2725970017636683E-2</v>
      </c>
      <c r="M23" s="594">
        <f>IF(L23="Løype",Poengsammendrag!$F$2,IF(L23="Arr",Poengsammendrag!$F$3,IF(L23="Brutt",50,IF(L23="Disk",50,ROUND(MAXA(100*(MIN(L$10:L$84)/L23),50),0)))))</f>
        <v>71</v>
      </c>
      <c r="N23" s="595">
        <f t="shared" si="2"/>
        <v>6.597185079127362E-3</v>
      </c>
      <c r="O23" s="596">
        <f>IF(N23="Løype",Poengsammendrag!$F$2,IF(N23="Arr",Poengsammendrag!$F$3,IF(N23="Brutt",50,IF(N23="Disk",50,ROUND(MAXA(100*(MIN(N$10:N$84)/N23),50),0)))))</f>
        <v>83</v>
      </c>
      <c r="Q23" s="672"/>
      <c r="R23" s="672"/>
      <c r="S23" s="735" t="s">
        <v>122</v>
      </c>
      <c r="T23" s="736">
        <v>1.2725970017636683E-2</v>
      </c>
      <c r="U23" s="752">
        <v>71</v>
      </c>
      <c r="V23" s="781"/>
      <c r="W23" s="776" t="s">
        <v>309</v>
      </c>
      <c r="X23" s="740">
        <v>75</v>
      </c>
      <c r="AB23" s="828">
        <f t="shared" si="5"/>
        <v>68</v>
      </c>
      <c r="AC23" s="829">
        <f t="shared" si="4"/>
        <v>0</v>
      </c>
    </row>
    <row r="24" spans="2:29" ht="21" thickBot="1" x14ac:dyDescent="0.3">
      <c r="B24" s="16">
        <f t="shared" si="3"/>
        <v>15</v>
      </c>
      <c r="C24" s="106" t="s">
        <v>126</v>
      </c>
      <c r="D24" s="107" t="s">
        <v>127</v>
      </c>
      <c r="E24" s="599" t="str">
        <f t="shared" si="0"/>
        <v>ArneMikkelsen</v>
      </c>
      <c r="F24" s="192">
        <f>YEAR(I$5)-_xlfn.XLOOKUP(E24,Deltakerliste!E$5:E$98,Deltakerliste!I$5:I$98)</f>
        <v>72</v>
      </c>
      <c r="G24" s="192">
        <f>_xlfn.XLOOKUP(E24,Deltakerliste!E$5:E$98,Deltakerliste!H$5:H$98)</f>
        <v>2</v>
      </c>
      <c r="H24" s="592">
        <f>VLOOKUP(F24,Deltakerliste!P$6:T$84,G24,FALSE)</f>
        <v>1.4969999999999999</v>
      </c>
      <c r="I24" s="13"/>
      <c r="J24" s="13">
        <v>4.5486111111111109E-2</v>
      </c>
      <c r="K24" s="13"/>
      <c r="L24" s="321">
        <f t="shared" si="1"/>
        <v>1.2996031746031745E-2</v>
      </c>
      <c r="M24" s="594">
        <f>IF(L24="Løype",Poengsammendrag!$F$2,IF(L24="Arr",Poengsammendrag!$F$3,IF(L24="Brutt",50,IF(L24="Disk",50,ROUND(MAXA(100*(MIN(L$10:L$84)/L24),50),0)))))</f>
        <v>69</v>
      </c>
      <c r="N24" s="595">
        <f t="shared" si="2"/>
        <v>8.6813839318849347E-3</v>
      </c>
      <c r="O24" s="596">
        <f>IF(N24="Løype",Poengsammendrag!$F$2,IF(N24="Arr",Poengsammendrag!$F$3,IF(N24="Brutt",50,IF(N24="Disk",50,ROUND(MAXA(100*(MIN(N$10:N$84)/N24),50),0)))))</f>
        <v>63</v>
      </c>
      <c r="Q24" s="672"/>
      <c r="R24" s="672"/>
      <c r="S24" s="735" t="s">
        <v>126</v>
      </c>
      <c r="T24" s="736">
        <v>1.2996031746031745E-2</v>
      </c>
      <c r="U24" s="752">
        <v>69</v>
      </c>
      <c r="V24" s="781"/>
      <c r="W24" s="776" t="s">
        <v>101</v>
      </c>
      <c r="X24" s="740">
        <v>75</v>
      </c>
      <c r="AB24" s="828">
        <f t="shared" si="5"/>
        <v>69</v>
      </c>
      <c r="AC24" s="829">
        <f t="shared" si="4"/>
        <v>2</v>
      </c>
    </row>
    <row r="25" spans="2:29" ht="21" thickBot="1" x14ac:dyDescent="0.3">
      <c r="B25" s="16">
        <f t="shared" si="3"/>
        <v>16</v>
      </c>
      <c r="C25" s="106" t="s">
        <v>78</v>
      </c>
      <c r="D25" s="107" t="s">
        <v>79</v>
      </c>
      <c r="E25" s="599" t="str">
        <f t="shared" si="0"/>
        <v>LeifEngen</v>
      </c>
      <c r="F25" s="192">
        <f>YEAR(I$5)-_xlfn.XLOOKUP(E25,Deltakerliste!E$5:E$98,Deltakerliste!I$5:I$98)</f>
        <v>84</v>
      </c>
      <c r="G25" s="192">
        <f>_xlfn.XLOOKUP(E25,Deltakerliste!E$5:E$98,Deltakerliste!H$5:H$98)</f>
        <v>2</v>
      </c>
      <c r="H25" s="592">
        <f>VLOOKUP(F25,Deltakerliste!P$6:T$84,G25,FALSE)</f>
        <v>2.1509999999999998</v>
      </c>
      <c r="I25" s="86">
        <v>2.7303240740740739E-2</v>
      </c>
      <c r="J25" s="86"/>
      <c r="K25" s="13"/>
      <c r="L25" s="321">
        <f t="shared" si="1"/>
        <v>1.3001543209876542E-2</v>
      </c>
      <c r="M25" s="594">
        <f>IF(L25="Løype",Poengsammendrag!$F$2,IF(L25="Arr",Poengsammendrag!$F$3,IF(L25="Brutt",50,IF(L25="Disk",50,ROUND(MAXA(100*(MIN(L$10:L$84)/L25),50),0)))))</f>
        <v>69</v>
      </c>
      <c r="N25" s="595">
        <f t="shared" si="2"/>
        <v>6.0444180427134094E-3</v>
      </c>
      <c r="O25" s="596">
        <f>IF(N25="Løype",Poengsammendrag!$F$2,IF(N25="Arr",Poengsammendrag!$F$3,IF(N25="Brutt",50,IF(N25="Disk",50,ROUND(MAXA(100*(MIN(N$10:N$84)/N25),50),0)))))</f>
        <v>90</v>
      </c>
      <c r="Q25" s="672"/>
      <c r="R25" s="672"/>
      <c r="S25" s="735" t="s">
        <v>338</v>
      </c>
      <c r="T25" s="736">
        <v>1.3001543209876542E-2</v>
      </c>
      <c r="U25" s="752">
        <v>69</v>
      </c>
      <c r="V25" s="781"/>
      <c r="W25" s="776" t="s">
        <v>149</v>
      </c>
      <c r="X25" s="740">
        <v>74</v>
      </c>
      <c r="AB25" s="828">
        <f t="shared" si="5"/>
        <v>70</v>
      </c>
      <c r="AC25" s="829">
        <f t="shared" si="4"/>
        <v>0</v>
      </c>
    </row>
    <row r="26" spans="2:29" ht="21" customHeight="1" thickBot="1" x14ac:dyDescent="0.3">
      <c r="B26" s="16">
        <f t="shared" si="3"/>
        <v>17</v>
      </c>
      <c r="C26" s="106" t="s">
        <v>159</v>
      </c>
      <c r="D26" s="107" t="s">
        <v>160</v>
      </c>
      <c r="E26" s="599" t="str">
        <f t="shared" si="0"/>
        <v>EigilSørli</v>
      </c>
      <c r="F26" s="192">
        <f>YEAR(I$5)-_xlfn.XLOOKUP(E26,Deltakerliste!E$5:E$98,Deltakerliste!I$5:I$98)</f>
        <v>85</v>
      </c>
      <c r="G26" s="192">
        <f>_xlfn.XLOOKUP(E26,Deltakerliste!E$5:E$98,Deltakerliste!H$5:H$98)</f>
        <v>2</v>
      </c>
      <c r="H26" s="592">
        <f>VLOOKUP(F26,Deltakerliste!P$6:T$84,G26,FALSE)</f>
        <v>2.2249999999999996</v>
      </c>
      <c r="I26" s="132">
        <v>2.7349537037037037E-2</v>
      </c>
      <c r="J26" s="18"/>
      <c r="K26" s="18"/>
      <c r="L26" s="321">
        <f t="shared" si="1"/>
        <v>1.3023589065255732E-2</v>
      </c>
      <c r="M26" s="594">
        <f>IF(L26="Løype",Poengsammendrag!$F$2,IF(L26="Arr",Poengsammendrag!$F$3,IF(L26="Brutt",50,IF(L26="Disk",50,ROUND(MAXA(100*(MIN(L$10:L$84)/L26),50),0)))))</f>
        <v>69</v>
      </c>
      <c r="N26" s="595">
        <f t="shared" si="2"/>
        <v>5.8532984562947119E-3</v>
      </c>
      <c r="O26" s="596">
        <f>IF(N26="Løype",Poengsammendrag!$F$2,IF(N26="Arr",Poengsammendrag!$F$3,IF(N26="Brutt",50,IF(N26="Disk",50,ROUND(MAXA(100*(MIN(N$10:N$84)/N26),50),0)))))</f>
        <v>93</v>
      </c>
      <c r="Q26" s="672"/>
      <c r="R26" s="672"/>
      <c r="S26" s="735" t="s">
        <v>159</v>
      </c>
      <c r="T26" s="736">
        <v>1.3023589065255732E-2</v>
      </c>
      <c r="U26" s="752">
        <v>69</v>
      </c>
      <c r="V26" s="781"/>
      <c r="W26" s="776" t="s">
        <v>134</v>
      </c>
      <c r="X26" s="740">
        <v>71</v>
      </c>
      <c r="AB26" s="828">
        <f t="shared" si="5"/>
        <v>71</v>
      </c>
      <c r="AC26" s="829">
        <f t="shared" si="4"/>
        <v>2</v>
      </c>
    </row>
    <row r="27" spans="2:29" ht="21" thickBot="1" x14ac:dyDescent="0.3">
      <c r="B27" s="16">
        <f t="shared" si="3"/>
        <v>18</v>
      </c>
      <c r="C27" s="106" t="s">
        <v>309</v>
      </c>
      <c r="D27" s="107" t="s">
        <v>310</v>
      </c>
      <c r="E27" s="599" t="str">
        <f t="shared" si="0"/>
        <v>VigdisHeimly</v>
      </c>
      <c r="F27" s="192">
        <f>YEAR(I$5)-_xlfn.XLOOKUP(E27,Deltakerliste!E$5:E$98,Deltakerliste!I$5:I$98)</f>
        <v>66</v>
      </c>
      <c r="G27" s="192">
        <f>_xlfn.XLOOKUP(E27,Deltakerliste!E$5:E$98,Deltakerliste!H$5:H$98)</f>
        <v>4</v>
      </c>
      <c r="H27" s="592">
        <f>VLOOKUP(F27,Deltakerliste!P$6:T$84,G27,FALSE)</f>
        <v>1.8066000000000009</v>
      </c>
      <c r="I27" s="86">
        <v>2.7465277777777779E-2</v>
      </c>
      <c r="J27" s="86"/>
      <c r="K27" s="17"/>
      <c r="L27" s="321">
        <f t="shared" si="1"/>
        <v>1.3078703703703703E-2</v>
      </c>
      <c r="M27" s="594">
        <f>IF(L27="Løype",Poengsammendrag!$F$2,IF(L27="Arr",Poengsammendrag!$F$3,IF(L27="Brutt",50,IF(L27="Disk",50,ROUND(MAXA(100*(MIN(L$10:L$84)/L27),50),0)))))</f>
        <v>69</v>
      </c>
      <c r="N27" s="595">
        <f t="shared" si="2"/>
        <v>7.2394020279551077E-3</v>
      </c>
      <c r="O27" s="596">
        <f>IF(N27="Løype",Poengsammendrag!$F$2,IF(N27="Arr",Poengsammendrag!$F$3,IF(N27="Brutt",50,IF(N27="Disk",50,ROUND(MAXA(100*(MIN(N$10:N$84)/N27),50),0)))))</f>
        <v>75</v>
      </c>
      <c r="Q27" s="672"/>
      <c r="R27" s="672"/>
      <c r="S27" s="735" t="s">
        <v>309</v>
      </c>
      <c r="T27" s="736">
        <v>1.3078703703703703E-2</v>
      </c>
      <c r="U27" s="752">
        <v>69</v>
      </c>
      <c r="V27" s="781"/>
      <c r="W27" s="776" t="s">
        <v>349</v>
      </c>
      <c r="X27" s="740">
        <v>71</v>
      </c>
      <c r="AB27" s="828">
        <f t="shared" si="5"/>
        <v>72</v>
      </c>
      <c r="AC27" s="829">
        <f t="shared" si="4"/>
        <v>4</v>
      </c>
    </row>
    <row r="28" spans="2:29" ht="21" customHeight="1" thickBot="1" x14ac:dyDescent="0.3">
      <c r="B28" s="16">
        <f t="shared" si="3"/>
        <v>19</v>
      </c>
      <c r="C28" s="106" t="s">
        <v>72</v>
      </c>
      <c r="D28" s="107" t="s">
        <v>139</v>
      </c>
      <c r="E28" s="599" t="str">
        <f t="shared" si="0"/>
        <v>KåreOnsøyen</v>
      </c>
      <c r="F28" s="192">
        <f>YEAR(I$5)-_xlfn.XLOOKUP(E28,Deltakerliste!E$5:E$98,Deltakerliste!I$5:I$98)</f>
        <v>77</v>
      </c>
      <c r="G28" s="192">
        <f>_xlfn.XLOOKUP(E28,Deltakerliste!E$5:E$98,Deltakerliste!H$5:H$98)</f>
        <v>2</v>
      </c>
      <c r="H28" s="592">
        <f>VLOOKUP(F28,Deltakerliste!P$6:T$84,G28,FALSE)</f>
        <v>1.7050000000000001</v>
      </c>
      <c r="I28" s="13">
        <v>2.7569444444444445E-2</v>
      </c>
      <c r="J28" s="13"/>
      <c r="K28" s="13"/>
      <c r="L28" s="321">
        <f t="shared" si="1"/>
        <v>1.3128306878306878E-2</v>
      </c>
      <c r="M28" s="594">
        <f>IF(L28="Løype",Poengsammendrag!$F$2,IF(L28="Arr",Poengsammendrag!$F$3,IF(L28="Brutt",50,IF(L28="Disk",50,ROUND(MAXA(100*(MIN(L$10:L$84)/L28),50),0)))))</f>
        <v>69</v>
      </c>
      <c r="N28" s="595">
        <f t="shared" si="2"/>
        <v>7.6998867321447957E-3</v>
      </c>
      <c r="O28" s="596">
        <f>IF(N28="Løype",Poengsammendrag!$F$2,IF(N28="Arr",Poengsammendrag!$F$3,IF(N28="Brutt",50,IF(N28="Disk",50,ROUND(MAXA(100*(MIN(N$10:N$84)/N28),50),0)))))</f>
        <v>71</v>
      </c>
      <c r="Q28" s="672"/>
      <c r="R28" s="672"/>
      <c r="S28" s="735" t="s">
        <v>340</v>
      </c>
      <c r="T28" s="736">
        <v>1.3128306878306878E-2</v>
      </c>
      <c r="U28" s="752">
        <v>69</v>
      </c>
      <c r="V28" s="781"/>
      <c r="W28" s="776" t="s">
        <v>350</v>
      </c>
      <c r="X28" s="740">
        <v>69</v>
      </c>
      <c r="AB28" s="828">
        <f t="shared" si="5"/>
        <v>73</v>
      </c>
      <c r="AC28" s="829">
        <f t="shared" si="4"/>
        <v>2</v>
      </c>
    </row>
    <row r="29" spans="2:29" ht="21" thickBot="1" x14ac:dyDescent="0.3">
      <c r="B29" s="16">
        <f t="shared" si="3"/>
        <v>20</v>
      </c>
      <c r="C29" s="106" t="s">
        <v>63</v>
      </c>
      <c r="D29" s="107" t="s">
        <v>98</v>
      </c>
      <c r="E29" s="599" t="str">
        <f t="shared" si="0"/>
        <v>ToreHeggem</v>
      </c>
      <c r="F29" s="192">
        <f>YEAR(I$5)-_xlfn.XLOOKUP(E29,Deltakerliste!E$5:E$98,Deltakerliste!I$5:I$98)</f>
        <v>72</v>
      </c>
      <c r="G29" s="192">
        <f>_xlfn.XLOOKUP(E29,Deltakerliste!E$5:E$98,Deltakerliste!H$5:H$98)</f>
        <v>2</v>
      </c>
      <c r="H29" s="592">
        <f>VLOOKUP(F29,Deltakerliste!P$6:T$84,G29,FALSE)</f>
        <v>1.4969999999999999</v>
      </c>
      <c r="I29" s="86"/>
      <c r="J29" s="86">
        <v>4.5949074074074073E-2</v>
      </c>
      <c r="K29" s="13"/>
      <c r="L29" s="321">
        <f t="shared" si="1"/>
        <v>1.3128306878306878E-2</v>
      </c>
      <c r="M29" s="594">
        <f>IF(L29="Løype",Poengsammendrag!$F$2,IF(L29="Arr",Poengsammendrag!$F$3,IF(L29="Brutt",50,IF(L29="Disk",50,ROUND(MAXA(100*(MIN(L$10:L$84)/L29),50),0)))))</f>
        <v>69</v>
      </c>
      <c r="N29" s="595">
        <f t="shared" si="2"/>
        <v>8.76974407368529E-3</v>
      </c>
      <c r="O29" s="596">
        <f>IF(N29="Løype",Poengsammendrag!$F$2,IF(N29="Arr",Poengsammendrag!$F$3,IF(N29="Brutt",50,IF(N29="Disk",50,ROUND(MAXA(100*(MIN(N$10:N$84)/N29),50),0)))))</f>
        <v>62</v>
      </c>
      <c r="Q29" s="672"/>
      <c r="R29" s="672"/>
      <c r="S29" s="735" t="s">
        <v>349</v>
      </c>
      <c r="T29" s="736">
        <v>1.3128306878306878E-2</v>
      </c>
      <c r="U29" s="752">
        <v>69</v>
      </c>
      <c r="V29" s="781"/>
      <c r="W29" s="776" t="s">
        <v>345</v>
      </c>
      <c r="X29" s="740">
        <v>66</v>
      </c>
      <c r="AB29" s="828">
        <f t="shared" si="5"/>
        <v>74</v>
      </c>
      <c r="AC29" s="829">
        <f t="shared" si="4"/>
        <v>5</v>
      </c>
    </row>
    <row r="30" spans="2:29" ht="21" thickBot="1" x14ac:dyDescent="0.3">
      <c r="B30" s="16">
        <f t="shared" si="3"/>
        <v>21</v>
      </c>
      <c r="C30" s="106" t="s">
        <v>149</v>
      </c>
      <c r="D30" s="107" t="s">
        <v>150</v>
      </c>
      <c r="E30" s="599" t="str">
        <f t="shared" si="0"/>
        <v>BenteSkorge</v>
      </c>
      <c r="F30" s="192">
        <f>YEAR(I$5)-_xlfn.XLOOKUP(E30,Deltakerliste!E$5:E$98,Deltakerliste!I$5:I$98)</f>
        <v>66</v>
      </c>
      <c r="G30" s="192">
        <f>_xlfn.XLOOKUP(E30,Deltakerliste!E$5:E$98,Deltakerliste!H$5:H$98)</f>
        <v>4</v>
      </c>
      <c r="H30" s="592">
        <f>VLOOKUP(F30,Deltakerliste!P$6:T$84,G30,FALSE)</f>
        <v>1.8066000000000009</v>
      </c>
      <c r="I30" s="18"/>
      <c r="J30" s="132">
        <v>4.6481481481481485E-2</v>
      </c>
      <c r="K30" s="18"/>
      <c r="L30" s="321">
        <f t="shared" si="1"/>
        <v>1.3280423280423281E-2</v>
      </c>
      <c r="M30" s="594">
        <f>IF(L30="Løype",Poengsammendrag!$F$2,IF(L30="Arr",Poengsammendrag!$F$3,IF(L30="Brutt",50,IF(L30="Disk",50,ROUND(MAXA(100*(MIN(L$10:L$84)/L30),50),0)))))</f>
        <v>68</v>
      </c>
      <c r="N30" s="595">
        <f t="shared" si="2"/>
        <v>7.3510590503837459E-3</v>
      </c>
      <c r="O30" s="596">
        <f>IF(N30="Løype",Poengsammendrag!$F$2,IF(N30="Arr",Poengsammendrag!$F$3,IF(N30="Brutt",50,IF(N30="Disk",50,ROUND(MAXA(100*(MIN(N$10:N$84)/N30),50),0)))))</f>
        <v>74</v>
      </c>
      <c r="Q30" s="672"/>
      <c r="R30" s="672"/>
      <c r="S30" s="735" t="s">
        <v>149</v>
      </c>
      <c r="T30" s="736">
        <v>1.3280423280423281E-2</v>
      </c>
      <c r="U30" s="752">
        <v>68</v>
      </c>
      <c r="V30" s="781"/>
      <c r="W30" s="776" t="s">
        <v>251</v>
      </c>
      <c r="X30" s="740">
        <v>66</v>
      </c>
      <c r="AB30" s="828">
        <f t="shared" si="5"/>
        <v>75</v>
      </c>
      <c r="AC30" s="829">
        <f t="shared" si="4"/>
        <v>0</v>
      </c>
    </row>
    <row r="31" spans="2:29" ht="21" customHeight="1" thickBot="1" x14ac:dyDescent="0.3">
      <c r="B31" s="16">
        <f t="shared" si="3"/>
        <v>22</v>
      </c>
      <c r="C31" s="106" t="s">
        <v>168</v>
      </c>
      <c r="D31" s="107" t="s">
        <v>169</v>
      </c>
      <c r="E31" s="599" t="str">
        <f t="shared" si="0"/>
        <v>SteinØvstedal</v>
      </c>
      <c r="F31" s="192">
        <f>YEAR(I$5)-_xlfn.XLOOKUP(E31,Deltakerliste!E$5:E$98,Deltakerliste!I$5:I$98)</f>
        <v>74</v>
      </c>
      <c r="G31" s="192">
        <f>_xlfn.XLOOKUP(E31,Deltakerliste!E$5:E$98,Deltakerliste!H$5:H$98)</f>
        <v>2</v>
      </c>
      <c r="H31" s="592">
        <f>VLOOKUP(F31,Deltakerliste!P$6:T$84,G31,FALSE)</f>
        <v>1.569</v>
      </c>
      <c r="I31" s="132">
        <v>2.8530092592592593E-2</v>
      </c>
      <c r="J31" s="132"/>
      <c r="K31" s="18"/>
      <c r="L31" s="321">
        <f t="shared" si="1"/>
        <v>1.3585758377425044E-2</v>
      </c>
      <c r="M31" s="594">
        <f>IF(L31="Løype",Poengsammendrag!$F$2,IF(L31="Arr",Poengsammendrag!$F$3,IF(L31="Brutt",50,IF(L31="Disk",50,ROUND(MAXA(100*(MIN(L$10:L$84)/L31),50),0)))))</f>
        <v>66</v>
      </c>
      <c r="N31" s="595">
        <f t="shared" si="2"/>
        <v>8.6588644852932089E-3</v>
      </c>
      <c r="O31" s="596">
        <f>IF(N31="Løype",Poengsammendrag!$F$2,IF(N31="Arr",Poengsammendrag!$F$3,IF(N31="Brutt",50,IF(N31="Disk",50,ROUND(MAXA(100*(MIN(N$10:N$84)/N31),50),0)))))</f>
        <v>63</v>
      </c>
      <c r="Q31" s="672"/>
      <c r="R31" s="672"/>
      <c r="S31" s="735" t="s">
        <v>168</v>
      </c>
      <c r="T31" s="736">
        <v>1.3585758377425044E-2</v>
      </c>
      <c r="U31" s="752">
        <v>66</v>
      </c>
      <c r="V31" s="781"/>
      <c r="W31" s="776" t="s">
        <v>168</v>
      </c>
      <c r="X31" s="740">
        <v>63</v>
      </c>
      <c r="AB31" s="828">
        <f t="shared" si="5"/>
        <v>76</v>
      </c>
      <c r="AC31" s="829">
        <f t="shared" si="4"/>
        <v>4</v>
      </c>
    </row>
    <row r="32" spans="2:29" ht="21" customHeight="1" thickBot="1" x14ac:dyDescent="0.3">
      <c r="B32" s="16">
        <f t="shared" si="3"/>
        <v>23</v>
      </c>
      <c r="C32" s="106" t="s">
        <v>251</v>
      </c>
      <c r="D32" s="107" t="s">
        <v>252</v>
      </c>
      <c r="E32" s="599" t="str">
        <f t="shared" si="0"/>
        <v>OttarKristiansen</v>
      </c>
      <c r="F32" s="192">
        <f>YEAR(I$5)-_xlfn.XLOOKUP(E32,Deltakerliste!E$5:E$98,Deltakerliste!I$5:I$98)</f>
        <v>76</v>
      </c>
      <c r="G32" s="192">
        <f>_xlfn.XLOOKUP(E32,Deltakerliste!E$5:E$98,Deltakerliste!H$5:H$98)</f>
        <v>2</v>
      </c>
      <c r="H32" s="592">
        <f>VLOOKUP(F32,Deltakerliste!P$6:T$84,G32,FALSE)</f>
        <v>1.655</v>
      </c>
      <c r="I32" s="86"/>
      <c r="J32" s="86">
        <v>4.7824074074074074E-2</v>
      </c>
      <c r="K32" s="17"/>
      <c r="L32" s="321">
        <f t="shared" si="1"/>
        <v>1.3664021164021165E-2</v>
      </c>
      <c r="M32" s="594">
        <f>IF(L32="Løype",Poengsammendrag!$F$2,IF(L32="Arr",Poengsammendrag!$F$3,IF(L32="Brutt",50,IF(L32="Disk",50,ROUND(MAXA(100*(MIN(L$10:L$84)/L32),50),0)))))</f>
        <v>66</v>
      </c>
      <c r="N32" s="595">
        <f t="shared" si="2"/>
        <v>8.2562061414025167E-3</v>
      </c>
      <c r="O32" s="596">
        <f>IF(N32="Løype",Poengsammendrag!$F$2,IF(N32="Arr",Poengsammendrag!$F$3,IF(N32="Brutt",50,IF(N32="Disk",50,ROUND(MAXA(100*(MIN(N$10:N$84)/N32),50),0)))))</f>
        <v>66</v>
      </c>
      <c r="S32" s="735" t="s">
        <v>251</v>
      </c>
      <c r="T32" s="736">
        <v>1.3664021164021165E-2</v>
      </c>
      <c r="U32" s="752">
        <v>66</v>
      </c>
      <c r="V32" s="781"/>
      <c r="W32" s="776" t="s">
        <v>126</v>
      </c>
      <c r="X32" s="740">
        <v>63</v>
      </c>
      <c r="AB32" s="828">
        <f t="shared" si="5"/>
        <v>77</v>
      </c>
      <c r="AC32" s="829">
        <f t="shared" si="4"/>
        <v>2</v>
      </c>
    </row>
    <row r="33" spans="2:29" ht="21" customHeight="1" thickBot="1" x14ac:dyDescent="0.3">
      <c r="B33" s="16">
        <f t="shared" si="3"/>
        <v>24</v>
      </c>
      <c r="C33" s="106" t="s">
        <v>76</v>
      </c>
      <c r="D33" s="107" t="s">
        <v>77</v>
      </c>
      <c r="E33" s="599" t="str">
        <f t="shared" si="0"/>
        <v>ReinoldEllingsen</v>
      </c>
      <c r="F33" s="192">
        <f>YEAR(I$5)-_xlfn.XLOOKUP(E33,Deltakerliste!E$5:E$98,Deltakerliste!I$5:I$98)</f>
        <v>74</v>
      </c>
      <c r="G33" s="192">
        <f>_xlfn.XLOOKUP(E33,Deltakerliste!E$5:E$98,Deltakerliste!H$5:H$98)</f>
        <v>2</v>
      </c>
      <c r="H33" s="592">
        <f>VLOOKUP(F33,Deltakerliste!P$6:T$84,G33,FALSE)</f>
        <v>1.569</v>
      </c>
      <c r="I33" s="13"/>
      <c r="J33" s="13">
        <v>5.1469907407407409E-2</v>
      </c>
      <c r="K33" s="13"/>
      <c r="L33" s="321">
        <f t="shared" si="1"/>
        <v>1.4705687830687831E-2</v>
      </c>
      <c r="M33" s="594">
        <f>IF(L33="Løype",Poengsammendrag!$F$2,IF(L33="Arr",Poengsammendrag!$F$3,IF(L33="Brutt",50,IF(L33="Disk",50,ROUND(MAXA(100*(MIN(L$10:L$84)/L33),50),0)))))</f>
        <v>61</v>
      </c>
      <c r="N33" s="595">
        <f t="shared" si="2"/>
        <v>9.3726499876914168E-3</v>
      </c>
      <c r="O33" s="596">
        <f>IF(N33="Løype",Poengsammendrag!$F$2,IF(N33="Arr",Poengsammendrag!$F$3,IF(N33="Brutt",50,IF(N33="Disk",50,ROUND(MAXA(100*(MIN(N$10:N$84)/N33),50),0)))))</f>
        <v>58</v>
      </c>
      <c r="S33" s="735" t="s">
        <v>76</v>
      </c>
      <c r="T33" s="736">
        <v>1.4705687830687831E-2</v>
      </c>
      <c r="U33" s="752">
        <v>61</v>
      </c>
      <c r="V33" s="781"/>
      <c r="W33" s="776" t="s">
        <v>340</v>
      </c>
      <c r="X33" s="740">
        <v>62</v>
      </c>
      <c r="AB33" s="828">
        <f t="shared" si="5"/>
        <v>78</v>
      </c>
      <c r="AC33" s="829">
        <f t="shared" si="4"/>
        <v>0</v>
      </c>
    </row>
    <row r="34" spans="2:29" ht="21" customHeight="1" thickBot="1" x14ac:dyDescent="0.3">
      <c r="B34" s="16">
        <f t="shared" si="3"/>
        <v>25</v>
      </c>
      <c r="C34" s="106" t="s">
        <v>116</v>
      </c>
      <c r="D34" s="107" t="s">
        <v>117</v>
      </c>
      <c r="E34" s="599" t="str">
        <f t="shared" si="0"/>
        <v>AndersLauglo</v>
      </c>
      <c r="F34" s="192">
        <f>YEAR(I$5)-_xlfn.XLOOKUP(E34,Deltakerliste!E$5:E$98,Deltakerliste!I$5:I$98)</f>
        <v>86</v>
      </c>
      <c r="G34" s="192">
        <f>_xlfn.XLOOKUP(E34,Deltakerliste!E$5:E$98,Deltakerliste!H$5:H$98)</f>
        <v>2</v>
      </c>
      <c r="H34" s="592">
        <f>VLOOKUP(F34,Deltakerliste!P$6:T$84,G34,FALSE)</f>
        <v>2.3089999999999997</v>
      </c>
      <c r="I34" s="13">
        <v>3.1435185185185184E-2</v>
      </c>
      <c r="J34" s="13"/>
      <c r="K34" s="86"/>
      <c r="L34" s="321">
        <f t="shared" si="1"/>
        <v>1.4969135802469134E-2</v>
      </c>
      <c r="M34" s="594">
        <f>IF(L34="Løype",Poengsammendrag!$F$2,IF(L34="Arr",Poengsammendrag!$F$3,IF(L34="Brutt",50,IF(L34="Disk",50,ROUND(MAXA(100*(MIN(L$10:L$84)/L34),50),0)))))</f>
        <v>60</v>
      </c>
      <c r="N34" s="595">
        <f t="shared" si="2"/>
        <v>6.4829518416929998E-3</v>
      </c>
      <c r="O34" s="596">
        <f>IF(N34="Løype",Poengsammendrag!$F$2,IF(N34="Arr",Poengsammendrag!$F$3,IF(N34="Brutt",50,IF(N34="Disk",50,ROUND(MAXA(100*(MIN(N$10:N$84)/N34),50),0)))))</f>
        <v>84</v>
      </c>
      <c r="S34" s="735" t="s">
        <v>315</v>
      </c>
      <c r="T34" s="736">
        <v>1.4969135802469134E-2</v>
      </c>
      <c r="U34" s="752">
        <v>60</v>
      </c>
      <c r="V34" s="781"/>
      <c r="W34" s="776" t="s">
        <v>351</v>
      </c>
      <c r="X34" s="740">
        <v>60</v>
      </c>
      <c r="AB34" s="828">
        <f t="shared" si="5"/>
        <v>79</v>
      </c>
      <c r="AC34" s="829">
        <f t="shared" si="4"/>
        <v>1</v>
      </c>
    </row>
    <row r="35" spans="2:29" ht="21" customHeight="1" thickBot="1" x14ac:dyDescent="0.3">
      <c r="B35" s="16">
        <f t="shared" si="3"/>
        <v>26</v>
      </c>
      <c r="C35" s="106" t="s">
        <v>96</v>
      </c>
      <c r="D35" s="107" t="s">
        <v>97</v>
      </c>
      <c r="E35" s="599" t="str">
        <f t="shared" si="0"/>
        <v>StigHaugskott</v>
      </c>
      <c r="F35" s="192">
        <f>YEAR(I$5)-_xlfn.XLOOKUP(E35,Deltakerliste!E$5:E$98,Deltakerliste!I$5:I$98)</f>
        <v>86</v>
      </c>
      <c r="G35" s="192">
        <f>_xlfn.XLOOKUP(E35,Deltakerliste!E$5:E$98,Deltakerliste!H$5:H$98)</f>
        <v>2</v>
      </c>
      <c r="H35" s="592">
        <f>VLOOKUP(F35,Deltakerliste!P$6:T$84,G35,FALSE)</f>
        <v>2.3089999999999997</v>
      </c>
      <c r="I35" s="86">
        <v>3.2233796296296295E-2</v>
      </c>
      <c r="J35" s="86"/>
      <c r="K35" s="86"/>
      <c r="L35" s="321">
        <f t="shared" si="1"/>
        <v>1.5349426807760139E-2</v>
      </c>
      <c r="M35" s="594">
        <f>IF(L35="Løype",Poengsammendrag!$F$2,IF(L35="Arr",Poengsammendrag!$F$3,IF(L35="Brutt",50,IF(L35="Disk",50,ROUND(MAXA(100*(MIN(L$10:L$84)/L35),50),0)))))</f>
        <v>59</v>
      </c>
      <c r="N35" s="595">
        <f t="shared" si="2"/>
        <v>6.6476512809701778E-3</v>
      </c>
      <c r="O35" s="596">
        <f>IF(N35="Løype",Poengsammendrag!$F$2,IF(N35="Arr",Poengsammendrag!$F$3,IF(N35="Brutt",50,IF(N35="Disk",50,ROUND(MAXA(100*(MIN(N$10:N$84)/N35),50),0)))))</f>
        <v>82</v>
      </c>
      <c r="S35" s="735" t="s">
        <v>96</v>
      </c>
      <c r="T35" s="736">
        <v>1.5349426807760139E-2</v>
      </c>
      <c r="U35" s="752">
        <v>59</v>
      </c>
      <c r="V35" s="781"/>
      <c r="W35" s="776" t="s">
        <v>346</v>
      </c>
      <c r="X35" s="740">
        <v>58</v>
      </c>
      <c r="AB35" s="828">
        <f t="shared" si="5"/>
        <v>80</v>
      </c>
      <c r="AC35" s="829">
        <f t="shared" si="4"/>
        <v>1</v>
      </c>
    </row>
    <row r="36" spans="2:29" ht="21" thickBot="1" x14ac:dyDescent="0.3">
      <c r="B36" s="16">
        <f t="shared" si="3"/>
        <v>27</v>
      </c>
      <c r="C36" s="106" t="s">
        <v>170</v>
      </c>
      <c r="D36" s="107" t="s">
        <v>171</v>
      </c>
      <c r="E36" s="599" t="str">
        <f t="shared" si="0"/>
        <v>ØisteinÅsmul</v>
      </c>
      <c r="F36" s="192">
        <f>YEAR(I$5)-_xlfn.XLOOKUP(E36,Deltakerliste!E$5:E$98,Deltakerliste!I$5:I$98)</f>
        <v>80</v>
      </c>
      <c r="G36" s="192">
        <f>_xlfn.XLOOKUP(E36,Deltakerliste!E$5:E$98,Deltakerliste!H$5:H$98)</f>
        <v>2</v>
      </c>
      <c r="H36" s="592">
        <f>VLOOKUP(F36,Deltakerliste!P$6:T$84,G36,FALSE)</f>
        <v>1.8550000000000002</v>
      </c>
      <c r="I36" s="132">
        <v>3.5613425925925923E-2</v>
      </c>
      <c r="J36" s="18"/>
      <c r="K36" s="18"/>
      <c r="L36" s="321">
        <f t="shared" si="1"/>
        <v>1.6958774250440914E-2</v>
      </c>
      <c r="M36" s="594">
        <f>IF(L36="Løype",Poengsammendrag!$F$2,IF(L36="Arr",Poengsammendrag!$F$3,IF(L36="Brutt",50,IF(L36="Disk",50,ROUND(MAXA(100*(MIN(L$10:L$84)/L36),50),0)))))</f>
        <v>53</v>
      </c>
      <c r="N36" s="595">
        <f t="shared" si="2"/>
        <v>9.1421963614236722E-3</v>
      </c>
      <c r="O36" s="596">
        <f>IF(N36="Løype",Poengsammendrag!$F$2,IF(N36="Arr",Poengsammendrag!$F$3,IF(N36="Brutt",50,IF(N36="Disk",50,ROUND(MAXA(100*(MIN(N$10:N$84)/N36),50),0)))))</f>
        <v>60</v>
      </c>
      <c r="S36" s="735" t="s">
        <v>347</v>
      </c>
      <c r="T36" s="736">
        <v>1.6958774250440914E-2</v>
      </c>
      <c r="U36" s="752">
        <v>53</v>
      </c>
      <c r="V36" s="781"/>
      <c r="W36" s="776" t="s">
        <v>76</v>
      </c>
      <c r="X36" s="740">
        <v>58</v>
      </c>
      <c r="AB36" s="828">
        <f t="shared" si="5"/>
        <v>81</v>
      </c>
      <c r="AC36" s="829">
        <f t="shared" si="4"/>
        <v>2</v>
      </c>
    </row>
    <row r="37" spans="2:29" ht="21" customHeight="1" thickBot="1" x14ac:dyDescent="0.3">
      <c r="B37" s="16">
        <f t="shared" si="3"/>
        <v>28</v>
      </c>
      <c r="C37" s="106" t="s">
        <v>78</v>
      </c>
      <c r="D37" s="107" t="s">
        <v>146</v>
      </c>
      <c r="E37" s="599" t="str">
        <f t="shared" si="0"/>
        <v>LeifRøhjell</v>
      </c>
      <c r="F37" s="192">
        <f>YEAR(I$5)-_xlfn.XLOOKUP(E37,Deltakerliste!E$5:E$98,Deltakerliste!I$5:I$98)</f>
        <v>81</v>
      </c>
      <c r="G37" s="192">
        <f>_xlfn.XLOOKUP(E37,Deltakerliste!E$5:E$98,Deltakerliste!H$5:H$98)</f>
        <v>2</v>
      </c>
      <c r="H37" s="592">
        <f>VLOOKUP(F37,Deltakerliste!P$6:T$84,G37,FALSE)</f>
        <v>1.9290000000000003</v>
      </c>
      <c r="I37" s="132">
        <v>4.1550925925925929E-2</v>
      </c>
      <c r="J37" s="18"/>
      <c r="K37" s="18"/>
      <c r="L37" s="321">
        <f t="shared" si="1"/>
        <v>1.978615520282187E-2</v>
      </c>
      <c r="M37" s="594">
        <f>IF(L37="Løype",Poengsammendrag!$F$2,IF(L37="Arr",Poengsammendrag!$F$3,IF(L37="Brutt",50,IF(L37="Disk",50,ROUND(MAXA(100*(MIN(L$10:L$84)/L37),50),0)))))</f>
        <v>50</v>
      </c>
      <c r="N37" s="595">
        <f t="shared" si="2"/>
        <v>1.0257208503277278E-2</v>
      </c>
      <c r="O37" s="596">
        <f>IF(N37="Løype",Poengsammendrag!$F$2,IF(N37="Arr",Poengsammendrag!$F$3,IF(N37="Brutt",50,IF(N37="Disk",50,ROUND(MAXA(100*(MIN(N$10:N$84)/N37),50),0)))))</f>
        <v>53</v>
      </c>
      <c r="S37" s="735" t="s">
        <v>337</v>
      </c>
      <c r="T37" s="736">
        <v>1.978615520282187E-2</v>
      </c>
      <c r="U37" s="752">
        <v>50</v>
      </c>
      <c r="V37" s="781"/>
      <c r="W37" s="776" t="s">
        <v>337</v>
      </c>
      <c r="X37" s="740">
        <v>53</v>
      </c>
      <c r="AB37" s="828">
        <f t="shared" si="5"/>
        <v>82</v>
      </c>
      <c r="AC37" s="829">
        <f t="shared" si="4"/>
        <v>1</v>
      </c>
    </row>
    <row r="38" spans="2:29" ht="21" customHeight="1" thickBot="1" x14ac:dyDescent="0.3">
      <c r="B38" s="16">
        <f t="shared" si="3"/>
        <v>29</v>
      </c>
      <c r="C38" s="106" t="s">
        <v>130</v>
      </c>
      <c r="D38" s="107" t="s">
        <v>131</v>
      </c>
      <c r="E38" s="599" t="str">
        <f t="shared" si="0"/>
        <v>AtleMørk</v>
      </c>
      <c r="F38" s="192">
        <f>YEAR(I$5)-_xlfn.XLOOKUP(E38,Deltakerliste!E$5:E$98,Deltakerliste!I$5:I$98)</f>
        <v>76</v>
      </c>
      <c r="G38" s="192">
        <f>_xlfn.XLOOKUP(E38,Deltakerliste!E$5:E$98,Deltakerliste!H$5:H$98)</f>
        <v>2</v>
      </c>
      <c r="H38" s="592">
        <f>VLOOKUP(F38,Deltakerliste!P$6:T$84,G38,FALSE)</f>
        <v>1.655</v>
      </c>
      <c r="I38" s="132">
        <v>4.1990740740740738E-2</v>
      </c>
      <c r="J38" s="134"/>
      <c r="K38" s="132"/>
      <c r="L38" s="321">
        <f t="shared" si="1"/>
        <v>1.9995590828924159E-2</v>
      </c>
      <c r="M38" s="594">
        <f>IF(L38="Løype",Poengsammendrag!$F$2,IF(L38="Arr",Poengsammendrag!$F$3,IF(L38="Brutt",50,IF(L38="Disk",50,ROUND(MAXA(100*(MIN(L$10:L$84)/L38),50),0)))))</f>
        <v>50</v>
      </c>
      <c r="N38" s="595">
        <f t="shared" si="2"/>
        <v>1.2081927993307649E-2</v>
      </c>
      <c r="O38" s="596">
        <f>IF(N38="Løype",Poengsammendrag!$F$2,IF(N38="Arr",Poengsammendrag!$F$3,IF(N38="Brutt",50,IF(N38="Disk",50,ROUND(MAXA(100*(MIN(N$10:N$84)/N38),50),0)))))</f>
        <v>50</v>
      </c>
      <c r="S38" s="735" t="s">
        <v>130</v>
      </c>
      <c r="T38" s="736">
        <v>1.9995590828924159E-2</v>
      </c>
      <c r="U38" s="752">
        <v>50</v>
      </c>
      <c r="V38" s="781"/>
      <c r="W38" s="776" t="s">
        <v>108</v>
      </c>
      <c r="X38" s="740">
        <v>50</v>
      </c>
      <c r="AB38" s="828">
        <f t="shared" si="5"/>
        <v>83</v>
      </c>
      <c r="AC38" s="829">
        <f t="shared" si="4"/>
        <v>1</v>
      </c>
    </row>
    <row r="39" spans="2:29" ht="21" customHeight="1" thickBot="1" x14ac:dyDescent="0.3">
      <c r="B39" s="16">
        <f t="shared" si="3"/>
        <v>30</v>
      </c>
      <c r="C39" s="106" t="s">
        <v>263</v>
      </c>
      <c r="D39" s="107" t="s">
        <v>264</v>
      </c>
      <c r="E39" s="599" t="str">
        <f t="shared" si="0"/>
        <v>RuneHolt</v>
      </c>
      <c r="F39" s="192">
        <f>YEAR(I$5)-_xlfn.XLOOKUP(E39,Deltakerliste!E$5:E$98,Deltakerliste!I$5:I$98)</f>
        <v>72</v>
      </c>
      <c r="G39" s="192">
        <f>_xlfn.XLOOKUP(E39,Deltakerliste!E$5:E$98,Deltakerliste!H$5:H$98)</f>
        <v>2</v>
      </c>
      <c r="H39" s="592">
        <f>VLOOKUP(F39,Deltakerliste!P$6:T$84,G39,FALSE)</f>
        <v>1.4969999999999999</v>
      </c>
      <c r="I39" s="86">
        <v>4.7291666666666669E-2</v>
      </c>
      <c r="J39" s="86"/>
      <c r="K39" s="17"/>
      <c r="L39" s="321">
        <f t="shared" si="1"/>
        <v>2.251984126984127E-2</v>
      </c>
      <c r="M39" s="594">
        <f>IF(L39="Løype",Poengsammendrag!$F$2,IF(L39="Arr",Poengsammendrag!$F$3,IF(L39="Brutt",50,IF(L39="Disk",50,ROUND(MAXA(100*(MIN(L$10:L$84)/L39),50),0)))))</f>
        <v>50</v>
      </c>
      <c r="N39" s="595">
        <f t="shared" si="2"/>
        <v>1.5043314141510535E-2</v>
      </c>
      <c r="O39" s="596">
        <f>IF(N39="Løype",Poengsammendrag!$F$2,IF(N39="Arr",Poengsammendrag!$F$3,IF(N39="Brutt",50,IF(N39="Disk",50,ROUND(MAXA(100*(MIN(N$10:N$84)/N39),50),0)))))</f>
        <v>50</v>
      </c>
      <c r="S39" s="735" t="s">
        <v>263</v>
      </c>
      <c r="T39" s="736">
        <v>2.251984126984127E-2</v>
      </c>
      <c r="U39" s="752">
        <v>50</v>
      </c>
      <c r="V39" s="781"/>
      <c r="W39" s="776" t="s">
        <v>130</v>
      </c>
      <c r="X39" s="740">
        <v>50</v>
      </c>
      <c r="AB39" s="828">
        <f t="shared" si="5"/>
        <v>84</v>
      </c>
      <c r="AC39" s="829">
        <f t="shared" si="4"/>
        <v>1</v>
      </c>
    </row>
    <row r="40" spans="2:29" ht="21" thickBot="1" x14ac:dyDescent="0.3">
      <c r="B40" s="16">
        <f t="shared" si="3"/>
        <v>31</v>
      </c>
      <c r="C40" s="106" t="s">
        <v>108</v>
      </c>
      <c r="D40" s="107" t="s">
        <v>109</v>
      </c>
      <c r="E40" s="599" t="str">
        <f t="shared" si="0"/>
        <v>Finn FayeKnudsen</v>
      </c>
      <c r="F40" s="192">
        <f>YEAR(I$5)-_xlfn.XLOOKUP(E40,Deltakerliste!E$5:E$98,Deltakerliste!I$5:I$98)</f>
        <v>83</v>
      </c>
      <c r="G40" s="192">
        <f>_xlfn.XLOOKUP(E40,Deltakerliste!E$5:E$98,Deltakerliste!H$5:H$98)</f>
        <v>2</v>
      </c>
      <c r="H40" s="592">
        <f>VLOOKUP(F40,Deltakerliste!P$6:T$84,G40,FALSE)</f>
        <v>2.077</v>
      </c>
      <c r="I40" s="86">
        <v>4.7650462962962964E-2</v>
      </c>
      <c r="J40" s="86"/>
      <c r="K40" s="13"/>
      <c r="L40" s="321">
        <f t="shared" si="1"/>
        <v>2.2690696649029982E-2</v>
      </c>
      <c r="M40" s="594">
        <f>IF(L40="Løype",Poengsammendrag!$F$2,IF(L40="Arr",Poengsammendrag!$F$3,IF(L40="Brutt",50,IF(L40="Disk",50,ROUND(MAXA(100*(MIN(L$10:L$84)/L40),50),0)))))</f>
        <v>50</v>
      </c>
      <c r="N40" s="595">
        <f t="shared" si="2"/>
        <v>1.0924745618213761E-2</v>
      </c>
      <c r="O40" s="596">
        <f>IF(N40="Løype",Poengsammendrag!$F$2,IF(N40="Arr",Poengsammendrag!$F$3,IF(N40="Brutt",50,IF(N40="Disk",50,ROUND(MAXA(100*(MIN(N$10:N$84)/N40),50),0)))))</f>
        <v>50</v>
      </c>
      <c r="S40" s="735" t="s">
        <v>108</v>
      </c>
      <c r="T40" s="736">
        <v>2.2690696649029982E-2</v>
      </c>
      <c r="U40" s="752">
        <v>50</v>
      </c>
      <c r="V40" s="781"/>
      <c r="W40" s="776" t="s">
        <v>263</v>
      </c>
      <c r="X40" s="740">
        <v>50</v>
      </c>
      <c r="AB40" s="828">
        <f t="shared" si="5"/>
        <v>85</v>
      </c>
      <c r="AC40" s="829">
        <f t="shared" si="4"/>
        <v>1</v>
      </c>
    </row>
    <row r="41" spans="2:29" ht="21" thickBot="1" x14ac:dyDescent="0.3">
      <c r="B41" s="16">
        <f t="shared" si="3"/>
        <v>32</v>
      </c>
      <c r="C41" s="106" t="s">
        <v>68</v>
      </c>
      <c r="D41" s="107" t="s">
        <v>69</v>
      </c>
      <c r="E41" s="599" t="str">
        <f t="shared" si="0"/>
        <v>JanBøhle</v>
      </c>
      <c r="F41" s="192">
        <f>YEAR(I$5)-_xlfn.XLOOKUP(E41,Deltakerliste!E$5:E$98,Deltakerliste!I$5:I$98)</f>
        <v>73</v>
      </c>
      <c r="G41" s="192">
        <f>_xlfn.XLOOKUP(E41,Deltakerliste!E$5:E$98,Deltakerliste!H$5:H$98)</f>
        <v>2</v>
      </c>
      <c r="H41" s="592">
        <f>VLOOKUP(F41,Deltakerliste!P$6:T$84,G41,FALSE)</f>
        <v>1.5329999999999999</v>
      </c>
      <c r="I41" s="86"/>
      <c r="J41" s="86" t="s">
        <v>306</v>
      </c>
      <c r="K41" s="13"/>
      <c r="L41" s="321" t="str">
        <f t="shared" si="1"/>
        <v>Brutt</v>
      </c>
      <c r="M41" s="594">
        <f>IF(L41="Løype",Poengsammendrag!$F$2,IF(L41="Arr",Poengsammendrag!$F$3,IF(L41="Brutt",50,IF(L41="Disk",50,ROUND(MAXA(100*(MIN(L$10:L$84)/L41),50),0)))))</f>
        <v>50</v>
      </c>
      <c r="N41" s="595" t="str">
        <f t="shared" si="2"/>
        <v>Brutt</v>
      </c>
      <c r="O41" s="596">
        <f>IF(N41="Løype",Poengsammendrag!$F$2,IF(N41="Arr",Poengsammendrag!$F$3,IF(N41="Brutt",50,IF(N41="Disk",50,ROUND(MAXA(100*(MIN(N$10:N$84)/N41),50),0)))))</f>
        <v>50</v>
      </c>
      <c r="S41" s="735" t="s">
        <v>68</v>
      </c>
      <c r="T41" s="736" t="s">
        <v>306</v>
      </c>
      <c r="U41" s="752">
        <v>50</v>
      </c>
      <c r="V41" s="781"/>
      <c r="W41" s="776" t="s">
        <v>68</v>
      </c>
      <c r="X41" s="740">
        <v>50</v>
      </c>
      <c r="AB41" s="828">
        <f t="shared" si="5"/>
        <v>86</v>
      </c>
      <c r="AC41" s="829">
        <f t="shared" si="4"/>
        <v>2</v>
      </c>
    </row>
    <row r="42" spans="2:29" ht="21" customHeight="1" thickBot="1" x14ac:dyDescent="0.3">
      <c r="B42" s="16">
        <f t="shared" si="3"/>
        <v>33</v>
      </c>
      <c r="C42" s="106" t="s">
        <v>82</v>
      </c>
      <c r="D42" s="107" t="s">
        <v>83</v>
      </c>
      <c r="E42" s="599" t="str">
        <f t="shared" ref="E42:E73" si="6">_xlfn.CONCAT(C42:D42)</f>
        <v>RoarForbord</v>
      </c>
      <c r="F42" s="192">
        <f>YEAR(I$5)-_xlfn.XLOOKUP(E42,Deltakerliste!E$5:E$98,Deltakerliste!I$5:I$98)</f>
        <v>82</v>
      </c>
      <c r="G42" s="192">
        <f>_xlfn.XLOOKUP(E42,Deltakerliste!E$5:E$98,Deltakerliste!H$5:H$98)</f>
        <v>2</v>
      </c>
      <c r="H42" s="592">
        <f>VLOOKUP(F42,Deltakerliste!P$6:T$84,G42,FALSE)</f>
        <v>2.0030000000000001</v>
      </c>
      <c r="I42" s="86" t="s">
        <v>306</v>
      </c>
      <c r="J42" s="86"/>
      <c r="K42" s="13"/>
      <c r="L42" s="321" t="str">
        <f t="shared" si="1"/>
        <v>Brutt</v>
      </c>
      <c r="M42" s="594">
        <f>IF(L42="Løype",Poengsammendrag!$F$2,IF(L42="Arr",Poengsammendrag!$F$3,IF(L42="Brutt",50,IF(L42="Disk",50,ROUND(MAXA(100*(MIN(L$10:L$84)/L42),50),0)))))</f>
        <v>50</v>
      </c>
      <c r="N42" s="595" t="str">
        <f t="shared" si="2"/>
        <v>Brutt</v>
      </c>
      <c r="O42" s="596">
        <f>IF(N42="Løype",Poengsammendrag!$F$2,IF(N42="Arr",Poengsammendrag!$F$3,IF(N42="Brutt",50,IF(N42="Disk",50,ROUND(MAXA(100*(MIN(N$10:N$84)/N42),50),0)))))</f>
        <v>50</v>
      </c>
      <c r="S42" s="763" t="s">
        <v>82</v>
      </c>
      <c r="T42" s="787" t="s">
        <v>306</v>
      </c>
      <c r="U42" s="765">
        <v>50</v>
      </c>
      <c r="V42" s="782"/>
      <c r="W42" s="777" t="s">
        <v>82</v>
      </c>
      <c r="X42" s="762">
        <v>50</v>
      </c>
      <c r="AB42" s="828">
        <f t="shared" si="5"/>
        <v>87</v>
      </c>
      <c r="AC42" s="829">
        <f t="shared" si="4"/>
        <v>0</v>
      </c>
    </row>
    <row r="43" spans="2:29" ht="21" thickBot="1" x14ac:dyDescent="0.3">
      <c r="B43" s="16">
        <f t="shared" si="3"/>
        <v>34</v>
      </c>
      <c r="C43" s="106" t="s">
        <v>144</v>
      </c>
      <c r="D43" s="107" t="s">
        <v>145</v>
      </c>
      <c r="E43" s="599" t="str">
        <f t="shared" si="6"/>
        <v>Bjørn Rindstad</v>
      </c>
      <c r="F43" s="192">
        <f>YEAR(I$5)-_xlfn.XLOOKUP(E43,Deltakerliste!E$5:E$98,Deltakerliste!I$5:I$98)</f>
        <v>74</v>
      </c>
      <c r="G43" s="192">
        <f>_xlfn.XLOOKUP(E43,Deltakerliste!E$5:E$98,Deltakerliste!H$5:H$98)</f>
        <v>2</v>
      </c>
      <c r="H43" s="592">
        <f>VLOOKUP(F43,Deltakerliste!P$6:T$84,G43,FALSE)</f>
        <v>1.569</v>
      </c>
      <c r="I43" s="18" t="s">
        <v>306</v>
      </c>
      <c r="J43" s="18"/>
      <c r="K43" s="18"/>
      <c r="L43" s="321" t="str">
        <f t="shared" si="1"/>
        <v>Brutt</v>
      </c>
      <c r="M43" s="594">
        <f>IF(L43="Løype",Poengsammendrag!$F$2,IF(L43="Arr",Poengsammendrag!$F$3,IF(L43="Brutt",50,IF(L43="Disk",50,ROUND(MAXA(100*(MIN(L$10:L$84)/L43),50),0)))))</f>
        <v>50</v>
      </c>
      <c r="N43" s="595" t="str">
        <f t="shared" si="2"/>
        <v>Brutt</v>
      </c>
      <c r="O43" s="596">
        <f>IF(N43="Løype",Poengsammendrag!$F$2,IF(N43="Arr",Poengsammendrag!$F$3,IF(N43="Brutt",50,IF(N43="Disk",50,ROUND(MAXA(100*(MIN(N$10:N$84)/N43),50),0)))))</f>
        <v>50</v>
      </c>
      <c r="S43" s="766" t="s">
        <v>348</v>
      </c>
      <c r="T43" s="788" t="s">
        <v>306</v>
      </c>
      <c r="U43" s="770">
        <v>50</v>
      </c>
      <c r="V43" s="778"/>
      <c r="W43" s="783" t="s">
        <v>348</v>
      </c>
      <c r="X43" s="740">
        <v>50</v>
      </c>
      <c r="AB43" s="828">
        <f t="shared" si="5"/>
        <v>88</v>
      </c>
      <c r="AC43" s="829">
        <f t="shared" si="4"/>
        <v>0</v>
      </c>
    </row>
    <row r="44" spans="2:29" ht="21" customHeight="1" thickBot="1" x14ac:dyDescent="0.3">
      <c r="B44" s="16">
        <f t="shared" si="3"/>
        <v>35</v>
      </c>
      <c r="C44" s="106" t="s">
        <v>222</v>
      </c>
      <c r="D44" s="107" t="s">
        <v>221</v>
      </c>
      <c r="E44" s="599" t="str">
        <f t="shared" si="6"/>
        <v>Kjell Maroni</v>
      </c>
      <c r="F44" s="192">
        <f>YEAR(I$5)-_xlfn.XLOOKUP(E44,Deltakerliste!E$5:E$98,Deltakerliste!I$5:I$98)</f>
        <v>69</v>
      </c>
      <c r="G44" s="192">
        <f>_xlfn.XLOOKUP(E44,Deltakerliste!E$5:E$98,Deltakerliste!H$5:H$98)</f>
        <v>2</v>
      </c>
      <c r="H44" s="592">
        <f>VLOOKUP(F44,Deltakerliste!P$6:T$84,G44,FALSE)</f>
        <v>1.3989999999999998</v>
      </c>
      <c r="I44" s="13"/>
      <c r="J44" s="13" t="s">
        <v>62</v>
      </c>
      <c r="K44" s="13"/>
      <c r="L44" s="321" t="str">
        <f t="shared" si="1"/>
        <v>Løype</v>
      </c>
      <c r="M44" s="594">
        <f>IF(L44="Løype",Poengsammendrag!$F$2,IF(L44="Arr",Poengsammendrag!$F$3,IF(L44="Brutt",50,IF(L44="Disk",50,ROUND(MAXA(100*(MIN(L$10:L$84)/L44),50),0)))))</f>
        <v>100</v>
      </c>
      <c r="N44" s="595" t="str">
        <f t="shared" si="2"/>
        <v>Løype</v>
      </c>
      <c r="O44" s="596">
        <f>IF(N44="Løype",Poengsammendrag!$F$2,IF(N44="Arr",Poengsammendrag!$F$3,IF(N44="Brutt",50,IF(N44="Disk",50,ROUND(MAXA(100*(MIN(N$10:N$84)/N44),50),0)))))</f>
        <v>100</v>
      </c>
      <c r="S44" s="766" t="s">
        <v>222</v>
      </c>
      <c r="T44" s="788" t="s">
        <v>62</v>
      </c>
      <c r="U44" s="770">
        <v>100</v>
      </c>
      <c r="V44" s="772"/>
      <c r="W44" s="783" t="s">
        <v>222</v>
      </c>
      <c r="X44" s="740">
        <v>100</v>
      </c>
      <c r="AB44" s="828">
        <f t="shared" si="5"/>
        <v>89</v>
      </c>
      <c r="AC44" s="829">
        <f t="shared" si="4"/>
        <v>0</v>
      </c>
    </row>
    <row r="45" spans="2:29" ht="21" thickBot="1" x14ac:dyDescent="0.3">
      <c r="B45" s="16">
        <f t="shared" si="3"/>
        <v>36</v>
      </c>
      <c r="C45" s="106" t="s">
        <v>60</v>
      </c>
      <c r="D45" s="107" t="s">
        <v>61</v>
      </c>
      <c r="E45" s="599" t="str">
        <f t="shared" si="6"/>
        <v>JosteinAlvestad</v>
      </c>
      <c r="F45" s="192">
        <f>YEAR(I$5)-_xlfn.XLOOKUP(E45,Deltakerliste!E$5:E$98,Deltakerliste!I$5:I$98)</f>
        <v>70</v>
      </c>
      <c r="G45" s="192">
        <f>_xlfn.XLOOKUP(E45,Deltakerliste!E$5:E$98,Deltakerliste!H$5:H$98)</f>
        <v>2</v>
      </c>
      <c r="H45" s="592">
        <f>VLOOKUP(F45,Deltakerliste!P$6:T$84,G45,FALSE)</f>
        <v>1.4249999999999998</v>
      </c>
      <c r="I45" s="13"/>
      <c r="J45" s="13"/>
      <c r="K45" s="17"/>
      <c r="L45" s="321"/>
      <c r="M45" s="594"/>
      <c r="N45" s="595"/>
      <c r="O45" s="596"/>
      <c r="S45" s="766"/>
      <c r="T45" s="768"/>
      <c r="U45" s="770"/>
      <c r="V45" s="772"/>
      <c r="W45" s="783"/>
      <c r="X45" s="740"/>
      <c r="AB45" s="828">
        <f t="shared" si="5"/>
        <v>90</v>
      </c>
      <c r="AC45" s="829">
        <f t="shared" si="4"/>
        <v>0</v>
      </c>
    </row>
    <row r="46" spans="2:29" ht="21" thickBot="1" x14ac:dyDescent="0.3">
      <c r="B46" s="16">
        <f t="shared" si="3"/>
        <v>37</v>
      </c>
      <c r="C46" s="106" t="s">
        <v>64</v>
      </c>
      <c r="D46" s="107" t="s">
        <v>65</v>
      </c>
      <c r="E46" s="599" t="str">
        <f t="shared" si="6"/>
        <v>BjørnBerger</v>
      </c>
      <c r="F46" s="192">
        <f>YEAR(I$5)-_xlfn.XLOOKUP(E46,Deltakerliste!E$5:E$98,Deltakerliste!I$5:I$98)</f>
        <v>74</v>
      </c>
      <c r="G46" s="192">
        <f>_xlfn.XLOOKUP(E46,Deltakerliste!E$5:E$98,Deltakerliste!H$5:H$98)</f>
        <v>2</v>
      </c>
      <c r="H46" s="592">
        <f>VLOOKUP(F46,Deltakerliste!P$6:T$84,G46,FALSE)</f>
        <v>1.569</v>
      </c>
      <c r="I46" s="13"/>
      <c r="J46" s="13"/>
      <c r="K46" s="19"/>
      <c r="L46" s="321"/>
      <c r="M46" s="594"/>
      <c r="N46" s="595"/>
      <c r="O46" s="596"/>
      <c r="S46" s="766"/>
      <c r="T46" s="768"/>
      <c r="U46" s="770"/>
      <c r="V46" s="772"/>
      <c r="W46" s="783"/>
      <c r="X46" s="740"/>
      <c r="AB46" s="828">
        <f t="shared" si="5"/>
        <v>91</v>
      </c>
      <c r="AC46" s="829">
        <f t="shared" si="4"/>
        <v>0</v>
      </c>
    </row>
    <row r="47" spans="2:29" ht="21" customHeight="1" thickBot="1" x14ac:dyDescent="0.3">
      <c r="B47" s="16">
        <f t="shared" si="3"/>
        <v>38</v>
      </c>
      <c r="C47" s="106" t="s">
        <v>66</v>
      </c>
      <c r="D47" s="107" t="s">
        <v>67</v>
      </c>
      <c r="E47" s="599" t="str">
        <f t="shared" si="6"/>
        <v>FrankBjarkø</v>
      </c>
      <c r="F47" s="192">
        <f>YEAR(I$5)-_xlfn.XLOOKUP(E47,Deltakerliste!E$5:E$98,Deltakerliste!I$5:I$98)</f>
        <v>73</v>
      </c>
      <c r="G47" s="192">
        <f>_xlfn.XLOOKUP(E47,Deltakerliste!E$5:E$98,Deltakerliste!H$5:H$98)</f>
        <v>2</v>
      </c>
      <c r="H47" s="592">
        <f>VLOOKUP(F47,Deltakerliste!P$6:T$84,G47,FALSE)</f>
        <v>1.5329999999999999</v>
      </c>
      <c r="I47" s="13"/>
      <c r="J47" s="13"/>
      <c r="K47" s="13"/>
      <c r="L47" s="321"/>
      <c r="M47" s="594"/>
      <c r="N47" s="595"/>
      <c r="O47" s="596"/>
      <c r="S47" s="766"/>
      <c r="T47" s="768"/>
      <c r="U47" s="770"/>
      <c r="V47" s="772"/>
      <c r="W47" s="783"/>
      <c r="X47" s="740"/>
      <c r="AB47" s="828">
        <f t="shared" si="5"/>
        <v>92</v>
      </c>
      <c r="AC47" s="829">
        <f t="shared" si="4"/>
        <v>0</v>
      </c>
    </row>
    <row r="48" spans="2:29" ht="21" customHeight="1" thickBot="1" x14ac:dyDescent="0.3">
      <c r="B48" s="16">
        <f t="shared" si="3"/>
        <v>39</v>
      </c>
      <c r="C48" s="106" t="s">
        <v>64</v>
      </c>
      <c r="D48" s="107" t="s">
        <v>267</v>
      </c>
      <c r="E48" s="599" t="str">
        <f t="shared" si="6"/>
        <v>BjørnBrenne</v>
      </c>
      <c r="F48" s="192">
        <f>YEAR(I$5)-_xlfn.XLOOKUP(E48,Deltakerliste!E$5:E$98,Deltakerliste!I$5:I$98)</f>
        <v>80</v>
      </c>
      <c r="G48" s="192">
        <f>_xlfn.XLOOKUP(E48,Deltakerliste!E$5:E$98,Deltakerliste!H$5:H$98)</f>
        <v>2</v>
      </c>
      <c r="H48" s="592">
        <f>VLOOKUP(F48,Deltakerliste!P$6:T$84,G48,FALSE)</f>
        <v>1.8550000000000002</v>
      </c>
      <c r="I48" s="86"/>
      <c r="J48" s="86"/>
      <c r="K48" s="13"/>
      <c r="L48" s="321"/>
      <c r="M48" s="594"/>
      <c r="N48" s="595"/>
      <c r="O48" s="596"/>
      <c r="S48" s="766"/>
      <c r="T48" s="768"/>
      <c r="U48" s="770"/>
      <c r="V48" s="772"/>
      <c r="W48" s="783"/>
      <c r="X48" s="740"/>
      <c r="AB48" s="828">
        <f t="shared" si="5"/>
        <v>93</v>
      </c>
      <c r="AC48" s="829">
        <f t="shared" si="4"/>
        <v>0</v>
      </c>
    </row>
    <row r="49" spans="2:29" ht="21" customHeight="1" thickBot="1" x14ac:dyDescent="0.3">
      <c r="B49" s="16">
        <f t="shared" si="3"/>
        <v>40</v>
      </c>
      <c r="C49" s="106" t="s">
        <v>70</v>
      </c>
      <c r="D49" s="107" t="s">
        <v>71</v>
      </c>
      <c r="E49" s="599" t="str">
        <f t="shared" si="6"/>
        <v>TrondDamås</v>
      </c>
      <c r="F49" s="192">
        <f>YEAR(I$5)-_xlfn.XLOOKUP(E49,Deltakerliste!E$5:E$98,Deltakerliste!I$5:I$98)</f>
        <v>75</v>
      </c>
      <c r="G49" s="192">
        <f>_xlfn.XLOOKUP(E49,Deltakerliste!E$5:E$98,Deltakerliste!H$5:H$98)</f>
        <v>2</v>
      </c>
      <c r="H49" s="592">
        <f>VLOOKUP(F49,Deltakerliste!P$6:T$84,G49,FALSE)</f>
        <v>1.605</v>
      </c>
      <c r="I49" s="13"/>
      <c r="J49" s="13"/>
      <c r="K49" s="13"/>
      <c r="L49" s="321"/>
      <c r="M49" s="594"/>
      <c r="N49" s="595"/>
      <c r="O49" s="596"/>
      <c r="S49" s="767"/>
      <c r="T49" s="769"/>
      <c r="U49" s="771"/>
      <c r="V49" s="773"/>
      <c r="W49" s="784"/>
      <c r="X49" s="741"/>
      <c r="AB49" s="828">
        <f t="shared" si="5"/>
        <v>94</v>
      </c>
      <c r="AC49" s="829">
        <f t="shared" si="4"/>
        <v>0</v>
      </c>
    </row>
    <row r="50" spans="2:29" ht="21" thickBot="1" x14ac:dyDescent="0.3">
      <c r="B50" s="16">
        <f t="shared" si="3"/>
        <v>41</v>
      </c>
      <c r="C50" s="106" t="s">
        <v>74</v>
      </c>
      <c r="D50" s="107" t="s">
        <v>75</v>
      </c>
      <c r="E50" s="599" t="str">
        <f t="shared" si="6"/>
        <v>StinaElfving</v>
      </c>
      <c r="F50" s="192">
        <f>YEAR(I$5)-_xlfn.XLOOKUP(E50,Deltakerliste!E$5:E$98,Deltakerliste!I$5:I$98)</f>
        <v>75</v>
      </c>
      <c r="G50" s="192">
        <f>_xlfn.XLOOKUP(E50,Deltakerliste!E$5:E$98,Deltakerliste!H$5:H$98)</f>
        <v>4</v>
      </c>
      <c r="H50" s="592">
        <f>VLOOKUP(F50,Deltakerliste!P$6:T$84,G50,FALSE)</f>
        <v>2.1670000000000016</v>
      </c>
      <c r="I50" s="13"/>
      <c r="J50" s="13"/>
      <c r="K50" s="17"/>
      <c r="L50" s="321"/>
      <c r="M50" s="594"/>
      <c r="N50" s="595"/>
      <c r="O50" s="596"/>
      <c r="AB50" s="830">
        <f t="shared" si="5"/>
        <v>95</v>
      </c>
      <c r="AC50" s="831">
        <f t="shared" si="4"/>
        <v>0</v>
      </c>
    </row>
    <row r="51" spans="2:29" ht="21" customHeight="1" thickBot="1" x14ac:dyDescent="0.3">
      <c r="B51" s="16">
        <f t="shared" si="3"/>
        <v>42</v>
      </c>
      <c r="C51" s="106" t="s">
        <v>216</v>
      </c>
      <c r="D51" s="107" t="s">
        <v>77</v>
      </c>
      <c r="E51" s="599" t="str">
        <f t="shared" si="6"/>
        <v>Åse RitaEllingsen</v>
      </c>
      <c r="F51" s="192">
        <f>YEAR(I$5)-_xlfn.XLOOKUP(E51,Deltakerliste!E$5:E$98,Deltakerliste!I$5:I$98)</f>
        <v>61</v>
      </c>
      <c r="G51" s="192">
        <f>_xlfn.XLOOKUP(E51,Deltakerliste!E$5:E$98,Deltakerliste!H$5:H$98)</f>
        <v>4</v>
      </c>
      <c r="H51" s="592">
        <f>VLOOKUP(F51,Deltakerliste!P$6:T$84,G51,FALSE)</f>
        <v>1.6542000000000003</v>
      </c>
      <c r="I51" s="593"/>
      <c r="J51" s="14"/>
      <c r="K51" s="13"/>
      <c r="L51" s="321"/>
      <c r="M51" s="594"/>
      <c r="N51" s="595"/>
      <c r="O51" s="596"/>
    </row>
    <row r="52" spans="2:29" ht="21" thickBot="1" x14ac:dyDescent="0.3">
      <c r="B52" s="16">
        <f t="shared" si="3"/>
        <v>43</v>
      </c>
      <c r="C52" s="106" t="s">
        <v>80</v>
      </c>
      <c r="D52" s="107" t="s">
        <v>81</v>
      </c>
      <c r="E52" s="599" t="str">
        <f t="shared" si="6"/>
        <v>HalvorFlatberg</v>
      </c>
      <c r="F52" s="192">
        <f>YEAR(I$5)-_xlfn.XLOOKUP(E52,Deltakerliste!E$5:E$98,Deltakerliste!I$5:I$98)</f>
        <v>79</v>
      </c>
      <c r="G52" s="192">
        <f>_xlfn.XLOOKUP(E52,Deltakerliste!E$5:E$98,Deltakerliste!H$5:H$98)</f>
        <v>2</v>
      </c>
      <c r="H52" s="592">
        <f>VLOOKUP(F52,Deltakerliste!P$6:T$84,G52,FALSE)</f>
        <v>1.8050000000000002</v>
      </c>
      <c r="I52" s="86"/>
      <c r="J52" s="86"/>
      <c r="K52" s="13"/>
      <c r="L52" s="321"/>
      <c r="M52" s="594"/>
      <c r="N52" s="595"/>
      <c r="O52" s="596"/>
    </row>
    <row r="53" spans="2:29" ht="21" thickBot="1" x14ac:dyDescent="0.3">
      <c r="B53" s="16">
        <f t="shared" si="3"/>
        <v>44</v>
      </c>
      <c r="C53" s="106" t="s">
        <v>271</v>
      </c>
      <c r="D53" s="107" t="s">
        <v>272</v>
      </c>
      <c r="E53" s="599" t="str">
        <f t="shared" si="6"/>
        <v>Arne KjellFoldvik</v>
      </c>
      <c r="F53" s="192">
        <f>YEAR(I$5)-_xlfn.XLOOKUP(E53,Deltakerliste!E$5:E$98,Deltakerliste!I$5:I$98)</f>
        <v>91</v>
      </c>
      <c r="G53" s="192">
        <f>_xlfn.XLOOKUP(E53,Deltakerliste!E$5:E$98,Deltakerliste!H$5:H$98)</f>
        <v>2</v>
      </c>
      <c r="H53" s="592">
        <f>VLOOKUP(F53,Deltakerliste!P$6:T$84,G53,FALSE)</f>
        <v>2.7290000000000001</v>
      </c>
      <c r="I53" s="14"/>
      <c r="J53" s="14"/>
      <c r="K53" s="13"/>
      <c r="L53" s="321"/>
      <c r="M53" s="594"/>
      <c r="N53" s="595"/>
      <c r="O53" s="596"/>
    </row>
    <row r="54" spans="2:29" ht="21" thickBot="1" x14ac:dyDescent="0.3">
      <c r="B54" s="16">
        <f t="shared" si="3"/>
        <v>45</v>
      </c>
      <c r="C54" s="106" t="s">
        <v>84</v>
      </c>
      <c r="D54" s="107" t="s">
        <v>85</v>
      </c>
      <c r="E54" s="599" t="str">
        <f t="shared" si="6"/>
        <v>PaulForseth</v>
      </c>
      <c r="F54" s="192">
        <f>YEAR(I$5)-_xlfn.XLOOKUP(E54,Deltakerliste!E$5:E$98,Deltakerliste!I$5:I$98)</f>
        <v>93</v>
      </c>
      <c r="G54" s="192">
        <f>_xlfn.XLOOKUP(E54,Deltakerliste!E$5:E$98,Deltakerliste!H$5:H$98)</f>
        <v>2</v>
      </c>
      <c r="H54" s="592">
        <f>VLOOKUP(F54,Deltakerliste!P$6:T$84,G54,FALSE)</f>
        <v>2.8970000000000002</v>
      </c>
      <c r="I54" s="86"/>
      <c r="J54" s="86"/>
      <c r="K54" s="17"/>
      <c r="L54" s="321"/>
      <c r="M54" s="594"/>
      <c r="N54" s="595"/>
      <c r="O54" s="596"/>
    </row>
    <row r="55" spans="2:29" ht="21" customHeight="1" thickBot="1" x14ac:dyDescent="0.3">
      <c r="B55" s="16">
        <f t="shared" si="3"/>
        <v>46</v>
      </c>
      <c r="C55" s="106" t="s">
        <v>86</v>
      </c>
      <c r="D55" s="107" t="s">
        <v>87</v>
      </c>
      <c r="E55" s="599" t="str">
        <f t="shared" si="6"/>
        <v>KristianFougner</v>
      </c>
      <c r="F55" s="192">
        <f>YEAR(I$5)-_xlfn.XLOOKUP(E55,Deltakerliste!E$5:E$98,Deltakerliste!I$5:I$98)</f>
        <v>75</v>
      </c>
      <c r="G55" s="192">
        <f>_xlfn.XLOOKUP(E55,Deltakerliste!E$5:E$98,Deltakerliste!H$5:H$98)</f>
        <v>2</v>
      </c>
      <c r="H55" s="592">
        <f>VLOOKUP(F55,Deltakerliste!P$6:T$84,G55,FALSE)</f>
        <v>1.605</v>
      </c>
      <c r="I55" s="86"/>
      <c r="J55" s="86"/>
      <c r="K55" s="13"/>
      <c r="L55" s="321"/>
      <c r="M55" s="594"/>
      <c r="N55" s="595"/>
      <c r="O55" s="596"/>
    </row>
    <row r="56" spans="2:29" ht="21" thickBot="1" x14ac:dyDescent="0.3">
      <c r="B56" s="16">
        <f t="shared" si="3"/>
        <v>47</v>
      </c>
      <c r="C56" s="106" t="s">
        <v>88</v>
      </c>
      <c r="D56" s="107" t="s">
        <v>89</v>
      </c>
      <c r="E56" s="599" t="str">
        <f t="shared" si="6"/>
        <v>EdgarFuruholt</v>
      </c>
      <c r="F56" s="192">
        <f>YEAR(I$5)-_xlfn.XLOOKUP(E56,Deltakerliste!E$5:E$98,Deltakerliste!I$5:I$98)</f>
        <v>78</v>
      </c>
      <c r="G56" s="192">
        <f>_xlfn.XLOOKUP(E56,Deltakerliste!E$5:E$98,Deltakerliste!H$5:H$98)</f>
        <v>2</v>
      </c>
      <c r="H56" s="592">
        <f>VLOOKUP(F56,Deltakerliste!P$6:T$84,G56,FALSE)</f>
        <v>1.7550000000000001</v>
      </c>
      <c r="I56" s="18"/>
      <c r="J56" s="132"/>
      <c r="K56" s="18"/>
      <c r="L56" s="321"/>
      <c r="M56" s="594"/>
      <c r="N56" s="595"/>
      <c r="O56" s="596"/>
    </row>
    <row r="57" spans="2:29" ht="21" thickBot="1" x14ac:dyDescent="0.3">
      <c r="B57" s="16">
        <f t="shared" si="3"/>
        <v>48</v>
      </c>
      <c r="C57" s="106" t="s">
        <v>207</v>
      </c>
      <c r="D57" s="107" t="s">
        <v>89</v>
      </c>
      <c r="E57" s="599" t="str">
        <f t="shared" si="6"/>
        <v>AnneFuruholt</v>
      </c>
      <c r="F57" s="192">
        <f>YEAR(I$5)-_xlfn.XLOOKUP(E57,Deltakerliste!E$5:E$98,Deltakerliste!I$5:I$98)</f>
        <v>78</v>
      </c>
      <c r="G57" s="192">
        <f>_xlfn.XLOOKUP(E57,Deltakerliste!E$5:E$98,Deltakerliste!H$5:H$98)</f>
        <v>4</v>
      </c>
      <c r="H57" s="592">
        <f>VLOOKUP(F57,Deltakerliste!P$6:T$84,G57,FALSE)</f>
        <v>2.3398000000000012</v>
      </c>
      <c r="I57" s="13"/>
      <c r="J57" s="13"/>
      <c r="K57" s="13"/>
      <c r="L57" s="321"/>
      <c r="M57" s="594"/>
      <c r="N57" s="595"/>
      <c r="O57" s="596"/>
    </row>
    <row r="58" spans="2:29" ht="20" customHeight="1" thickBot="1" x14ac:dyDescent="0.3">
      <c r="B58" s="16">
        <f t="shared" si="3"/>
        <v>49</v>
      </c>
      <c r="C58" s="106" t="s">
        <v>90</v>
      </c>
      <c r="D58" s="107" t="s">
        <v>91</v>
      </c>
      <c r="E58" s="599" t="str">
        <f t="shared" si="6"/>
        <v>TorGjermstad</v>
      </c>
      <c r="F58" s="192">
        <f>YEAR(I$5)-_xlfn.XLOOKUP(E58,Deltakerliste!E$5:E$98,Deltakerliste!I$5:I$98)</f>
        <v>75</v>
      </c>
      <c r="G58" s="192">
        <f>_xlfn.XLOOKUP(E58,Deltakerliste!E$5:E$98,Deltakerliste!H$5:H$98)</f>
        <v>2</v>
      </c>
      <c r="H58" s="592">
        <f>VLOOKUP(F58,Deltakerliste!P$6:T$84,G58,FALSE)</f>
        <v>1.605</v>
      </c>
      <c r="I58" s="86"/>
      <c r="J58" s="86"/>
      <c r="K58" s="13"/>
      <c r="L58" s="321"/>
      <c r="M58" s="594"/>
      <c r="N58" s="595"/>
      <c r="O58" s="596"/>
    </row>
    <row r="59" spans="2:29" ht="21" thickBot="1" x14ac:dyDescent="0.3">
      <c r="B59" s="16">
        <f>B58+1</f>
        <v>50</v>
      </c>
      <c r="C59" s="106" t="s">
        <v>92</v>
      </c>
      <c r="D59" s="107" t="s">
        <v>93</v>
      </c>
      <c r="E59" s="599" t="str">
        <f t="shared" si="6"/>
        <v>Jens ØysteinGjersvold</v>
      </c>
      <c r="F59" s="192">
        <f>YEAR(I$5)-_xlfn.XLOOKUP(E59,Deltakerliste!E$5:E$98,Deltakerliste!I$5:I$98)</f>
        <v>73</v>
      </c>
      <c r="G59" s="192">
        <f>_xlfn.XLOOKUP(E59,Deltakerliste!E$5:E$98,Deltakerliste!H$5:H$98)</f>
        <v>2</v>
      </c>
      <c r="H59" s="592">
        <f>VLOOKUP(F59,Deltakerliste!P$6:T$84,G59,FALSE)</f>
        <v>1.5329999999999999</v>
      </c>
      <c r="I59" s="14"/>
      <c r="J59" s="14"/>
      <c r="K59" s="18"/>
      <c r="L59" s="321"/>
      <c r="M59" s="594"/>
      <c r="N59" s="595"/>
      <c r="O59" s="596"/>
    </row>
    <row r="60" spans="2:29" ht="21" thickBot="1" x14ac:dyDescent="0.3">
      <c r="B60" s="16">
        <f>B59+1</f>
        <v>51</v>
      </c>
      <c r="C60" s="106" t="s">
        <v>99</v>
      </c>
      <c r="D60" s="107" t="s">
        <v>100</v>
      </c>
      <c r="E60" s="599" t="str">
        <f t="shared" si="6"/>
        <v>RobertHirsch</v>
      </c>
      <c r="F60" s="192">
        <f>YEAR(I$5)-_xlfn.XLOOKUP(E60,Deltakerliste!E$5:E$98,Deltakerliste!I$5:I$98)</f>
        <v>68</v>
      </c>
      <c r="G60" s="192">
        <f>_xlfn.XLOOKUP(E60,Deltakerliste!E$5:E$98,Deltakerliste!H$5:H$98)</f>
        <v>2</v>
      </c>
      <c r="H60" s="592">
        <f>VLOOKUP(F60,Deltakerliste!P$6:T$84,G60,FALSE)</f>
        <v>1.3729999999999998</v>
      </c>
      <c r="I60" s="86"/>
      <c r="J60" s="86"/>
      <c r="K60" s="13"/>
      <c r="L60" s="321"/>
      <c r="M60" s="594"/>
      <c r="N60" s="595"/>
      <c r="O60" s="596"/>
    </row>
    <row r="61" spans="2:29" ht="21" customHeight="1" thickBot="1" x14ac:dyDescent="0.3">
      <c r="B61" s="16">
        <f>B60+1</f>
        <v>52</v>
      </c>
      <c r="C61" s="106" t="s">
        <v>103</v>
      </c>
      <c r="D61" s="107" t="s">
        <v>104</v>
      </c>
      <c r="E61" s="599" t="str">
        <f t="shared" si="6"/>
        <v>SveinHove</v>
      </c>
      <c r="F61" s="192">
        <f>YEAR(I$5)-_xlfn.XLOOKUP(E61,Deltakerliste!E$5:E$98,Deltakerliste!I$5:I$98)</f>
        <v>78</v>
      </c>
      <c r="G61" s="192">
        <f>_xlfn.XLOOKUP(E61,Deltakerliste!E$5:E$98,Deltakerliste!H$5:H$98)</f>
        <v>2</v>
      </c>
      <c r="H61" s="592">
        <f>VLOOKUP(F61,Deltakerliste!P$6:T$84,G61,FALSE)</f>
        <v>1.7550000000000001</v>
      </c>
      <c r="I61" s="86"/>
      <c r="J61" s="86"/>
      <c r="K61" s="17"/>
      <c r="L61" s="321"/>
      <c r="M61" s="594"/>
      <c r="N61" s="595"/>
      <c r="O61" s="596"/>
    </row>
    <row r="62" spans="2:29" ht="21" customHeight="1" thickBot="1" x14ac:dyDescent="0.3">
      <c r="B62" s="16">
        <f t="shared" si="3"/>
        <v>53</v>
      </c>
      <c r="C62" s="106" t="s">
        <v>269</v>
      </c>
      <c r="D62" s="107" t="s">
        <v>270</v>
      </c>
      <c r="E62" s="599" t="str">
        <f t="shared" si="6"/>
        <v>Per OlavJohansen</v>
      </c>
      <c r="F62" s="192">
        <f>YEAR(I$5)-_xlfn.XLOOKUP(E62,Deltakerliste!E$5:E$98,Deltakerliste!I$5:I$98)</f>
        <v>67</v>
      </c>
      <c r="G62" s="192">
        <f>_xlfn.XLOOKUP(E62,Deltakerliste!E$5:E$98,Deltakerliste!H$5:H$98)</f>
        <v>2</v>
      </c>
      <c r="H62" s="592">
        <f>VLOOKUP(F62,Deltakerliste!P$6:T$84,G62,FALSE)</f>
        <v>1.3469999999999998</v>
      </c>
      <c r="I62" s="134"/>
      <c r="J62" s="134"/>
      <c r="K62" s="134"/>
      <c r="L62" s="321"/>
      <c r="M62" s="594"/>
      <c r="N62" s="595"/>
      <c r="O62" s="596"/>
    </row>
    <row r="63" spans="2:29" ht="21" customHeight="1" thickBot="1" x14ac:dyDescent="0.3">
      <c r="B63" s="16">
        <f t="shared" si="3"/>
        <v>54</v>
      </c>
      <c r="C63" s="106" t="s">
        <v>63</v>
      </c>
      <c r="D63" s="107" t="s">
        <v>105</v>
      </c>
      <c r="E63" s="599" t="str">
        <f t="shared" si="6"/>
        <v>ToreKiste</v>
      </c>
      <c r="F63" s="192">
        <f>YEAR(I$5)-_xlfn.XLOOKUP(E63,Deltakerliste!E$5:E$98,Deltakerliste!I$5:I$98)</f>
        <v>80</v>
      </c>
      <c r="G63" s="192">
        <f>_xlfn.XLOOKUP(E63,Deltakerliste!E$5:E$98,Deltakerliste!H$5:H$98)</f>
        <v>2</v>
      </c>
      <c r="H63" s="592">
        <f>VLOOKUP(F63,Deltakerliste!P$6:T$84,G63,FALSE)</f>
        <v>1.8550000000000002</v>
      </c>
      <c r="I63" s="86"/>
      <c r="J63" s="86"/>
      <c r="K63" s="13"/>
      <c r="L63" s="321"/>
      <c r="M63" s="594"/>
      <c r="N63" s="595"/>
      <c r="O63" s="596"/>
    </row>
    <row r="64" spans="2:29" ht="21" thickBot="1" x14ac:dyDescent="0.3">
      <c r="B64" s="16">
        <f t="shared" si="3"/>
        <v>55</v>
      </c>
      <c r="C64" s="106" t="s">
        <v>110</v>
      </c>
      <c r="D64" s="107" t="s">
        <v>111</v>
      </c>
      <c r="E64" s="599" t="str">
        <f t="shared" si="6"/>
        <v>Jan ErikKofoed</v>
      </c>
      <c r="F64" s="192">
        <f>YEAR(I$5)-_xlfn.XLOOKUP(E64,Deltakerliste!E$5:E$98,Deltakerliste!I$5:I$98)</f>
        <v>71</v>
      </c>
      <c r="G64" s="192">
        <f>_xlfn.XLOOKUP(E64,Deltakerliste!E$5:E$98,Deltakerliste!H$5:H$98)</f>
        <v>2</v>
      </c>
      <c r="H64" s="592">
        <f>VLOOKUP(F64,Deltakerliste!P$6:T$84,G64,FALSE)</f>
        <v>1.4609999999999999</v>
      </c>
      <c r="I64" s="86"/>
      <c r="J64" s="86"/>
      <c r="K64" s="13"/>
      <c r="L64" s="321"/>
      <c r="M64" s="594"/>
      <c r="N64" s="595"/>
      <c r="O64" s="596"/>
    </row>
    <row r="65" spans="2:17" ht="21" thickBot="1" x14ac:dyDescent="0.3">
      <c r="B65" s="16">
        <f t="shared" si="3"/>
        <v>56</v>
      </c>
      <c r="C65" s="106" t="s">
        <v>299</v>
      </c>
      <c r="D65" s="107" t="s">
        <v>300</v>
      </c>
      <c r="E65" s="599" t="str">
        <f t="shared" si="6"/>
        <v>OlavKvittem</v>
      </c>
      <c r="F65" s="192">
        <f>YEAR(I$5)-_xlfn.XLOOKUP(E65,Deltakerliste!E$5:E$98,Deltakerliste!I$5:I$98)</f>
        <v>70</v>
      </c>
      <c r="G65" s="192">
        <f>_xlfn.XLOOKUP(E65,Deltakerliste!E$5:E$98,Deltakerliste!H$5:H$98)</f>
        <v>2</v>
      </c>
      <c r="H65" s="592">
        <f>VLOOKUP(F65,Deltakerliste!P$6:T$84,G65,FALSE)</f>
        <v>1.4249999999999998</v>
      </c>
      <c r="I65" s="86"/>
      <c r="J65" s="86"/>
      <c r="K65" s="13"/>
      <c r="L65" s="321"/>
      <c r="M65" s="594"/>
      <c r="N65" s="595"/>
      <c r="O65" s="596"/>
    </row>
    <row r="66" spans="2:17" ht="21" thickBot="1" x14ac:dyDescent="0.3">
      <c r="B66" s="16">
        <f t="shared" si="3"/>
        <v>57</v>
      </c>
      <c r="C66" s="106" t="s">
        <v>112</v>
      </c>
      <c r="D66" s="107" t="s">
        <v>113</v>
      </c>
      <c r="E66" s="599" t="str">
        <f t="shared" si="6"/>
        <v>ToridKvaal</v>
      </c>
      <c r="F66" s="192">
        <f>YEAR(I$5)-_xlfn.XLOOKUP(E66,Deltakerliste!E$5:E$98,Deltakerliste!I$5:I$98)</f>
        <v>83</v>
      </c>
      <c r="G66" s="192">
        <f>_xlfn.XLOOKUP(E66,Deltakerliste!E$5:E$98,Deltakerliste!H$5:H$98)</f>
        <v>4</v>
      </c>
      <c r="H66" s="592">
        <f>VLOOKUP(F66,Deltakerliste!P$6:T$84,G66,FALSE)</f>
        <v>2.6998000000000006</v>
      </c>
      <c r="I66" s="86"/>
      <c r="J66" s="86"/>
      <c r="K66" s="13"/>
      <c r="L66" s="321"/>
      <c r="M66" s="594"/>
      <c r="N66" s="595"/>
      <c r="O66" s="596"/>
    </row>
    <row r="67" spans="2:17" ht="21" thickBot="1" x14ac:dyDescent="0.3">
      <c r="B67" s="16">
        <f t="shared" si="3"/>
        <v>58</v>
      </c>
      <c r="C67" s="106" t="s">
        <v>114</v>
      </c>
      <c r="D67" s="107" t="s">
        <v>115</v>
      </c>
      <c r="E67" s="599" t="str">
        <f t="shared" si="6"/>
        <v>MagnusLandstad</v>
      </c>
      <c r="F67" s="192">
        <f>YEAR(I$5)-_xlfn.XLOOKUP(E67,Deltakerliste!E$5:E$98,Deltakerliste!I$5:I$98)</f>
        <v>82</v>
      </c>
      <c r="G67" s="192">
        <f>_xlfn.XLOOKUP(E67,Deltakerliste!E$5:E$98,Deltakerliste!H$5:H$98)</f>
        <v>2</v>
      </c>
      <c r="H67" s="592">
        <f>VLOOKUP(F67,Deltakerliste!P$6:T$84,G67,FALSE)</f>
        <v>2.0030000000000001</v>
      </c>
      <c r="I67" s="86"/>
      <c r="J67" s="86"/>
      <c r="K67" s="13"/>
      <c r="L67" s="321"/>
      <c r="M67" s="594"/>
      <c r="N67" s="595"/>
      <c r="O67" s="596"/>
    </row>
    <row r="68" spans="2:17" ht="21" thickBot="1" x14ac:dyDescent="0.3">
      <c r="B68" s="16">
        <f t="shared" si="3"/>
        <v>59</v>
      </c>
      <c r="C68" s="106" t="s">
        <v>254</v>
      </c>
      <c r="D68" s="107" t="s">
        <v>255</v>
      </c>
      <c r="E68" s="599" t="str">
        <f t="shared" si="6"/>
        <v>ArnfinnLangeland</v>
      </c>
      <c r="F68" s="192">
        <f>YEAR(I$5)-_xlfn.XLOOKUP(E68,Deltakerliste!E$5:E$98,Deltakerliste!I$5:I$98)</f>
        <v>89</v>
      </c>
      <c r="G68" s="192">
        <f>_xlfn.XLOOKUP(E68,Deltakerliste!E$5:E$98,Deltakerliste!H$5:H$98)</f>
        <v>2</v>
      </c>
      <c r="H68" s="592">
        <f>VLOOKUP(F68,Deltakerliste!P$6:T$84,G68,FALSE)</f>
        <v>2.5609999999999999</v>
      </c>
      <c r="I68" s="86"/>
      <c r="J68" s="86"/>
      <c r="K68" s="13"/>
      <c r="L68" s="321"/>
      <c r="M68" s="594"/>
      <c r="N68" s="595"/>
      <c r="O68" s="596"/>
    </row>
    <row r="69" spans="2:17" ht="21" thickBot="1" x14ac:dyDescent="0.3">
      <c r="B69" s="16">
        <f t="shared" si="3"/>
        <v>60</v>
      </c>
      <c r="C69" s="106" t="s">
        <v>248</v>
      </c>
      <c r="D69" s="107" t="s">
        <v>249</v>
      </c>
      <c r="E69" s="599" t="str">
        <f t="shared" si="6"/>
        <v>ErikLund</v>
      </c>
      <c r="F69" s="192">
        <f>YEAR(I$5)-_xlfn.XLOOKUP(E69,Deltakerliste!E$5:E$98,Deltakerliste!I$5:I$98)</f>
        <v>78</v>
      </c>
      <c r="G69" s="192">
        <f>_xlfn.XLOOKUP(E69,Deltakerliste!E$5:E$98,Deltakerliste!H$5:H$98)</f>
        <v>2</v>
      </c>
      <c r="H69" s="592">
        <f>VLOOKUP(F69,Deltakerliste!P$6:T$84,G69,FALSE)</f>
        <v>1.7550000000000001</v>
      </c>
      <c r="I69" s="13"/>
      <c r="J69" s="13"/>
      <c r="K69" s="17"/>
      <c r="L69" s="321"/>
      <c r="M69" s="594"/>
      <c r="N69" s="595"/>
      <c r="O69" s="596"/>
    </row>
    <row r="70" spans="2:17" ht="21" thickBot="1" x14ac:dyDescent="0.3">
      <c r="B70" s="16">
        <f t="shared" si="3"/>
        <v>61</v>
      </c>
      <c r="C70" s="106" t="s">
        <v>124</v>
      </c>
      <c r="D70" s="107" t="s">
        <v>125</v>
      </c>
      <c r="E70" s="599" t="str">
        <f t="shared" si="6"/>
        <v>Heidi Midttun</v>
      </c>
      <c r="F70" s="192">
        <f>YEAR(I$5)-_xlfn.XLOOKUP(E70,Deltakerliste!E$5:E$98,Deltakerliste!I$5:I$98)</f>
        <v>70</v>
      </c>
      <c r="G70" s="192">
        <f>_xlfn.XLOOKUP(E70,Deltakerliste!E$5:E$98,Deltakerliste!H$5:H$98)</f>
        <v>4</v>
      </c>
      <c r="H70" s="592">
        <f>VLOOKUP(F70,Deltakerliste!P$6:T$84,G70,FALSE)</f>
        <v>1.9490000000000012</v>
      </c>
      <c r="I70" s="13"/>
      <c r="J70" s="13"/>
      <c r="K70" s="13"/>
      <c r="L70" s="321"/>
      <c r="M70" s="594"/>
      <c r="N70" s="595"/>
      <c r="O70" s="596"/>
    </row>
    <row r="71" spans="2:17" ht="21" thickBot="1" x14ac:dyDescent="0.3">
      <c r="B71" s="16">
        <f t="shared" si="3"/>
        <v>62</v>
      </c>
      <c r="C71" s="106" t="s">
        <v>128</v>
      </c>
      <c r="D71" s="107" t="s">
        <v>129</v>
      </c>
      <c r="E71" s="599" t="str">
        <f t="shared" si="6"/>
        <v>OddMusum</v>
      </c>
      <c r="F71" s="192">
        <f>YEAR(I$5)-_xlfn.XLOOKUP(E71,Deltakerliste!E$5:E$98,Deltakerliste!I$5:I$98)</f>
        <v>83</v>
      </c>
      <c r="G71" s="192">
        <f>_xlfn.XLOOKUP(E71,Deltakerliste!E$5:E$98,Deltakerliste!H$5:H$98)</f>
        <v>2</v>
      </c>
      <c r="H71" s="592">
        <f>VLOOKUP(F71,Deltakerliste!P$6:T$84,G71,FALSE)</f>
        <v>2.077</v>
      </c>
      <c r="I71" s="13"/>
      <c r="J71" s="13"/>
      <c r="K71" s="13"/>
      <c r="L71" s="321"/>
      <c r="M71" s="594"/>
      <c r="N71" s="595"/>
      <c r="O71" s="596"/>
    </row>
    <row r="72" spans="2:17" ht="21" thickBot="1" x14ac:dyDescent="0.3">
      <c r="B72" s="16">
        <f t="shared" si="3"/>
        <v>63</v>
      </c>
      <c r="C72" s="106" t="s">
        <v>132</v>
      </c>
      <c r="D72" s="107" t="s">
        <v>133</v>
      </c>
      <c r="E72" s="599" t="str">
        <f t="shared" si="6"/>
        <v>JarleNestvold</v>
      </c>
      <c r="F72" s="192">
        <f>YEAR(I$5)-_xlfn.XLOOKUP(E72,Deltakerliste!E$5:E$98,Deltakerliste!I$5:I$98)</f>
        <v>88</v>
      </c>
      <c r="G72" s="192">
        <f>_xlfn.XLOOKUP(E72,Deltakerliste!E$5:E$98,Deltakerliste!H$5:H$98)</f>
        <v>2</v>
      </c>
      <c r="H72" s="592">
        <f>VLOOKUP(F72,Deltakerliste!P$6:T$84,G72,FALSE)</f>
        <v>2.4769999999999999</v>
      </c>
      <c r="I72" s="132"/>
      <c r="J72" s="18"/>
      <c r="K72" s="18"/>
      <c r="L72" s="321"/>
      <c r="M72" s="594"/>
      <c r="N72" s="595"/>
      <c r="O72" s="596"/>
    </row>
    <row r="73" spans="2:17" ht="21" thickBot="1" x14ac:dyDescent="0.3">
      <c r="B73" s="16">
        <f t="shared" si="3"/>
        <v>64</v>
      </c>
      <c r="C73" s="106" t="s">
        <v>140</v>
      </c>
      <c r="D73" s="107" t="s">
        <v>141</v>
      </c>
      <c r="E73" s="599" t="str">
        <f t="shared" si="6"/>
        <v>Grete BergeOwren</v>
      </c>
      <c r="F73" s="192">
        <f>YEAR(I$5)-_xlfn.XLOOKUP(E73,Deltakerliste!E$5:E$98,Deltakerliste!I$5:I$98)</f>
        <v>67</v>
      </c>
      <c r="G73" s="192">
        <f>_xlfn.XLOOKUP(E73,Deltakerliste!E$5:E$98,Deltakerliste!H$5:H$98)</f>
        <v>4</v>
      </c>
      <c r="H73" s="592">
        <f>VLOOKUP(F73,Deltakerliste!P$6:T$84,G73,FALSE)</f>
        <v>1.8422000000000009</v>
      </c>
      <c r="I73" s="18"/>
      <c r="J73" s="18"/>
      <c r="K73" s="18"/>
      <c r="L73" s="321"/>
      <c r="M73" s="594"/>
      <c r="N73" s="595"/>
      <c r="O73" s="596"/>
    </row>
    <row r="74" spans="2:17" ht="21" thickBot="1" x14ac:dyDescent="0.3">
      <c r="B74" s="16">
        <f t="shared" si="3"/>
        <v>65</v>
      </c>
      <c r="C74" s="106" t="s">
        <v>228</v>
      </c>
      <c r="D74" s="107" t="s">
        <v>229</v>
      </c>
      <c r="E74" s="599" t="str">
        <f t="shared" ref="E74:E86" si="7">_xlfn.CONCAT(C74:D74)</f>
        <v>May-LisRønning</v>
      </c>
      <c r="F74" s="192">
        <f>YEAR(I$5)-_xlfn.XLOOKUP(E74,Deltakerliste!E$5:E$98,Deltakerliste!I$5:I$98)</f>
        <v>55</v>
      </c>
      <c r="G74" s="192">
        <f>_xlfn.XLOOKUP(E74,Deltakerliste!E$5:E$98,Deltakerliste!H$5:H$98)</f>
        <v>4</v>
      </c>
      <c r="H74" s="592">
        <f>VLOOKUP(F74,Deltakerliste!P$6:T$84,G74,FALSE)</f>
        <v>1.5099999999999996</v>
      </c>
      <c r="I74" s="18"/>
      <c r="J74" s="18"/>
      <c r="K74" s="18"/>
      <c r="L74" s="321"/>
      <c r="M74" s="594"/>
      <c r="N74" s="595"/>
      <c r="O74" s="596"/>
    </row>
    <row r="75" spans="2:17" ht="21" thickBot="1" x14ac:dyDescent="0.3">
      <c r="B75" s="16">
        <f t="shared" si="3"/>
        <v>66</v>
      </c>
      <c r="C75" s="111" t="s">
        <v>147</v>
      </c>
      <c r="D75" s="193" t="s">
        <v>148</v>
      </c>
      <c r="E75" s="599" t="str">
        <f t="shared" si="7"/>
        <v>ViggoSchei</v>
      </c>
      <c r="F75" s="192">
        <f>YEAR(I$5)-_xlfn.XLOOKUP(E75,Deltakerliste!E$5:E$98,Deltakerliste!I$5:I$98)</f>
        <v>74</v>
      </c>
      <c r="G75" s="192">
        <f>_xlfn.XLOOKUP(E75,Deltakerliste!E$5:E$98,Deltakerliste!H$5:H$98)</f>
        <v>2</v>
      </c>
      <c r="H75" s="592">
        <f>VLOOKUP(F75,Deltakerliste!P$6:T$84,G75,FALSE)</f>
        <v>1.569</v>
      </c>
      <c r="I75" s="18"/>
      <c r="J75" s="18"/>
      <c r="K75" s="18"/>
      <c r="L75" s="321"/>
      <c r="M75" s="594"/>
      <c r="N75" s="595"/>
      <c r="O75" s="596"/>
    </row>
    <row r="76" spans="2:17" ht="21" thickBot="1" x14ac:dyDescent="0.3">
      <c r="B76" s="16">
        <f t="shared" ref="B76:B86" si="8">B75+1</f>
        <v>67</v>
      </c>
      <c r="C76" s="111" t="s">
        <v>298</v>
      </c>
      <c r="D76" s="193" t="s">
        <v>297</v>
      </c>
      <c r="E76" s="599" t="str">
        <f t="shared" si="7"/>
        <v>ØyvindSchjelderup</v>
      </c>
      <c r="F76" s="192">
        <f>YEAR(I$5)-_xlfn.XLOOKUP(E76,Deltakerliste!E$5:E$98,Deltakerliste!I$5:I$98)</f>
        <v>60</v>
      </c>
      <c r="G76" s="192">
        <f>_xlfn.XLOOKUP(E76,Deltakerliste!E$5:E$98,Deltakerliste!H$5:H$98)</f>
        <v>2</v>
      </c>
      <c r="H76" s="592">
        <f>VLOOKUP(F76,Deltakerliste!P$6:T$84,G76,FALSE)</f>
        <v>1.2000000000000002</v>
      </c>
      <c r="I76" s="18"/>
      <c r="J76" s="18"/>
      <c r="K76" s="18"/>
      <c r="L76" s="321"/>
      <c r="M76" s="594"/>
      <c r="N76" s="595"/>
      <c r="O76" s="596"/>
      <c r="Q76" s="112"/>
    </row>
    <row r="77" spans="2:17" ht="21" thickBot="1" x14ac:dyDescent="0.3">
      <c r="B77" s="16">
        <f t="shared" si="8"/>
        <v>68</v>
      </c>
      <c r="C77" s="111" t="s">
        <v>151</v>
      </c>
      <c r="D77" s="108" t="s">
        <v>152</v>
      </c>
      <c r="E77" s="599" t="str">
        <f t="shared" si="7"/>
        <v>PålSkyberg</v>
      </c>
      <c r="F77" s="192" t="e">
        <f>YEAR(I$5)-_xlfn.XLOOKUP(E77,Deltakerliste!E$5:E$98,Deltakerliste!I$5:I$98)</f>
        <v>#N/A</v>
      </c>
      <c r="G77" s="192" t="e">
        <f>_xlfn.XLOOKUP(E77,Deltakerliste!E$5:E$98,Deltakerliste!H$5:H$98)</f>
        <v>#N/A</v>
      </c>
      <c r="H77" s="592" t="e">
        <f>VLOOKUP(F77,Deltakerliste!P$6:T$84,G77,FALSE)</f>
        <v>#N/A</v>
      </c>
      <c r="I77" s="18"/>
      <c r="J77" s="18"/>
      <c r="K77" s="18"/>
      <c r="L77" s="321"/>
      <c r="M77" s="594"/>
      <c r="N77" s="595"/>
      <c r="O77" s="596"/>
    </row>
    <row r="78" spans="2:17" ht="21" thickBot="1" x14ac:dyDescent="0.3">
      <c r="B78" s="16">
        <f t="shared" si="8"/>
        <v>69</v>
      </c>
      <c r="C78" s="111" t="s">
        <v>153</v>
      </c>
      <c r="D78" s="193" t="s">
        <v>154</v>
      </c>
      <c r="E78" s="599" t="str">
        <f t="shared" si="7"/>
        <v>ReidunSmaavik</v>
      </c>
      <c r="F78" s="192">
        <f>YEAR(I$5)-_xlfn.XLOOKUP(E78,Deltakerliste!E$5:E$98,Deltakerliste!I$5:I$98)</f>
        <v>70</v>
      </c>
      <c r="G78" s="192">
        <f>_xlfn.XLOOKUP(E78,Deltakerliste!E$5:E$98,Deltakerliste!H$5:H$98)</f>
        <v>4</v>
      </c>
      <c r="H78" s="592">
        <f>VLOOKUP(F78,Deltakerliste!P$6:T$84,G78,FALSE)</f>
        <v>1.9490000000000012</v>
      </c>
      <c r="I78" s="18"/>
      <c r="J78" s="18"/>
      <c r="K78" s="18"/>
      <c r="L78" s="321"/>
      <c r="M78" s="594"/>
      <c r="N78" s="595"/>
      <c r="O78" s="596"/>
    </row>
    <row r="79" spans="2:17" ht="21" thickBot="1" x14ac:dyDescent="0.3">
      <c r="B79" s="16">
        <f t="shared" si="8"/>
        <v>70</v>
      </c>
      <c r="C79" s="111" t="s">
        <v>155</v>
      </c>
      <c r="D79" s="193" t="s">
        <v>156</v>
      </c>
      <c r="E79" s="599" t="str">
        <f t="shared" si="7"/>
        <v>KjellrunSporild</v>
      </c>
      <c r="F79" s="192">
        <f>YEAR(I$5)-_xlfn.XLOOKUP(E79,Deltakerliste!E$5:E$98,Deltakerliste!I$5:I$98)</f>
        <v>70</v>
      </c>
      <c r="G79" s="192">
        <f>_xlfn.XLOOKUP(E79,Deltakerliste!E$5:E$98,Deltakerliste!H$5:H$98)</f>
        <v>4</v>
      </c>
      <c r="H79" s="592">
        <f>VLOOKUP(F79,Deltakerliste!P$6:T$84,G79,FALSE)</f>
        <v>1.9490000000000012</v>
      </c>
      <c r="I79" s="18"/>
      <c r="J79" s="18"/>
      <c r="K79" s="18"/>
      <c r="L79" s="321"/>
      <c r="M79" s="594"/>
      <c r="N79" s="595"/>
      <c r="O79" s="596"/>
    </row>
    <row r="80" spans="2:17" ht="21" thickBot="1" x14ac:dyDescent="0.3">
      <c r="B80" s="16">
        <f t="shared" si="8"/>
        <v>71</v>
      </c>
      <c r="C80" s="111" t="s">
        <v>232</v>
      </c>
      <c r="D80" s="133" t="s">
        <v>231</v>
      </c>
      <c r="E80" s="599" t="str">
        <f t="shared" si="7"/>
        <v>BeritSunnset</v>
      </c>
      <c r="F80" s="192">
        <f>YEAR(I$5)-_xlfn.XLOOKUP(E80,Deltakerliste!E$5:E$98,Deltakerliste!I$5:I$98)</f>
        <v>62</v>
      </c>
      <c r="G80" s="192">
        <f>_xlfn.XLOOKUP(E80,Deltakerliste!E$5:E$98,Deltakerliste!H$5:H$98)</f>
        <v>4</v>
      </c>
      <c r="H80" s="592">
        <f>VLOOKUP(F80,Deltakerliste!P$6:T$84,G80,FALSE)</f>
        <v>1.6834000000000005</v>
      </c>
      <c r="I80" s="18"/>
      <c r="J80" s="18"/>
      <c r="K80" s="18"/>
      <c r="L80" s="321"/>
      <c r="M80" s="594"/>
      <c r="N80" s="595"/>
      <c r="O80" s="596"/>
    </row>
    <row r="81" spans="2:15" ht="21" thickBot="1" x14ac:dyDescent="0.3">
      <c r="B81" s="16">
        <f t="shared" si="8"/>
        <v>72</v>
      </c>
      <c r="C81" s="111" t="s">
        <v>230</v>
      </c>
      <c r="D81" s="108" t="s">
        <v>231</v>
      </c>
      <c r="E81" s="599" t="str">
        <f t="shared" si="7"/>
        <v>TrineSunnset</v>
      </c>
      <c r="F81" s="192">
        <f>YEAR(I$5)-_xlfn.XLOOKUP(E81,Deltakerliste!E$5:E$98,Deltakerliste!I$5:I$98)</f>
        <v>62</v>
      </c>
      <c r="G81" s="192">
        <f>_xlfn.XLOOKUP(E81,Deltakerliste!E$5:E$98,Deltakerliste!H$5:H$98)</f>
        <v>4</v>
      </c>
      <c r="H81" s="592">
        <f>VLOOKUP(F81,Deltakerliste!P$6:T$84,G81,FALSE)</f>
        <v>1.6834000000000005</v>
      </c>
      <c r="I81" s="18"/>
      <c r="J81" s="18"/>
      <c r="K81" s="18"/>
      <c r="L81" s="321"/>
      <c r="M81" s="594"/>
      <c r="N81" s="595"/>
      <c r="O81" s="596"/>
    </row>
    <row r="82" spans="2:15" ht="21" thickBot="1" x14ac:dyDescent="0.3">
      <c r="B82" s="16">
        <f t="shared" si="8"/>
        <v>73</v>
      </c>
      <c r="C82" s="193" t="s">
        <v>161</v>
      </c>
      <c r="D82" s="108" t="s">
        <v>162</v>
      </c>
      <c r="E82" s="599" t="str">
        <f t="shared" si="7"/>
        <v>Nils OlavVennevik</v>
      </c>
      <c r="F82" s="192">
        <f>YEAR(I$5)-_xlfn.XLOOKUP(E82,Deltakerliste!E$5:E$98,Deltakerliste!I$5:I$98)</f>
        <v>77</v>
      </c>
      <c r="G82" s="192">
        <f>_xlfn.XLOOKUP(E82,Deltakerliste!E$5:E$98,Deltakerliste!H$5:H$98)</f>
        <v>2</v>
      </c>
      <c r="H82" s="592">
        <f>VLOOKUP(F82,Deltakerliste!P$6:T$84,G82,FALSE)</f>
        <v>1.7050000000000001</v>
      </c>
      <c r="I82" s="132"/>
      <c r="J82" s="18"/>
      <c r="K82" s="18"/>
      <c r="L82" s="321"/>
      <c r="M82" s="594"/>
      <c r="N82" s="595"/>
      <c r="O82" s="596"/>
    </row>
    <row r="83" spans="2:15" ht="21" thickBot="1" x14ac:dyDescent="0.3">
      <c r="B83" s="16">
        <f t="shared" si="8"/>
        <v>74</v>
      </c>
      <c r="C83" s="193" t="s">
        <v>163</v>
      </c>
      <c r="D83" s="108" t="s">
        <v>164</v>
      </c>
      <c r="E83" s="599" t="str">
        <f t="shared" si="7"/>
        <v>ArnulfVilmo</v>
      </c>
      <c r="F83" s="192">
        <f>YEAR(I$5)-_xlfn.XLOOKUP(E83,Deltakerliste!E$5:E$98,Deltakerliste!I$5:I$98)</f>
        <v>72</v>
      </c>
      <c r="G83" s="192">
        <f>_xlfn.XLOOKUP(E83,Deltakerliste!E$5:E$98,Deltakerliste!H$5:H$98)</f>
        <v>2</v>
      </c>
      <c r="H83" s="592">
        <f>VLOOKUP(F83,Deltakerliste!P$6:T$84,G83,FALSE)</f>
        <v>1.4969999999999999</v>
      </c>
      <c r="I83" s="18"/>
      <c r="J83" s="132"/>
      <c r="K83" s="18"/>
      <c r="L83" s="321"/>
      <c r="M83" s="594"/>
      <c r="N83" s="595"/>
      <c r="O83" s="596"/>
    </row>
    <row r="84" spans="2:15" ht="21" thickBot="1" x14ac:dyDescent="0.3">
      <c r="B84" s="16">
        <f t="shared" si="8"/>
        <v>75</v>
      </c>
      <c r="C84" s="193" t="s">
        <v>265</v>
      </c>
      <c r="D84" s="108" t="s">
        <v>266</v>
      </c>
      <c r="E84" s="599" t="str">
        <f t="shared" si="7"/>
        <v>ØysteinWiggen</v>
      </c>
      <c r="F84" s="192">
        <f>YEAR(I$5)-_xlfn.XLOOKUP(E84,Deltakerliste!E$5:E$98,Deltakerliste!I$5:I$98)</f>
        <v>59</v>
      </c>
      <c r="G84" s="192">
        <f>_xlfn.XLOOKUP(E84,Deltakerliste!E$5:E$98,Deltakerliste!H$5:H$98)</f>
        <v>2</v>
      </c>
      <c r="H84" s="592">
        <f>VLOOKUP(F84,Deltakerliste!P$6:T$84,G84,FALSE)</f>
        <v>1.1860000000000002</v>
      </c>
      <c r="I84" s="18"/>
      <c r="J84" s="18"/>
      <c r="K84" s="18"/>
      <c r="L84" s="756"/>
      <c r="M84" s="594"/>
      <c r="N84" s="595"/>
      <c r="O84" s="596"/>
    </row>
    <row r="85" spans="2:15" ht="21" thickBot="1" x14ac:dyDescent="0.3">
      <c r="B85" s="16">
        <f t="shared" si="8"/>
        <v>76</v>
      </c>
      <c r="C85" s="193" t="s">
        <v>116</v>
      </c>
      <c r="D85" s="108" t="s">
        <v>165</v>
      </c>
      <c r="E85" s="599" t="str">
        <f t="shared" si="7"/>
        <v>AndersWaage</v>
      </c>
      <c r="F85" s="192">
        <f>YEAR(I$5)-_xlfn.XLOOKUP(E85,Deltakerliste!E$5:E$98,Deltakerliste!I$5:I$98)</f>
        <v>77</v>
      </c>
      <c r="G85" s="192">
        <f>_xlfn.XLOOKUP(E85,Deltakerliste!E$5:E$98,Deltakerliste!H$5:H$98)</f>
        <v>2</v>
      </c>
      <c r="H85" s="592">
        <f>VLOOKUP(F85,Deltakerliste!P$6:T$84,G85,FALSE)</f>
        <v>1.7050000000000001</v>
      </c>
      <c r="I85" s="18"/>
      <c r="J85" s="18"/>
      <c r="K85" s="18"/>
      <c r="L85" s="757"/>
      <c r="M85" s="594"/>
      <c r="N85" s="758"/>
      <c r="O85" s="596"/>
    </row>
    <row r="86" spans="2:15" ht="21" thickBot="1" x14ac:dyDescent="0.3">
      <c r="B86" s="16">
        <f t="shared" si="8"/>
        <v>77</v>
      </c>
      <c r="C86" s="193" t="s">
        <v>166</v>
      </c>
      <c r="D86" s="108" t="s">
        <v>167</v>
      </c>
      <c r="E86" s="599" t="str">
        <f t="shared" si="7"/>
        <v>GunnarØsterbø</v>
      </c>
      <c r="F86" s="192">
        <f>YEAR(I$5)-_xlfn.XLOOKUP(E86,Deltakerliste!E$5:E$98,Deltakerliste!I$5:I$98)</f>
        <v>86</v>
      </c>
      <c r="G86" s="192">
        <f>_xlfn.XLOOKUP(E86,Deltakerliste!E$5:E$98,Deltakerliste!H$5:H$98)</f>
        <v>2</v>
      </c>
      <c r="H86" s="592">
        <f>VLOOKUP(F86,Deltakerliste!P$6:T$84,G86,FALSE)</f>
        <v>2.3089999999999997</v>
      </c>
      <c r="I86" s="18"/>
      <c r="J86" s="132"/>
      <c r="K86" s="18"/>
      <c r="L86" s="676"/>
      <c r="M86" s="717"/>
      <c r="N86" s="718"/>
      <c r="O86" s="719"/>
    </row>
    <row r="100" spans="4:11" ht="17" thickBot="1" x14ac:dyDescent="0.25"/>
    <row r="101" spans="4:11" ht="21" thickTop="1" thickBot="1" x14ac:dyDescent="0.3">
      <c r="D101" s="646" t="s">
        <v>288</v>
      </c>
      <c r="E101" s="647"/>
      <c r="F101" s="666"/>
      <c r="G101" s="666"/>
      <c r="H101" s="666"/>
      <c r="I101" s="648" t="s">
        <v>195</v>
      </c>
      <c r="J101" s="648" t="s">
        <v>196</v>
      </c>
      <c r="K101" s="649" t="s">
        <v>197</v>
      </c>
    </row>
    <row r="102" spans="4:11" ht="20" x14ac:dyDescent="0.25">
      <c r="D102" s="634" t="s">
        <v>172</v>
      </c>
      <c r="E102" s="320"/>
      <c r="F102" s="208"/>
      <c r="G102" s="208"/>
      <c r="H102" s="208"/>
      <c r="I102" s="635">
        <f>COUNT(I10:I92)+COUNTIF(I10:I92,"Brutt")+COUNTIF(I10:I92,"(*)")</f>
        <v>17</v>
      </c>
      <c r="J102" s="635">
        <f>COUNT(J10:J92)+COUNTIF(J10:J92,"Brutt")+COUNTIF(J10:J92,"(*)")</f>
        <v>17</v>
      </c>
      <c r="K102" s="636">
        <f>I102+J102</f>
        <v>34</v>
      </c>
    </row>
    <row r="103" spans="4:11" ht="19" x14ac:dyDescent="0.25">
      <c r="D103" s="637" t="s">
        <v>174</v>
      </c>
      <c r="E103" s="320"/>
      <c r="F103" s="208"/>
      <c r="G103" s="208"/>
      <c r="H103" s="208"/>
      <c r="I103" s="635">
        <f>COUNT(I10:I92)</f>
        <v>15</v>
      </c>
      <c r="J103" s="635">
        <f>COUNT(J10:J92)</f>
        <v>16</v>
      </c>
      <c r="K103" s="636">
        <f t="shared" ref="K103" si="9">I103+J103</f>
        <v>31</v>
      </c>
    </row>
    <row r="104" spans="4:11" ht="19" x14ac:dyDescent="0.25">
      <c r="D104" s="637" t="s">
        <v>173</v>
      </c>
      <c r="E104" s="320"/>
      <c r="F104" s="208"/>
      <c r="G104" s="208"/>
      <c r="H104" s="208"/>
      <c r="I104" s="208"/>
      <c r="J104" s="208"/>
      <c r="K104" s="636">
        <f>K102+COUNTIF(L10:L92,"Arr")+COUNTIF(L10:L92,"Løype")</f>
        <v>35</v>
      </c>
    </row>
    <row r="105" spans="4:11" ht="19" x14ac:dyDescent="0.25">
      <c r="D105" s="637" t="s">
        <v>341</v>
      </c>
      <c r="E105" s="320"/>
      <c r="F105" s="208"/>
      <c r="G105" s="208"/>
      <c r="H105" s="208"/>
      <c r="I105" s="208"/>
      <c r="J105" s="208"/>
      <c r="K105" s="638">
        <f>AVERAGEIF(M10:M85,"&gt;0",F10:F85)</f>
        <v>75.2</v>
      </c>
    </row>
    <row r="106" spans="4:11" ht="19" x14ac:dyDescent="0.25">
      <c r="D106" s="637" t="s">
        <v>296</v>
      </c>
      <c r="E106" s="320"/>
      <c r="F106" s="208"/>
      <c r="G106" s="208"/>
      <c r="H106" s="208"/>
      <c r="I106" s="208"/>
      <c r="J106" s="208"/>
      <c r="K106" s="638">
        <f>AVERAGE(I8:J8)</f>
        <v>2.8</v>
      </c>
    </row>
    <row r="107" spans="4:11" ht="19" x14ac:dyDescent="0.25">
      <c r="D107" s="637" t="s">
        <v>176</v>
      </c>
      <c r="E107" s="320"/>
      <c r="F107" s="208"/>
      <c r="G107" s="208"/>
      <c r="H107" s="208"/>
      <c r="I107" s="112">
        <f>I8*I103</f>
        <v>31.5</v>
      </c>
      <c r="J107" s="112">
        <f>J8*J103</f>
        <v>56</v>
      </c>
      <c r="K107" s="638">
        <f>I107+J107</f>
        <v>87.5</v>
      </c>
    </row>
    <row r="108" spans="4:11" ht="19" x14ac:dyDescent="0.25">
      <c r="D108" s="639" t="s">
        <v>286</v>
      </c>
      <c r="E108" s="320"/>
      <c r="F108" s="208"/>
      <c r="G108" s="208"/>
      <c r="H108" s="208"/>
      <c r="I108" s="103">
        <f>IF(SUM(I10:I92)=0," ",AVERAGE(I10:I92))</f>
        <v>3.2892746913580247E-2</v>
      </c>
      <c r="J108" s="103">
        <f>IF(SUM(J10:J92)=0," ",AVERAGE(J10:J92))</f>
        <v>4.0953414351851847E-2</v>
      </c>
      <c r="K108" s="640">
        <f>IF(SUM(I10:J92)=0," ",AVERAGE(I10:J92))</f>
        <v>3.7053091397849465E-2</v>
      </c>
    </row>
    <row r="109" spans="4:11" ht="20" thickBot="1" x14ac:dyDescent="0.3">
      <c r="D109" s="641" t="s">
        <v>287</v>
      </c>
      <c r="E109" s="642"/>
      <c r="F109" s="644"/>
      <c r="G109" s="644"/>
      <c r="H109" s="644"/>
      <c r="I109" s="643"/>
      <c r="J109" s="644"/>
      <c r="K109" s="645">
        <f>MIN(L10:L92)</f>
        <v>9.0079365079365082E-3</v>
      </c>
    </row>
    <row r="110" spans="4:11" ht="17" thickTop="1" x14ac:dyDescent="0.2"/>
  </sheetData>
  <autoFilter ref="C9:O84" xr:uid="{F6EBD80A-6C8F-0645-A4EE-B956A883897E}">
    <sortState xmlns:xlrd2="http://schemas.microsoft.com/office/spreadsheetml/2017/richdata2" ref="C10:O86">
      <sortCondition ref="L9:L84"/>
    </sortState>
  </autoFilter>
  <mergeCells count="3">
    <mergeCell ref="W7:X7"/>
    <mergeCell ref="S8:U8"/>
    <mergeCell ref="W8:X8"/>
  </mergeCells>
  <pageMargins left="0.7" right="0.7" top="0.75" bottom="0.75" header="0.3" footer="0.3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560B5-BFF2-A84B-94A7-A36BE356CB83}">
  <dimension ref="B1:AC110"/>
  <sheetViews>
    <sheetView topLeftCell="A60" workbookViewId="0">
      <selection activeCell="G1" sqref="G1:G1048576"/>
    </sheetView>
  </sheetViews>
  <sheetFormatPr baseColWidth="10" defaultColWidth="10.83203125" defaultRowHeight="16" x14ac:dyDescent="0.2"/>
  <cols>
    <col min="3" max="3" width="14.5" customWidth="1"/>
    <col min="4" max="4" width="20.1640625" customWidth="1"/>
    <col min="5" max="5" width="20.1640625" hidden="1" customWidth="1"/>
    <col min="6" max="6" width="14.5" style="15" customWidth="1"/>
    <col min="7" max="7" width="14.5" style="15" hidden="1" customWidth="1"/>
    <col min="8" max="8" width="14" style="15" customWidth="1"/>
    <col min="9" max="10" width="19.1640625" style="15" customWidth="1"/>
    <col min="11" max="11" width="17.6640625" style="15" customWidth="1"/>
    <col min="12" max="12" width="10.83203125" style="15"/>
    <col min="14" max="14" width="10.83203125" style="15"/>
    <col min="18" max="18" width="12.5" customWidth="1"/>
    <col min="19" max="19" width="13.5" customWidth="1"/>
    <col min="22" max="22" width="1.83203125" customWidth="1"/>
    <col min="23" max="23" width="15.83203125" customWidth="1"/>
    <col min="24" max="24" width="11" customWidth="1"/>
  </cols>
  <sheetData>
    <row r="1" spans="2:29" ht="8" customHeight="1" x14ac:dyDescent="0.2"/>
    <row r="2" spans="2:29" ht="8" customHeight="1" x14ac:dyDescent="0.2"/>
    <row r="5" spans="2:29" ht="26" x14ac:dyDescent="0.3">
      <c r="B5" s="21" t="s">
        <v>200</v>
      </c>
      <c r="C5" s="245" t="s">
        <v>352</v>
      </c>
      <c r="F5" s="667"/>
      <c r="G5" s="667"/>
      <c r="H5" s="671" t="s">
        <v>189</v>
      </c>
      <c r="I5" s="670">
        <v>45958</v>
      </c>
    </row>
    <row r="6" spans="2:29" ht="17" thickBot="1" x14ac:dyDescent="0.25">
      <c r="B6" s="15"/>
    </row>
    <row r="7" spans="2:29" ht="59" customHeight="1" thickBot="1" x14ac:dyDescent="0.35">
      <c r="B7" s="12" t="s">
        <v>194</v>
      </c>
      <c r="C7" s="662" t="s">
        <v>57</v>
      </c>
      <c r="D7" s="391" t="s">
        <v>58</v>
      </c>
      <c r="E7" s="663"/>
      <c r="F7" s="663" t="s">
        <v>234</v>
      </c>
      <c r="G7" s="391" t="s">
        <v>280</v>
      </c>
      <c r="H7" s="391" t="s">
        <v>235</v>
      </c>
      <c r="I7" s="391" t="s">
        <v>302</v>
      </c>
      <c r="J7" s="391" t="s">
        <v>303</v>
      </c>
      <c r="K7" s="391" t="s">
        <v>192</v>
      </c>
      <c r="L7" s="194" t="s">
        <v>209</v>
      </c>
      <c r="M7" s="392" t="s">
        <v>55</v>
      </c>
      <c r="N7" s="393" t="s">
        <v>242</v>
      </c>
      <c r="O7" s="393" t="s">
        <v>240</v>
      </c>
      <c r="Q7" s="319"/>
      <c r="R7" s="319"/>
      <c r="S7" s="755" t="str">
        <f>B5</f>
        <v>Løp 4</v>
      </c>
      <c r="T7" s="754" t="str">
        <f>C5</f>
        <v>Litlåsen</v>
      </c>
      <c r="U7" s="730"/>
      <c r="V7" s="730"/>
      <c r="W7" s="941"/>
      <c r="X7" s="941"/>
      <c r="AB7" s="675"/>
    </row>
    <row r="8" spans="2:29" ht="23" customHeight="1" thickTop="1" thickBot="1" x14ac:dyDescent="0.35">
      <c r="B8" s="22"/>
      <c r="C8" s="394"/>
      <c r="D8" s="395"/>
      <c r="E8" s="597"/>
      <c r="F8" s="668"/>
      <c r="G8" s="668"/>
      <c r="H8" s="664"/>
      <c r="I8" s="391">
        <v>2.2999999999999998</v>
      </c>
      <c r="J8" s="789">
        <v>3</v>
      </c>
      <c r="K8" s="391"/>
      <c r="N8" s="720"/>
      <c r="O8" s="390"/>
      <c r="S8" s="942" t="s">
        <v>312</v>
      </c>
      <c r="T8" s="943"/>
      <c r="U8" s="944"/>
      <c r="V8" s="779"/>
      <c r="W8" s="945" t="s">
        <v>313</v>
      </c>
      <c r="X8" s="940"/>
      <c r="AB8" s="836" t="s">
        <v>361</v>
      </c>
      <c r="AC8" s="827"/>
    </row>
    <row r="9" spans="2:29" ht="21" thickBot="1" x14ac:dyDescent="0.3">
      <c r="B9" s="22"/>
      <c r="C9" s="109"/>
      <c r="D9" s="105"/>
      <c r="E9" s="598"/>
      <c r="F9" s="669"/>
      <c r="G9" s="669"/>
      <c r="H9" s="665"/>
      <c r="I9" s="12"/>
      <c r="J9" s="12"/>
      <c r="K9" s="12"/>
      <c r="N9" s="722"/>
      <c r="O9" s="200"/>
      <c r="Q9" s="110"/>
      <c r="S9" s="731"/>
      <c r="T9" s="727" t="s">
        <v>311</v>
      </c>
      <c r="U9" s="750" t="s">
        <v>55</v>
      </c>
      <c r="V9" s="780"/>
      <c r="W9" s="774"/>
      <c r="X9" s="732" t="s">
        <v>55</v>
      </c>
      <c r="AB9" s="834" t="s">
        <v>234</v>
      </c>
      <c r="AC9" s="835" t="s">
        <v>362</v>
      </c>
    </row>
    <row r="10" spans="2:29" ht="21" thickBot="1" x14ac:dyDescent="0.3">
      <c r="B10" s="16">
        <f>B9+1</f>
        <v>1</v>
      </c>
      <c r="C10" s="106" t="s">
        <v>126</v>
      </c>
      <c r="D10" s="107" t="s">
        <v>127</v>
      </c>
      <c r="E10" s="599" t="str">
        <f t="shared" ref="E10:E41" si="0">_xlfn.CONCAT(C10:D10)</f>
        <v>ArneMikkelsen</v>
      </c>
      <c r="F10" s="192">
        <f>YEAR(I$5)-_xlfn.XLOOKUP(E10,Deltakerliste!E$5:E$98,Deltakerliste!I$5:I$98)</f>
        <v>72</v>
      </c>
      <c r="G10" s="192">
        <f>_xlfn.XLOOKUP(E10,Deltakerliste!E$5:E$98,Deltakerliste!H$5:H$98)</f>
        <v>2</v>
      </c>
      <c r="H10" s="592">
        <f>VLOOKUP(F10,Deltakerliste!P$6:T$84,G10,FALSE)</f>
        <v>1.4969999999999999</v>
      </c>
      <c r="I10" s="13"/>
      <c r="J10" s="13">
        <v>2.1157407407407406E-2</v>
      </c>
      <c r="K10" s="13"/>
      <c r="L10" s="600">
        <f t="shared" ref="L10:L53" si="1">IF(OR(I10="Arr",J10="Arr",K10="Arr"),"Arr",IF(OR(I10="Brutt",J10="Brutt",K10="Brutt"),"Brutt",IF(OR(I10="Løype",J10="Løype",K10="Løype"),"Løype",IF(I10&gt;0,I10/I$8,J10/J$8))))</f>
        <v>7.0524691358024687E-3</v>
      </c>
      <c r="M10" s="594">
        <f>IF(L10="Løype",Poengsammendrag!$F$2,IF(L10="Arr",Poengsammendrag!$F$3,IF(L10="Brutt",50,IF(L10="Disk",50,ROUND(MAXA(100*(MIN(L$10:L$84)/L10),50),0)))))</f>
        <v>98</v>
      </c>
      <c r="N10" s="724">
        <f t="shared" ref="N10:N53" si="2">IF(L10="Arr","Arr",IF(L10="Brutt","Brutt",IF(L10="Løype","Løype",L10/H10)))</f>
        <v>4.7110682269889577E-3</v>
      </c>
      <c r="O10" s="596">
        <f>IF(N10="Løype",Poengsammendrag!$F$2,IF(N10="Arr",Poengsammendrag!$F$3,IF(N10="Brutt",50,IF(N10="Disk",50,ROUND(MAXA(100*(MIN(N$10:N$84)/N10),50),0)))))</f>
        <v>100</v>
      </c>
      <c r="Q10" s="672"/>
      <c r="R10" s="672"/>
      <c r="S10" s="802" t="s">
        <v>354</v>
      </c>
      <c r="T10" s="734">
        <v>6.9444444444444441E-3</v>
      </c>
      <c r="U10" s="751">
        <v>100</v>
      </c>
      <c r="V10" s="781"/>
      <c r="W10" s="775" t="s">
        <v>126</v>
      </c>
      <c r="X10" s="739">
        <v>100</v>
      </c>
      <c r="AB10" s="832">
        <v>55</v>
      </c>
      <c r="AC10" s="833">
        <f>COUNTIFS(F$10:F$94,AB10,M$10:M$94,"&gt;0")</f>
        <v>0</v>
      </c>
    </row>
    <row r="11" spans="2:29" ht="21" customHeight="1" thickBot="1" x14ac:dyDescent="0.3">
      <c r="B11" s="16">
        <f>B10+1</f>
        <v>2</v>
      </c>
      <c r="C11" s="106" t="s">
        <v>307</v>
      </c>
      <c r="D11" s="107" t="s">
        <v>308</v>
      </c>
      <c r="E11" s="599" t="str">
        <f t="shared" si="0"/>
        <v>RolfWærnes</v>
      </c>
      <c r="F11" s="192">
        <f>YEAR(I$5)-_xlfn.XLOOKUP(E11,Deltakerliste!E$5:E$98,Deltakerliste!I$5:I$98)</f>
        <v>74</v>
      </c>
      <c r="G11" s="192">
        <f>_xlfn.XLOOKUP(E11,Deltakerliste!E$5:E$98,Deltakerliste!H$5:H$98)</f>
        <v>2</v>
      </c>
      <c r="H11" s="592">
        <f>VLOOKUP(F11,Deltakerliste!P$6:T$84,G11,FALSE)</f>
        <v>1.569</v>
      </c>
      <c r="I11" s="18"/>
      <c r="J11" s="132">
        <v>2.3252314814814816E-2</v>
      </c>
      <c r="K11" s="18"/>
      <c r="L11" s="600">
        <f t="shared" si="1"/>
        <v>7.7507716049382723E-3</v>
      </c>
      <c r="M11" s="594">
        <f>IF(L11="Løype",Poengsammendrag!$F$2,IF(L11="Arr",Poengsammendrag!$F$3,IF(L11="Brutt",50,IF(L11="Disk",50,ROUND(MAXA(100*(MIN(L$10:L$84)/L11),50),0)))))</f>
        <v>90</v>
      </c>
      <c r="N11" s="724">
        <f t="shared" si="2"/>
        <v>4.9399436615285355E-3</v>
      </c>
      <c r="O11" s="596">
        <f>IF(N11="Løype",Poengsammendrag!$F$2,IF(N11="Arr",Poengsammendrag!$F$3,IF(N11="Brutt",50,IF(N11="Disk",50,ROUND(MAXA(100*(MIN(N$10:N$84)/N11),50),0)))))</f>
        <v>95</v>
      </c>
      <c r="Q11" s="672"/>
      <c r="R11" s="672"/>
      <c r="S11" s="803" t="s">
        <v>126</v>
      </c>
      <c r="T11" s="736">
        <v>7.0524691358024687E-3</v>
      </c>
      <c r="U11" s="752">
        <v>98</v>
      </c>
      <c r="V11" s="781"/>
      <c r="W11" s="776" t="s">
        <v>307</v>
      </c>
      <c r="X11" s="740">
        <v>95</v>
      </c>
      <c r="AB11" s="828">
        <f>AB10+1</f>
        <v>56</v>
      </c>
      <c r="AC11" s="829">
        <f t="shared" ref="AC11:AC50" si="3">COUNTIFS(F$10:F$94,AB11,M$10:M$94,"&gt;0")</f>
        <v>0</v>
      </c>
    </row>
    <row r="12" spans="2:29" ht="21" customHeight="1" thickBot="1" x14ac:dyDescent="0.3">
      <c r="B12" s="16">
        <v>1</v>
      </c>
      <c r="C12" s="106" t="s">
        <v>118</v>
      </c>
      <c r="D12" s="107" t="s">
        <v>119</v>
      </c>
      <c r="E12" s="599" t="str">
        <f t="shared" si="0"/>
        <v>KnutLillealtern</v>
      </c>
      <c r="F12" s="192">
        <f>YEAR(I$5)-_xlfn.XLOOKUP(E12,Deltakerliste!E$5:E$98,Deltakerliste!I$5:I$98)</f>
        <v>76</v>
      </c>
      <c r="G12" s="192">
        <f>_xlfn.XLOOKUP(E12,Deltakerliste!E$5:E$98,Deltakerliste!H$5:H$98)</f>
        <v>2</v>
      </c>
      <c r="H12" s="592">
        <f>VLOOKUP(F12,Deltakerliste!P$6:T$84,G12,FALSE)</f>
        <v>1.655</v>
      </c>
      <c r="I12" s="13"/>
      <c r="J12" s="13">
        <v>2.5104166666666667E-2</v>
      </c>
      <c r="K12" s="17"/>
      <c r="L12" s="600">
        <f t="shared" si="1"/>
        <v>8.3680555555555557E-3</v>
      </c>
      <c r="M12" s="594">
        <f>IF(L12="Løype",Poengsammendrag!$F$2,IF(L12="Arr",Poengsammendrag!$F$3,IF(L12="Brutt",50,IF(L12="Disk",50,ROUND(MAXA(100*(MIN(L$10:L$84)/L12),50),0)))))</f>
        <v>83</v>
      </c>
      <c r="N12" s="724">
        <f t="shared" si="2"/>
        <v>5.0562269217858339E-3</v>
      </c>
      <c r="O12" s="596">
        <f>IF(N12="Løype",Poengsammendrag!$F$2,IF(N12="Arr",Poengsammendrag!$F$3,IF(N12="Brutt",50,IF(N12="Disk",50,ROUND(MAXA(100*(MIN(N$10:N$84)/N12),50),0)))))</f>
        <v>93</v>
      </c>
      <c r="Q12" s="672"/>
      <c r="R12" s="672"/>
      <c r="S12" s="803" t="s">
        <v>307</v>
      </c>
      <c r="T12" s="736">
        <v>7.7507716049382723E-3</v>
      </c>
      <c r="U12" s="752">
        <v>90</v>
      </c>
      <c r="V12" s="781"/>
      <c r="W12" s="776" t="s">
        <v>118</v>
      </c>
      <c r="X12" s="740">
        <v>93</v>
      </c>
      <c r="AB12" s="828">
        <f t="shared" ref="AB12:AB50" si="4">AB11+1</f>
        <v>57</v>
      </c>
      <c r="AC12" s="829">
        <f t="shared" si="3"/>
        <v>0</v>
      </c>
    </row>
    <row r="13" spans="2:29" ht="21" customHeight="1" thickBot="1" x14ac:dyDescent="0.3">
      <c r="B13" s="16">
        <f t="shared" ref="B13:B44" si="5">B12+1</f>
        <v>2</v>
      </c>
      <c r="C13" s="106" t="s">
        <v>64</v>
      </c>
      <c r="D13" s="107" t="s">
        <v>65</v>
      </c>
      <c r="E13" s="599" t="str">
        <f t="shared" si="0"/>
        <v>BjørnBerger</v>
      </c>
      <c r="F13" s="192">
        <f>YEAR(I$5)-_xlfn.XLOOKUP(E13,Deltakerliste!E$5:E$98,Deltakerliste!I$5:I$98)</f>
        <v>74</v>
      </c>
      <c r="G13" s="192">
        <f>_xlfn.XLOOKUP(E13,Deltakerliste!E$5:E$98,Deltakerliste!H$5:H$98)</f>
        <v>2</v>
      </c>
      <c r="H13" s="592">
        <f>VLOOKUP(F13,Deltakerliste!P$6:T$84,G13,FALSE)</f>
        <v>1.569</v>
      </c>
      <c r="I13" s="13"/>
      <c r="J13" s="13">
        <v>2.3900462962962964E-2</v>
      </c>
      <c r="K13" s="19"/>
      <c r="L13" s="600">
        <f t="shared" si="1"/>
        <v>7.9668209876543206E-3</v>
      </c>
      <c r="M13" s="594">
        <f>IF(L13="Løype",Poengsammendrag!$F$2,IF(L13="Arr",Poengsammendrag!$F$3,IF(L13="Brutt",50,IF(L13="Disk",50,ROUND(MAXA(100*(MIN(L$10:L$84)/L13),50),0)))))</f>
        <v>87</v>
      </c>
      <c r="N13" s="724">
        <f t="shared" si="2"/>
        <v>5.0776424395502368E-3</v>
      </c>
      <c r="O13" s="596">
        <f>IF(N13="Løype",Poengsammendrag!$F$2,IF(N13="Arr",Poengsammendrag!$F$3,IF(N13="Brutt",50,IF(N13="Disk",50,ROUND(MAXA(100*(MIN(N$10:N$84)/N13),50),0)))))</f>
        <v>93</v>
      </c>
      <c r="Q13" s="672"/>
      <c r="R13" s="672"/>
      <c r="S13" s="803" t="s">
        <v>355</v>
      </c>
      <c r="T13" s="736">
        <v>7.9668209876543206E-3</v>
      </c>
      <c r="U13" s="752">
        <v>87</v>
      </c>
      <c r="V13" s="781"/>
      <c r="W13" s="776" t="s">
        <v>355</v>
      </c>
      <c r="X13" s="740">
        <v>93</v>
      </c>
      <c r="AB13" s="828">
        <f t="shared" si="4"/>
        <v>58</v>
      </c>
      <c r="AC13" s="829">
        <f t="shared" si="3"/>
        <v>0</v>
      </c>
    </row>
    <row r="14" spans="2:29" ht="21" customHeight="1" thickBot="1" x14ac:dyDescent="0.3">
      <c r="B14" s="16">
        <f t="shared" si="5"/>
        <v>3</v>
      </c>
      <c r="C14" s="106" t="s">
        <v>116</v>
      </c>
      <c r="D14" s="107" t="s">
        <v>353</v>
      </c>
      <c r="E14" s="599" t="str">
        <f t="shared" si="0"/>
        <v>AndersGjermo</v>
      </c>
      <c r="F14" s="192">
        <f>YEAR(I$5)-_xlfn.XLOOKUP(E14,Deltakerliste!E$5:E$98,Deltakerliste!I$5:I$98)</f>
        <v>67</v>
      </c>
      <c r="G14" s="192">
        <f>_xlfn.XLOOKUP(E14,Deltakerliste!E$5:E$98,Deltakerliste!H$5:H$98)</f>
        <v>2</v>
      </c>
      <c r="H14" s="592">
        <f>VLOOKUP(F14,Deltakerliste!P$6:T$84,G14,FALSE)</f>
        <v>1.3469999999999998</v>
      </c>
      <c r="I14" s="132"/>
      <c r="J14" s="132">
        <v>2.0833333333333332E-2</v>
      </c>
      <c r="K14" s="18"/>
      <c r="L14" s="600">
        <f t="shared" si="1"/>
        <v>6.9444444444444441E-3</v>
      </c>
      <c r="M14" s="594">
        <f>IF(L14="Løype",Poengsammendrag!$F$2,IF(L14="Arr",Poengsammendrag!$F$3,IF(L14="Brutt",50,IF(L14="Disk",50,ROUND(MAXA(100*(MIN(L$10:L$84)/L14),50),0)))))</f>
        <v>100</v>
      </c>
      <c r="N14" s="724">
        <f t="shared" si="2"/>
        <v>5.1554895652891203E-3</v>
      </c>
      <c r="O14" s="596">
        <f>IF(N14="Løype",Poengsammendrag!$F$2,IF(N14="Arr",Poengsammendrag!$F$3,IF(N14="Brutt",50,IF(N14="Disk",50,ROUND(MAXA(100*(MIN(N$10:N$84)/N14),50),0)))))</f>
        <v>91</v>
      </c>
      <c r="Q14" s="672"/>
      <c r="R14" s="672"/>
      <c r="S14" s="803" t="s">
        <v>134</v>
      </c>
      <c r="T14" s="736">
        <v>8.1404320987654311E-3</v>
      </c>
      <c r="U14" s="752">
        <v>85</v>
      </c>
      <c r="V14" s="781"/>
      <c r="W14" s="776" t="s">
        <v>354</v>
      </c>
      <c r="X14" s="740">
        <v>91</v>
      </c>
      <c r="AB14" s="828">
        <f t="shared" si="4"/>
        <v>59</v>
      </c>
      <c r="AC14" s="829">
        <f t="shared" si="3"/>
        <v>0</v>
      </c>
    </row>
    <row r="15" spans="2:29" ht="21" customHeight="1" thickBot="1" x14ac:dyDescent="0.3">
      <c r="B15" s="16">
        <f t="shared" si="5"/>
        <v>4</v>
      </c>
      <c r="C15" s="106" t="s">
        <v>88</v>
      </c>
      <c r="D15" s="107" t="s">
        <v>89</v>
      </c>
      <c r="E15" s="599" t="str">
        <f t="shared" si="0"/>
        <v>EdgarFuruholt</v>
      </c>
      <c r="F15" s="192">
        <f>YEAR(I$5)-_xlfn.XLOOKUP(E15,Deltakerliste!E$5:E$98,Deltakerliste!I$5:I$98)</f>
        <v>78</v>
      </c>
      <c r="G15" s="192">
        <f>_xlfn.XLOOKUP(E15,Deltakerliste!E$5:E$98,Deltakerliste!H$5:H$98)</f>
        <v>2</v>
      </c>
      <c r="H15" s="592">
        <f>VLOOKUP(F15,Deltakerliste!P$6:T$84,G15,FALSE)</f>
        <v>1.7550000000000001</v>
      </c>
      <c r="I15" s="18"/>
      <c r="J15" s="132">
        <v>2.7673611111111111E-2</v>
      </c>
      <c r="K15" s="18"/>
      <c r="L15" s="600">
        <f t="shared" si="1"/>
        <v>9.2245370370370363E-3</v>
      </c>
      <c r="M15" s="594">
        <f>IF(L15="Løype",Poengsammendrag!$F$2,IF(L15="Arr",Poengsammendrag!$F$3,IF(L15="Brutt",50,IF(L15="Disk",50,ROUND(MAXA(100*(MIN(L$10:L$84)/L15),50),0)))))</f>
        <v>75</v>
      </c>
      <c r="N15" s="724">
        <f t="shared" si="2"/>
        <v>5.2561464598501629E-3</v>
      </c>
      <c r="O15" s="596">
        <f>IF(N15="Løype",Poengsammendrag!$F$2,IF(N15="Arr",Poengsammendrag!$F$3,IF(N15="Brutt",50,IF(N15="Disk",50,ROUND(MAXA(100*(MIN(N$10:N$84)/N15),50),0)))))</f>
        <v>90</v>
      </c>
      <c r="Q15" s="672"/>
      <c r="R15" s="672"/>
      <c r="S15" s="803" t="s">
        <v>118</v>
      </c>
      <c r="T15" s="736">
        <v>8.3680555555555557E-3</v>
      </c>
      <c r="U15" s="752">
        <v>83</v>
      </c>
      <c r="V15" s="781"/>
      <c r="W15" s="776" t="s">
        <v>88</v>
      </c>
      <c r="X15" s="740">
        <v>90</v>
      </c>
      <c r="AB15" s="828">
        <f t="shared" si="4"/>
        <v>60</v>
      </c>
      <c r="AC15" s="829">
        <f t="shared" si="3"/>
        <v>0</v>
      </c>
    </row>
    <row r="16" spans="2:29" ht="21" customHeight="1" thickBot="1" x14ac:dyDescent="0.3">
      <c r="B16" s="16">
        <f t="shared" si="5"/>
        <v>5</v>
      </c>
      <c r="C16" s="106" t="s">
        <v>78</v>
      </c>
      <c r="D16" s="107" t="s">
        <v>79</v>
      </c>
      <c r="E16" s="599" t="str">
        <f t="shared" si="0"/>
        <v>LeifEngen</v>
      </c>
      <c r="F16" s="192">
        <f>YEAR(I$5)-_xlfn.XLOOKUP(E16,Deltakerliste!E$5:E$98,Deltakerliste!I$5:I$98)</f>
        <v>84</v>
      </c>
      <c r="G16" s="192">
        <f>_xlfn.XLOOKUP(E16,Deltakerliste!E$5:E$98,Deltakerliste!H$5:H$98)</f>
        <v>2</v>
      </c>
      <c r="H16" s="592">
        <f>VLOOKUP(F16,Deltakerliste!P$6:T$84,G16,FALSE)</f>
        <v>2.1509999999999998</v>
      </c>
      <c r="I16" s="86">
        <v>2.613425925925926E-2</v>
      </c>
      <c r="J16" s="86"/>
      <c r="K16" s="13"/>
      <c r="L16" s="600">
        <f t="shared" si="1"/>
        <v>1.1362721417069245E-2</v>
      </c>
      <c r="M16" s="594">
        <f>IF(L16="Løype",Poengsammendrag!$F$2,IF(L16="Arr",Poengsammendrag!$F$3,IF(L16="Brutt",50,IF(L16="Disk",50,ROUND(MAXA(100*(MIN(L$10:L$84)/L16),50),0)))))</f>
        <v>61</v>
      </c>
      <c r="N16" s="724">
        <f t="shared" si="2"/>
        <v>5.2825297150484642E-3</v>
      </c>
      <c r="O16" s="596">
        <f>IF(N16="Løype",Poengsammendrag!$F$2,IF(N16="Arr",Poengsammendrag!$F$3,IF(N16="Brutt",50,IF(N16="Disk",50,ROUND(MAXA(100*(MIN(N$10:N$84)/N16),50),0)))))</f>
        <v>89</v>
      </c>
      <c r="Q16" s="672"/>
      <c r="R16" s="672"/>
      <c r="S16" s="803" t="s">
        <v>136</v>
      </c>
      <c r="T16" s="736">
        <v>8.5069444444444437E-3</v>
      </c>
      <c r="U16" s="752">
        <v>82</v>
      </c>
      <c r="V16" s="781"/>
      <c r="W16" s="776" t="s">
        <v>338</v>
      </c>
      <c r="X16" s="740">
        <v>89</v>
      </c>
      <c r="AB16" s="828">
        <f t="shared" si="4"/>
        <v>61</v>
      </c>
      <c r="AC16" s="829">
        <f t="shared" si="3"/>
        <v>0</v>
      </c>
    </row>
    <row r="17" spans="2:29" ht="21" customHeight="1" thickBot="1" x14ac:dyDescent="0.3">
      <c r="B17" s="16">
        <f t="shared" si="5"/>
        <v>6</v>
      </c>
      <c r="C17" s="106" t="s">
        <v>114</v>
      </c>
      <c r="D17" s="107" t="s">
        <v>115</v>
      </c>
      <c r="E17" s="599" t="str">
        <f t="shared" si="0"/>
        <v>MagnusLandstad</v>
      </c>
      <c r="F17" s="192">
        <f>YEAR(I$5)-_xlfn.XLOOKUP(E17,Deltakerliste!E$5:E$98,Deltakerliste!I$5:I$98)</f>
        <v>82</v>
      </c>
      <c r="G17" s="192">
        <f>_xlfn.XLOOKUP(E17,Deltakerliste!E$5:E$98,Deltakerliste!H$5:H$98)</f>
        <v>2</v>
      </c>
      <c r="H17" s="592">
        <f>VLOOKUP(F17,Deltakerliste!P$6:T$84,G17,FALSE)</f>
        <v>2.0030000000000001</v>
      </c>
      <c r="I17" s="86"/>
      <c r="J17" s="86">
        <v>3.3252314814814818E-2</v>
      </c>
      <c r="K17" s="13"/>
      <c r="L17" s="600">
        <f t="shared" si="1"/>
        <v>1.1084104938271605E-2</v>
      </c>
      <c r="M17" s="594">
        <f>IF(L17="Løype",Poengsammendrag!$F$2,IF(L17="Arr",Poengsammendrag!$F$3,IF(L17="Brutt",50,IF(L17="Disk",50,ROUND(MAXA(100*(MIN(L$10:L$84)/L17),50),0)))))</f>
        <v>63</v>
      </c>
      <c r="N17" s="724">
        <f t="shared" si="2"/>
        <v>5.5337518413737415E-3</v>
      </c>
      <c r="O17" s="596">
        <f>IF(N17="Løype",Poengsammendrag!$F$2,IF(N17="Arr",Poengsammendrag!$F$3,IF(N17="Brutt",50,IF(N17="Disk",50,ROUND(MAXA(100*(MIN(N$10:N$84)/N17),50),0)))))</f>
        <v>85</v>
      </c>
      <c r="Q17" s="672"/>
      <c r="R17" s="672"/>
      <c r="S17" s="803" t="s">
        <v>345</v>
      </c>
      <c r="T17" s="736">
        <v>8.8040123456790114E-3</v>
      </c>
      <c r="U17" s="752">
        <v>79</v>
      </c>
      <c r="V17" s="781"/>
      <c r="W17" s="776" t="s">
        <v>114</v>
      </c>
      <c r="X17" s="740">
        <v>85</v>
      </c>
      <c r="AB17" s="828">
        <f t="shared" si="4"/>
        <v>62</v>
      </c>
      <c r="AC17" s="829">
        <f t="shared" si="3"/>
        <v>0</v>
      </c>
    </row>
    <row r="18" spans="2:29" ht="21" customHeight="1" thickBot="1" x14ac:dyDescent="0.3">
      <c r="B18" s="16">
        <f t="shared" si="5"/>
        <v>7</v>
      </c>
      <c r="C18" s="106" t="s">
        <v>136</v>
      </c>
      <c r="D18" s="107" t="s">
        <v>137</v>
      </c>
      <c r="E18" s="599" t="str">
        <f t="shared" si="0"/>
        <v>HaraldOftedal</v>
      </c>
      <c r="F18" s="192">
        <f>YEAR(I$5)-_xlfn.XLOOKUP(E18,Deltakerliste!E$5:E$98,Deltakerliste!I$5:I$98)</f>
        <v>73</v>
      </c>
      <c r="G18" s="192">
        <f>_xlfn.XLOOKUP(E18,Deltakerliste!E$5:E$98,Deltakerliste!H$5:H$98)</f>
        <v>2</v>
      </c>
      <c r="H18" s="592">
        <f>VLOOKUP(F18,Deltakerliste!P$6:T$84,G18,FALSE)</f>
        <v>1.5329999999999999</v>
      </c>
      <c r="I18" s="134"/>
      <c r="J18" s="132">
        <v>2.5520833333333333E-2</v>
      </c>
      <c r="K18" s="134"/>
      <c r="L18" s="600">
        <f t="shared" si="1"/>
        <v>8.5069444444444437E-3</v>
      </c>
      <c r="M18" s="594">
        <f>IF(L18="Løype",Poengsammendrag!$F$2,IF(L18="Arr",Poengsammendrag!$F$3,IF(L18="Brutt",50,IF(L18="Disk",50,ROUND(MAXA(100*(MIN(L$10:L$84)/L18),50),0)))))</f>
        <v>82</v>
      </c>
      <c r="N18" s="724">
        <f t="shared" si="2"/>
        <v>5.5492135971588023E-3</v>
      </c>
      <c r="O18" s="596">
        <f>IF(N18="Løype",Poengsammendrag!$F$2,IF(N18="Arr",Poengsammendrag!$F$3,IF(N18="Brutt",50,IF(N18="Disk",50,ROUND(MAXA(100*(MIN(N$10:N$84)/N18),50),0)))))</f>
        <v>85</v>
      </c>
      <c r="Q18" s="672"/>
      <c r="R18" s="672"/>
      <c r="S18" s="803" t="s">
        <v>163</v>
      </c>
      <c r="T18" s="736">
        <v>9.1898148148148156E-3</v>
      </c>
      <c r="U18" s="752">
        <v>76</v>
      </c>
      <c r="V18" s="781"/>
      <c r="W18" s="776" t="s">
        <v>136</v>
      </c>
      <c r="X18" s="740">
        <v>85</v>
      </c>
      <c r="AB18" s="828">
        <f t="shared" si="4"/>
        <v>63</v>
      </c>
      <c r="AC18" s="829">
        <f t="shared" si="3"/>
        <v>0</v>
      </c>
    </row>
    <row r="19" spans="2:29" ht="21" thickBot="1" x14ac:dyDescent="0.3">
      <c r="B19" s="16">
        <f t="shared" si="5"/>
        <v>8</v>
      </c>
      <c r="C19" s="106" t="s">
        <v>106</v>
      </c>
      <c r="D19" s="107" t="s">
        <v>107</v>
      </c>
      <c r="E19" s="599" t="str">
        <f t="shared" si="0"/>
        <v>Jon ArneKlemetsaune</v>
      </c>
      <c r="F19" s="192">
        <f>YEAR(I$5)-_xlfn.XLOOKUP(E19,Deltakerliste!E$5:E$98,Deltakerliste!I$5:I$98)</f>
        <v>76</v>
      </c>
      <c r="G19" s="192">
        <f>_xlfn.XLOOKUP(E19,Deltakerliste!E$5:E$98,Deltakerliste!H$5:H$98)</f>
        <v>2</v>
      </c>
      <c r="H19" s="592">
        <f>VLOOKUP(F19,Deltakerliste!P$6:T$84,G19,FALSE)</f>
        <v>1.655</v>
      </c>
      <c r="I19" s="86"/>
      <c r="J19" s="86">
        <v>2.763888888888889E-2</v>
      </c>
      <c r="K19" s="17"/>
      <c r="L19" s="600">
        <f t="shared" si="1"/>
        <v>9.2129629629629627E-3</v>
      </c>
      <c r="M19" s="594">
        <f>IF(L19="Løype",Poengsammendrag!$F$2,IF(L19="Arr",Poengsammendrag!$F$3,IF(L19="Brutt",50,IF(L19="Disk",50,ROUND(MAXA(100*(MIN(L$10:L$84)/L19),50),0)))))</f>
        <v>75</v>
      </c>
      <c r="N19" s="724">
        <f t="shared" si="2"/>
        <v>5.5667449927268653E-3</v>
      </c>
      <c r="O19" s="596">
        <f>IF(N19="Løype",Poengsammendrag!$F$2,IF(N19="Arr",Poengsammendrag!$F$3,IF(N19="Brutt",50,IF(N19="Disk",50,ROUND(MAXA(100*(MIN(N$10:N$84)/N19),50),0)))))</f>
        <v>85</v>
      </c>
      <c r="Q19" s="672"/>
      <c r="R19" s="672"/>
      <c r="S19" s="803" t="s">
        <v>106</v>
      </c>
      <c r="T19" s="736">
        <v>9.2129629629629627E-3</v>
      </c>
      <c r="U19" s="752">
        <v>75</v>
      </c>
      <c r="V19" s="781"/>
      <c r="W19" s="776" t="s">
        <v>106</v>
      </c>
      <c r="X19" s="740">
        <v>85</v>
      </c>
      <c r="AB19" s="828">
        <f t="shared" si="4"/>
        <v>64</v>
      </c>
      <c r="AC19" s="829">
        <f t="shared" si="3"/>
        <v>0</v>
      </c>
    </row>
    <row r="20" spans="2:29" ht="21" thickBot="1" x14ac:dyDescent="0.3">
      <c r="B20" s="16">
        <f t="shared" si="5"/>
        <v>9</v>
      </c>
      <c r="C20" s="106" t="s">
        <v>138</v>
      </c>
      <c r="D20" s="107" t="s">
        <v>137</v>
      </c>
      <c r="E20" s="599" t="str">
        <f t="shared" si="0"/>
        <v>GunnhildOftedal</v>
      </c>
      <c r="F20" s="192">
        <f>YEAR(I$5)-_xlfn.XLOOKUP(E20,Deltakerliste!E$5:E$98,Deltakerliste!I$5:I$98)</f>
        <v>72</v>
      </c>
      <c r="G20" s="192">
        <f>_xlfn.XLOOKUP(E20,Deltakerliste!E$5:E$98,Deltakerliste!H$5:H$98)</f>
        <v>4</v>
      </c>
      <c r="H20" s="592">
        <f>VLOOKUP(F20,Deltakerliste!P$6:T$84,G20,FALSE)</f>
        <v>2.0362000000000013</v>
      </c>
      <c r="I20" s="13"/>
      <c r="J20" s="13">
        <v>3.4016203703703701E-2</v>
      </c>
      <c r="K20" s="13"/>
      <c r="L20" s="600">
        <f t="shared" si="1"/>
        <v>1.1338734567901234E-2</v>
      </c>
      <c r="M20" s="594">
        <f>IF(L20="Løype",Poengsammendrag!$F$2,IF(L20="Arr",Poengsammendrag!$F$3,IF(L20="Brutt",50,IF(L20="Disk",50,ROUND(MAXA(100*(MIN(L$10:L$84)/L20),50),0)))))</f>
        <v>61</v>
      </c>
      <c r="N20" s="724">
        <f t="shared" si="2"/>
        <v>5.568576057313244E-3</v>
      </c>
      <c r="O20" s="596">
        <f>IF(N20="Løype",Poengsammendrag!$F$2,IF(N20="Arr",Poengsammendrag!$F$3,IF(N20="Brutt",50,IF(N20="Disk",50,ROUND(MAXA(100*(MIN(N$10:N$84)/N20),50),0)))))</f>
        <v>85</v>
      </c>
      <c r="Q20" s="672"/>
      <c r="R20" s="672"/>
      <c r="S20" s="803" t="s">
        <v>88</v>
      </c>
      <c r="T20" s="736">
        <v>9.2245370370370363E-3</v>
      </c>
      <c r="U20" s="752">
        <v>75</v>
      </c>
      <c r="V20" s="781"/>
      <c r="W20" s="776" t="s">
        <v>138</v>
      </c>
      <c r="X20" s="740">
        <v>85</v>
      </c>
      <c r="AB20" s="828">
        <f t="shared" si="4"/>
        <v>65</v>
      </c>
      <c r="AC20" s="829">
        <f t="shared" si="3"/>
        <v>1</v>
      </c>
    </row>
    <row r="21" spans="2:29" ht="21" customHeight="1" thickBot="1" x14ac:dyDescent="0.3">
      <c r="B21" s="16">
        <f t="shared" si="5"/>
        <v>10</v>
      </c>
      <c r="C21" s="106" t="s">
        <v>149</v>
      </c>
      <c r="D21" s="107" t="s">
        <v>150</v>
      </c>
      <c r="E21" s="599" t="str">
        <f t="shared" si="0"/>
        <v>BenteSkorge</v>
      </c>
      <c r="F21" s="192">
        <f>YEAR(I$5)-_xlfn.XLOOKUP(E21,Deltakerliste!E$5:E$98,Deltakerliste!I$5:I$98)</f>
        <v>66</v>
      </c>
      <c r="G21" s="192">
        <f>_xlfn.XLOOKUP(E21,Deltakerliste!E$5:E$98,Deltakerliste!H$5:H$98)</f>
        <v>4</v>
      </c>
      <c r="H21" s="592">
        <f>VLOOKUP(F21,Deltakerliste!P$6:T$84,G21,FALSE)</f>
        <v>1.8066000000000009</v>
      </c>
      <c r="I21" s="18"/>
      <c r="J21" s="132">
        <v>3.1215277777777779E-2</v>
      </c>
      <c r="K21" s="18"/>
      <c r="L21" s="600">
        <f t="shared" si="1"/>
        <v>1.0405092592592593E-2</v>
      </c>
      <c r="M21" s="594">
        <f>IF(L21="Løype",Poengsammendrag!$F$2,IF(L21="Arr",Poengsammendrag!$F$3,IF(L21="Brutt",50,IF(L21="Disk",50,ROUND(MAXA(100*(MIN(L$10:L$84)/L21),50),0)))))</f>
        <v>67</v>
      </c>
      <c r="N21" s="724">
        <f t="shared" si="2"/>
        <v>5.7594888700280011E-3</v>
      </c>
      <c r="O21" s="596">
        <f>IF(N21="Løype",Poengsammendrag!$F$2,IF(N21="Arr",Poengsammendrag!$F$3,IF(N21="Brutt",50,IF(N21="Disk",50,ROUND(MAXA(100*(MIN(N$10:N$84)/N21),50),0)))))</f>
        <v>82</v>
      </c>
      <c r="Q21" s="672"/>
      <c r="R21" s="672"/>
      <c r="S21" s="803" t="s">
        <v>346</v>
      </c>
      <c r="T21" s="736">
        <v>9.5756172839506163E-3</v>
      </c>
      <c r="U21" s="752">
        <v>73</v>
      </c>
      <c r="V21" s="781"/>
      <c r="W21" s="776" t="s">
        <v>149</v>
      </c>
      <c r="X21" s="740">
        <v>82</v>
      </c>
      <c r="AB21" s="828">
        <f t="shared" si="4"/>
        <v>66</v>
      </c>
      <c r="AC21" s="829">
        <f t="shared" si="3"/>
        <v>3</v>
      </c>
    </row>
    <row r="22" spans="2:29" ht="21" customHeight="1" thickBot="1" x14ac:dyDescent="0.3">
      <c r="B22" s="16">
        <f t="shared" si="5"/>
        <v>11</v>
      </c>
      <c r="C22" s="106" t="s">
        <v>134</v>
      </c>
      <c r="D22" s="107" t="s">
        <v>135</v>
      </c>
      <c r="E22" s="599" t="str">
        <f t="shared" si="0"/>
        <v>IngeNørstebø</v>
      </c>
      <c r="F22" s="192">
        <f>YEAR(I$5)-_xlfn.XLOOKUP(E22,Deltakerliste!E$5:E$98,Deltakerliste!I$5:I$98)</f>
        <v>69</v>
      </c>
      <c r="G22" s="192">
        <f>_xlfn.XLOOKUP(E22,Deltakerliste!E$5:E$98,Deltakerliste!H$5:H$98)</f>
        <v>2</v>
      </c>
      <c r="H22" s="592">
        <f>VLOOKUP(F22,Deltakerliste!P$6:T$84,G22,FALSE)</f>
        <v>1.3989999999999998</v>
      </c>
      <c r="I22" s="13"/>
      <c r="J22" s="13">
        <v>2.4421296296296295E-2</v>
      </c>
      <c r="K22" s="13"/>
      <c r="L22" s="600">
        <f t="shared" si="1"/>
        <v>8.1404320987654311E-3</v>
      </c>
      <c r="M22" s="594">
        <f>IF(L22="Løype",Poengsammendrag!$F$2,IF(L22="Arr",Poengsammendrag!$F$3,IF(L22="Brutt",50,IF(L22="Disk",50,ROUND(MAXA(100*(MIN(L$10:L$84)/L22),50),0)))))</f>
        <v>85</v>
      </c>
      <c r="N22" s="724">
        <f t="shared" si="2"/>
        <v>5.8187506066943763E-3</v>
      </c>
      <c r="O22" s="596">
        <f>IF(N22="Løype",Poengsammendrag!$F$2,IF(N22="Arr",Poengsammendrag!$F$3,IF(N22="Brutt",50,IF(N22="Disk",50,ROUND(MAXA(100*(MIN(N$10:N$84)/N22),50),0)))))</f>
        <v>81</v>
      </c>
      <c r="Q22" s="672"/>
      <c r="R22" s="672"/>
      <c r="S22" s="803" t="s">
        <v>168</v>
      </c>
      <c r="T22" s="736">
        <v>9.7492283950617285E-3</v>
      </c>
      <c r="U22" s="752">
        <v>71</v>
      </c>
      <c r="V22" s="781"/>
      <c r="W22" s="776" t="s">
        <v>134</v>
      </c>
      <c r="X22" s="740">
        <v>81</v>
      </c>
      <c r="AB22" s="828">
        <f t="shared" si="4"/>
        <v>67</v>
      </c>
      <c r="AC22" s="829">
        <f t="shared" si="3"/>
        <v>2</v>
      </c>
    </row>
    <row r="23" spans="2:29" ht="21" customHeight="1" thickBot="1" x14ac:dyDescent="0.3">
      <c r="B23" s="16">
        <f t="shared" si="5"/>
        <v>12</v>
      </c>
      <c r="C23" s="106" t="s">
        <v>163</v>
      </c>
      <c r="D23" s="107" t="s">
        <v>164</v>
      </c>
      <c r="E23" s="599" t="str">
        <f t="shared" si="0"/>
        <v>ArnulfVilmo</v>
      </c>
      <c r="F23" s="192">
        <f>YEAR(I$5)-_xlfn.XLOOKUP(E23,Deltakerliste!E$5:E$98,Deltakerliste!I$5:I$98)</f>
        <v>72</v>
      </c>
      <c r="G23" s="192">
        <f>_xlfn.XLOOKUP(E23,Deltakerliste!E$5:E$98,Deltakerliste!H$5:H$98)</f>
        <v>2</v>
      </c>
      <c r="H23" s="592">
        <f>VLOOKUP(F23,Deltakerliste!P$6:T$84,G23,FALSE)</f>
        <v>1.4969999999999999</v>
      </c>
      <c r="I23" s="18"/>
      <c r="J23" s="132">
        <v>2.7569444444444445E-2</v>
      </c>
      <c r="K23" s="18"/>
      <c r="L23" s="600">
        <f t="shared" si="1"/>
        <v>9.1898148148148156E-3</v>
      </c>
      <c r="M23" s="594">
        <f>IF(L23="Løype",Poengsammendrag!$F$2,IF(L23="Arr",Poengsammendrag!$F$3,IF(L23="Brutt",50,IF(L23="Disk",50,ROUND(MAXA(100*(MIN(L$10:L$84)/L23),50),0)))))</f>
        <v>76</v>
      </c>
      <c r="N23" s="724">
        <f t="shared" si="2"/>
        <v>6.138820851579704E-3</v>
      </c>
      <c r="O23" s="596">
        <f>IF(N23="Løype",Poengsammendrag!$F$2,IF(N23="Arr",Poengsammendrag!$F$3,IF(N23="Brutt",50,IF(N23="Disk",50,ROUND(MAXA(100*(MIN(N$10:N$84)/N23),50),0)))))</f>
        <v>77</v>
      </c>
      <c r="Q23" s="672"/>
      <c r="R23" s="672"/>
      <c r="S23" s="803" t="s">
        <v>149</v>
      </c>
      <c r="T23" s="736">
        <v>1.0405092592592593E-2</v>
      </c>
      <c r="U23" s="752">
        <v>67</v>
      </c>
      <c r="V23" s="781"/>
      <c r="W23" s="776" t="s">
        <v>163</v>
      </c>
      <c r="X23" s="740">
        <v>77</v>
      </c>
      <c r="AB23" s="828">
        <f t="shared" si="4"/>
        <v>68</v>
      </c>
      <c r="AC23" s="829">
        <f t="shared" si="3"/>
        <v>0</v>
      </c>
    </row>
    <row r="24" spans="2:29" ht="21" thickBot="1" x14ac:dyDescent="0.3">
      <c r="B24" s="16">
        <f t="shared" si="5"/>
        <v>13</v>
      </c>
      <c r="C24" s="106" t="s">
        <v>168</v>
      </c>
      <c r="D24" s="107" t="s">
        <v>169</v>
      </c>
      <c r="E24" s="599" t="str">
        <f t="shared" si="0"/>
        <v>SteinØvstedal</v>
      </c>
      <c r="F24" s="192">
        <f>YEAR(I$5)-_xlfn.XLOOKUP(E24,Deltakerliste!E$5:E$98,Deltakerliste!I$5:I$98)</f>
        <v>74</v>
      </c>
      <c r="G24" s="192">
        <f>_xlfn.XLOOKUP(E24,Deltakerliste!E$5:E$98,Deltakerliste!H$5:H$98)</f>
        <v>2</v>
      </c>
      <c r="H24" s="592">
        <f>VLOOKUP(F24,Deltakerliste!P$6:T$84,G24,FALSE)</f>
        <v>1.569</v>
      </c>
      <c r="I24" s="132"/>
      <c r="J24" s="132">
        <v>2.9247685185185186E-2</v>
      </c>
      <c r="K24" s="18"/>
      <c r="L24" s="600">
        <f t="shared" si="1"/>
        <v>9.7492283950617285E-3</v>
      </c>
      <c r="M24" s="594">
        <f>IF(L24="Løype",Poengsammendrag!$F$2,IF(L24="Arr",Poengsammendrag!$F$3,IF(L24="Brutt",50,IF(L24="Disk",50,ROUND(MAXA(100*(MIN(L$10:L$84)/L24),50),0)))))</f>
        <v>71</v>
      </c>
      <c r="N24" s="724">
        <f t="shared" si="2"/>
        <v>6.2136573582292727E-3</v>
      </c>
      <c r="O24" s="596">
        <f>IF(N24="Løype",Poengsammendrag!$F$2,IF(N24="Arr",Poengsammendrag!$F$3,IF(N24="Brutt",50,IF(N24="Disk",50,ROUND(MAXA(100*(MIN(N$10:N$84)/N24),50),0)))))</f>
        <v>76</v>
      </c>
      <c r="Q24" s="672"/>
      <c r="R24" s="672"/>
      <c r="S24" s="803" t="s">
        <v>76</v>
      </c>
      <c r="T24" s="736">
        <v>1.0833333333333334E-2</v>
      </c>
      <c r="U24" s="752">
        <v>64</v>
      </c>
      <c r="V24" s="781"/>
      <c r="W24" s="776" t="s">
        <v>168</v>
      </c>
      <c r="X24" s="740">
        <v>76</v>
      </c>
      <c r="AB24" s="828">
        <f t="shared" si="4"/>
        <v>69</v>
      </c>
      <c r="AC24" s="829">
        <f t="shared" si="3"/>
        <v>1</v>
      </c>
    </row>
    <row r="25" spans="2:29" ht="21" thickBot="1" x14ac:dyDescent="0.3">
      <c r="B25" s="16">
        <f t="shared" si="5"/>
        <v>14</v>
      </c>
      <c r="C25" s="106" t="s">
        <v>122</v>
      </c>
      <c r="D25" s="107" t="s">
        <v>123</v>
      </c>
      <c r="E25" s="599" t="str">
        <f t="shared" si="0"/>
        <v>MartinMelhuus</v>
      </c>
      <c r="F25" s="192">
        <f>YEAR(I$5)-_xlfn.XLOOKUP(E25,Deltakerliste!E$5:E$98,Deltakerliste!I$5:I$98)</f>
        <v>81</v>
      </c>
      <c r="G25" s="192">
        <f>_xlfn.XLOOKUP(E25,Deltakerliste!E$5:E$98,Deltakerliste!H$5:H$98)</f>
        <v>2</v>
      </c>
      <c r="H25" s="592">
        <f>VLOOKUP(F25,Deltakerliste!P$6:T$84,G25,FALSE)</f>
        <v>1.9290000000000003</v>
      </c>
      <c r="I25" s="13">
        <v>2.8518518518518519E-2</v>
      </c>
      <c r="J25" s="13"/>
      <c r="K25" s="13"/>
      <c r="L25" s="600">
        <f t="shared" si="1"/>
        <v>1.2399355877616749E-2</v>
      </c>
      <c r="M25" s="594">
        <f>IF(L25="Løype",Poengsammendrag!$F$2,IF(L25="Arr",Poengsammendrag!$F$3,IF(L25="Brutt",50,IF(L25="Disk",50,ROUND(MAXA(100*(MIN(L$10:L$84)/L25),50),0)))))</f>
        <v>56</v>
      </c>
      <c r="N25" s="724">
        <f t="shared" si="2"/>
        <v>6.427867225306764E-3</v>
      </c>
      <c r="O25" s="596">
        <f>IF(N25="Løype",Poengsammendrag!$F$2,IF(N25="Arr",Poengsammendrag!$F$3,IF(N25="Brutt",50,IF(N25="Disk",50,ROUND(MAXA(100*(MIN(N$10:N$84)/N25),50),0)))))</f>
        <v>73</v>
      </c>
      <c r="Q25" s="672"/>
      <c r="R25" s="672"/>
      <c r="S25" s="803" t="s">
        <v>114</v>
      </c>
      <c r="T25" s="736">
        <v>1.1084104938271605E-2</v>
      </c>
      <c r="U25" s="752">
        <v>63</v>
      </c>
      <c r="V25" s="781"/>
      <c r="W25" s="776" t="s">
        <v>122</v>
      </c>
      <c r="X25" s="740">
        <v>73</v>
      </c>
      <c r="AB25" s="828">
        <f t="shared" si="4"/>
        <v>70</v>
      </c>
      <c r="AC25" s="829">
        <f t="shared" si="3"/>
        <v>1</v>
      </c>
    </row>
    <row r="26" spans="2:29" ht="21" customHeight="1" thickBot="1" x14ac:dyDescent="0.3">
      <c r="B26" s="16">
        <f t="shared" si="5"/>
        <v>15</v>
      </c>
      <c r="C26" s="106" t="s">
        <v>159</v>
      </c>
      <c r="D26" s="107" t="s">
        <v>160</v>
      </c>
      <c r="E26" s="599" t="str">
        <f t="shared" si="0"/>
        <v>EigilSørli</v>
      </c>
      <c r="F26" s="192">
        <f>YEAR(I$5)-_xlfn.XLOOKUP(E26,Deltakerliste!E$5:E$98,Deltakerliste!I$5:I$98)</f>
        <v>85</v>
      </c>
      <c r="G26" s="192">
        <f>_xlfn.XLOOKUP(E26,Deltakerliste!E$5:E$98,Deltakerliste!H$5:H$98)</f>
        <v>2</v>
      </c>
      <c r="H26" s="592">
        <f>VLOOKUP(F26,Deltakerliste!P$6:T$84,G26,FALSE)</f>
        <v>2.2249999999999996</v>
      </c>
      <c r="I26" s="132">
        <v>3.3090277777777781E-2</v>
      </c>
      <c r="J26" s="18"/>
      <c r="K26" s="18"/>
      <c r="L26" s="600">
        <f t="shared" si="1"/>
        <v>1.4387077294685992E-2</v>
      </c>
      <c r="M26" s="594">
        <f>IF(L26="Løype",Poengsammendrag!$F$2,IF(L26="Arr",Poengsammendrag!$F$3,IF(L26="Brutt",50,IF(L26="Disk",50,ROUND(MAXA(100*(MIN(L$10:L$84)/L26),50),0)))))</f>
        <v>50</v>
      </c>
      <c r="N26" s="724">
        <f t="shared" si="2"/>
        <v>6.4661021549150535E-3</v>
      </c>
      <c r="O26" s="596">
        <f>IF(N26="Løype",Poengsammendrag!$F$2,IF(N26="Arr",Poengsammendrag!$F$3,IF(N26="Brutt",50,IF(N26="Disk",50,ROUND(MAXA(100*(MIN(N$10:N$84)/N26),50),0)))))</f>
        <v>73</v>
      </c>
      <c r="Q26" s="672"/>
      <c r="R26" s="672"/>
      <c r="S26" s="803" t="s">
        <v>138</v>
      </c>
      <c r="T26" s="736">
        <v>1.1338734567901234E-2</v>
      </c>
      <c r="U26" s="752">
        <v>61</v>
      </c>
      <c r="V26" s="781"/>
      <c r="W26" s="776" t="s">
        <v>357</v>
      </c>
      <c r="X26" s="740">
        <v>73</v>
      </c>
      <c r="AB26" s="828">
        <f t="shared" si="4"/>
        <v>71</v>
      </c>
      <c r="AC26" s="829">
        <f t="shared" si="3"/>
        <v>2</v>
      </c>
    </row>
    <row r="27" spans="2:29" ht="21" thickBot="1" x14ac:dyDescent="0.3">
      <c r="B27" s="16">
        <f t="shared" si="5"/>
        <v>16</v>
      </c>
      <c r="C27" s="106" t="s">
        <v>116</v>
      </c>
      <c r="D27" s="107" t="s">
        <v>117</v>
      </c>
      <c r="E27" s="599" t="str">
        <f t="shared" si="0"/>
        <v>AndersLauglo</v>
      </c>
      <c r="F27" s="192">
        <f>YEAR(I$5)-_xlfn.XLOOKUP(E27,Deltakerliste!E$5:E$98,Deltakerliste!I$5:I$98)</f>
        <v>86</v>
      </c>
      <c r="G27" s="192">
        <f>_xlfn.XLOOKUP(E27,Deltakerliste!E$5:E$98,Deltakerliste!H$5:H$98)</f>
        <v>2</v>
      </c>
      <c r="H27" s="592">
        <f>VLOOKUP(F27,Deltakerliste!P$6:T$84,G27,FALSE)</f>
        <v>2.3089999999999997</v>
      </c>
      <c r="I27" s="13">
        <v>3.471064814814815E-2</v>
      </c>
      <c r="J27" s="13"/>
      <c r="K27" s="86"/>
      <c r="L27" s="600">
        <f t="shared" si="1"/>
        <v>1.5091586151368762E-2</v>
      </c>
      <c r="M27" s="594">
        <f>IF(L27="Løype",Poengsammendrag!$F$2,IF(L27="Arr",Poengsammendrag!$F$3,IF(L27="Brutt",50,IF(L27="Disk",50,ROUND(MAXA(100*(MIN(L$10:L$84)/L27),50),0)))))</f>
        <v>50</v>
      </c>
      <c r="N27" s="724">
        <f t="shared" si="2"/>
        <v>6.5359836082151427E-3</v>
      </c>
      <c r="O27" s="596">
        <f>IF(N27="Løype",Poengsammendrag!$F$2,IF(N27="Arr",Poengsammendrag!$F$3,IF(N27="Brutt",50,IF(N27="Disk",50,ROUND(MAXA(100*(MIN(N$10:N$84)/N27),50),0)))))</f>
        <v>72</v>
      </c>
      <c r="Q27" s="672"/>
      <c r="R27" s="672"/>
      <c r="S27" s="803" t="s">
        <v>338</v>
      </c>
      <c r="T27" s="736">
        <v>1.1362721417069245E-2</v>
      </c>
      <c r="U27" s="752">
        <v>61</v>
      </c>
      <c r="V27" s="781"/>
      <c r="W27" s="776" t="s">
        <v>315</v>
      </c>
      <c r="X27" s="740">
        <v>72</v>
      </c>
      <c r="AB27" s="828">
        <f t="shared" si="4"/>
        <v>72</v>
      </c>
      <c r="AC27" s="829">
        <f t="shared" si="3"/>
        <v>5</v>
      </c>
    </row>
    <row r="28" spans="2:29" ht="21" customHeight="1" thickBot="1" x14ac:dyDescent="0.3">
      <c r="B28" s="16">
        <f t="shared" si="5"/>
        <v>17</v>
      </c>
      <c r="C28" s="106" t="s">
        <v>96</v>
      </c>
      <c r="D28" s="107" t="s">
        <v>97</v>
      </c>
      <c r="E28" s="599" t="str">
        <f t="shared" si="0"/>
        <v>StigHaugskott</v>
      </c>
      <c r="F28" s="192">
        <f>YEAR(I$5)-_xlfn.XLOOKUP(E28,Deltakerliste!E$5:E$98,Deltakerliste!I$5:I$98)</f>
        <v>86</v>
      </c>
      <c r="G28" s="192">
        <f>_xlfn.XLOOKUP(E28,Deltakerliste!E$5:E$98,Deltakerliste!H$5:H$98)</f>
        <v>2</v>
      </c>
      <c r="H28" s="592">
        <f>VLOOKUP(F28,Deltakerliste!P$6:T$84,G28,FALSE)</f>
        <v>2.3089999999999997</v>
      </c>
      <c r="I28" s="86">
        <v>3.4722222222222224E-2</v>
      </c>
      <c r="J28" s="86"/>
      <c r="K28" s="86"/>
      <c r="L28" s="600">
        <f t="shared" si="1"/>
        <v>1.5096618357487924E-2</v>
      </c>
      <c r="M28" s="594">
        <f>IF(L28="Løype",Poengsammendrag!$F$2,IF(L28="Arr",Poengsammendrag!$F$3,IF(L28="Brutt",50,IF(L28="Disk",50,ROUND(MAXA(100*(MIN(L$10:L$84)/L28),50),0)))))</f>
        <v>50</v>
      </c>
      <c r="N28" s="724">
        <f t="shared" si="2"/>
        <v>6.5381629958804355E-3</v>
      </c>
      <c r="O28" s="596">
        <f>IF(N28="Løype",Poengsammendrag!$F$2,IF(N28="Arr",Poengsammendrag!$F$3,IF(N28="Brutt",50,IF(N28="Disk",50,ROUND(MAXA(100*(MIN(N$10:N$84)/N28),50),0)))))</f>
        <v>72</v>
      </c>
      <c r="Q28" s="672"/>
      <c r="R28" s="672"/>
      <c r="S28" s="803" t="s">
        <v>147</v>
      </c>
      <c r="T28" s="736">
        <v>1.1712962962962961E-2</v>
      </c>
      <c r="U28" s="752">
        <v>59</v>
      </c>
      <c r="V28" s="781"/>
      <c r="W28" s="776" t="s">
        <v>96</v>
      </c>
      <c r="X28" s="740">
        <v>72</v>
      </c>
      <c r="AB28" s="828">
        <f t="shared" si="4"/>
        <v>73</v>
      </c>
      <c r="AC28" s="829">
        <f t="shared" si="3"/>
        <v>1</v>
      </c>
    </row>
    <row r="29" spans="2:29" ht="21" thickBot="1" x14ac:dyDescent="0.3">
      <c r="B29" s="16">
        <f t="shared" si="5"/>
        <v>18</v>
      </c>
      <c r="C29" s="106" t="s">
        <v>265</v>
      </c>
      <c r="D29" s="107" t="s">
        <v>344</v>
      </c>
      <c r="E29" s="599" t="str">
        <f t="shared" si="0"/>
        <v>ØysteinNytrø</v>
      </c>
      <c r="F29" s="192">
        <f>YEAR(I$5)-_xlfn.XLOOKUP(E29,Deltakerliste!E$5:E$98,Deltakerliste!I$5:I$98)</f>
        <v>65</v>
      </c>
      <c r="G29" s="192">
        <f>_xlfn.XLOOKUP(E29,Deltakerliste!E$5:E$98,Deltakerliste!H$5:H$98)</f>
        <v>2</v>
      </c>
      <c r="H29" s="592">
        <f>VLOOKUP(F29,Deltakerliste!P$6:T$84,G29,FALSE)</f>
        <v>1.2949999999999997</v>
      </c>
      <c r="I29" s="18"/>
      <c r="J29" s="132">
        <v>2.6412037037037036E-2</v>
      </c>
      <c r="K29" s="18"/>
      <c r="L29" s="600">
        <f t="shared" si="1"/>
        <v>8.8040123456790114E-3</v>
      </c>
      <c r="M29" s="594">
        <f>IF(L29="Løype",Poengsammendrag!$F$2,IF(L29="Arr",Poengsammendrag!$F$3,IF(L29="Brutt",50,IF(L29="Disk",50,ROUND(MAXA(100*(MIN(L$10:L$84)/L29),50),0)))))</f>
        <v>79</v>
      </c>
      <c r="N29" s="724">
        <f t="shared" si="2"/>
        <v>6.7984651317984663E-3</v>
      </c>
      <c r="O29" s="596">
        <f>IF(N29="Løype",Poengsammendrag!$F$2,IF(N29="Arr",Poengsammendrag!$F$3,IF(N29="Brutt",50,IF(N29="Disk",50,ROUND(MAXA(100*(MIN(N$10:N$84)/N29),50),0)))))</f>
        <v>69</v>
      </c>
      <c r="Q29" s="672"/>
      <c r="R29" s="672"/>
      <c r="S29" s="803" t="s">
        <v>122</v>
      </c>
      <c r="T29" s="736">
        <v>1.2399355877616749E-2</v>
      </c>
      <c r="U29" s="752">
        <v>56</v>
      </c>
      <c r="V29" s="781"/>
      <c r="W29" s="776" t="s">
        <v>345</v>
      </c>
      <c r="X29" s="740">
        <v>69</v>
      </c>
      <c r="AB29" s="828">
        <f t="shared" si="4"/>
        <v>74</v>
      </c>
      <c r="AC29" s="829">
        <f t="shared" si="3"/>
        <v>6</v>
      </c>
    </row>
    <row r="30" spans="2:29" ht="21" thickBot="1" x14ac:dyDescent="0.3">
      <c r="B30" s="16">
        <f t="shared" si="5"/>
        <v>19</v>
      </c>
      <c r="C30" s="106" t="s">
        <v>170</v>
      </c>
      <c r="D30" s="107" t="s">
        <v>171</v>
      </c>
      <c r="E30" s="599" t="str">
        <f t="shared" si="0"/>
        <v>ØisteinÅsmul</v>
      </c>
      <c r="F30" s="192">
        <f>YEAR(I$5)-_xlfn.XLOOKUP(E30,Deltakerliste!E$5:E$98,Deltakerliste!I$5:I$98)</f>
        <v>80</v>
      </c>
      <c r="G30" s="192">
        <f>_xlfn.XLOOKUP(E30,Deltakerliste!E$5:E$98,Deltakerliste!H$5:H$98)</f>
        <v>2</v>
      </c>
      <c r="H30" s="592">
        <f>VLOOKUP(F30,Deltakerliste!P$6:T$84,G30,FALSE)</f>
        <v>1.8550000000000002</v>
      </c>
      <c r="I30" s="132">
        <v>2.9189814814814814E-2</v>
      </c>
      <c r="J30" s="18"/>
      <c r="K30" s="18"/>
      <c r="L30" s="600">
        <f t="shared" si="1"/>
        <v>1.2691223832528182E-2</v>
      </c>
      <c r="M30" s="594">
        <f>IF(L30="Løype",Poengsammendrag!$F$2,IF(L30="Arr",Poengsammendrag!$F$3,IF(L30="Brutt",50,IF(L30="Disk",50,ROUND(MAXA(100*(MIN(L$10:L$84)/L30),50),0)))))</f>
        <v>55</v>
      </c>
      <c r="N30" s="724">
        <f t="shared" si="2"/>
        <v>6.8416300983979404E-3</v>
      </c>
      <c r="O30" s="596">
        <f>IF(N30="Løype",Poengsammendrag!$F$2,IF(N30="Arr",Poengsammendrag!$F$3,IF(N30="Brutt",50,IF(N30="Disk",50,ROUND(MAXA(100*(MIN(N$10:N$84)/N30),50),0)))))</f>
        <v>69</v>
      </c>
      <c r="Q30" s="672"/>
      <c r="R30" s="672"/>
      <c r="S30" s="803" t="s">
        <v>94</v>
      </c>
      <c r="T30" s="736">
        <v>1.2469806763285025E-2</v>
      </c>
      <c r="U30" s="752">
        <v>56</v>
      </c>
      <c r="V30" s="781"/>
      <c r="W30" s="776" t="s">
        <v>347</v>
      </c>
      <c r="X30" s="740">
        <v>69</v>
      </c>
      <c r="AB30" s="828">
        <f t="shared" si="4"/>
        <v>75</v>
      </c>
      <c r="AC30" s="829">
        <f t="shared" si="3"/>
        <v>1</v>
      </c>
    </row>
    <row r="31" spans="2:29" ht="21" customHeight="1" thickBot="1" x14ac:dyDescent="0.3">
      <c r="B31" s="16">
        <f t="shared" si="5"/>
        <v>20</v>
      </c>
      <c r="C31" s="106" t="s">
        <v>76</v>
      </c>
      <c r="D31" s="107" t="s">
        <v>77</v>
      </c>
      <c r="E31" s="599" t="str">
        <f t="shared" si="0"/>
        <v>ReinoldEllingsen</v>
      </c>
      <c r="F31" s="192">
        <f>YEAR(I$5)-_xlfn.XLOOKUP(E31,Deltakerliste!E$5:E$98,Deltakerliste!I$5:I$98)</f>
        <v>74</v>
      </c>
      <c r="G31" s="192">
        <f>_xlfn.XLOOKUP(E31,Deltakerliste!E$5:E$98,Deltakerliste!H$5:H$98)</f>
        <v>2</v>
      </c>
      <c r="H31" s="592">
        <f>VLOOKUP(F31,Deltakerliste!P$6:T$84,G31,FALSE)</f>
        <v>1.569</v>
      </c>
      <c r="I31" s="13"/>
      <c r="J31" s="13">
        <v>3.2500000000000001E-2</v>
      </c>
      <c r="K31" s="13"/>
      <c r="L31" s="600">
        <f t="shared" si="1"/>
        <v>1.0833333333333334E-2</v>
      </c>
      <c r="M31" s="594">
        <f>IF(L31="Løype",Poengsammendrag!$F$2,IF(L31="Arr",Poengsammendrag!$F$3,IF(L31="Brutt",50,IF(L31="Disk",50,ROUND(MAXA(100*(MIN(L$10:L$84)/L31),50),0)))))</f>
        <v>64</v>
      </c>
      <c r="N31" s="724">
        <f t="shared" si="2"/>
        <v>6.9046101550881674E-3</v>
      </c>
      <c r="O31" s="596">
        <f>IF(N31="Løype",Poengsammendrag!$F$2,IF(N31="Arr",Poengsammendrag!$F$3,IF(N31="Brutt",50,IF(N31="Disk",50,ROUND(MAXA(100*(MIN(N$10:N$84)/N31),50),0)))))</f>
        <v>68</v>
      </c>
      <c r="Q31" s="672"/>
      <c r="R31" s="672"/>
      <c r="S31" s="803" t="s">
        <v>356</v>
      </c>
      <c r="T31" s="736">
        <v>1.2484903381642513E-2</v>
      </c>
      <c r="U31" s="752">
        <v>56</v>
      </c>
      <c r="V31" s="781"/>
      <c r="W31" s="776" t="s">
        <v>76</v>
      </c>
      <c r="X31" s="740">
        <v>68</v>
      </c>
      <c r="AB31" s="828">
        <f t="shared" si="4"/>
        <v>76</v>
      </c>
      <c r="AC31" s="829">
        <f t="shared" si="3"/>
        <v>4</v>
      </c>
    </row>
    <row r="32" spans="2:29" ht="21" customHeight="1" thickBot="1" x14ac:dyDescent="0.3">
      <c r="B32" s="16">
        <f t="shared" si="5"/>
        <v>21</v>
      </c>
      <c r="C32" s="106" t="s">
        <v>142</v>
      </c>
      <c r="D32" s="107" t="s">
        <v>143</v>
      </c>
      <c r="E32" s="599" t="str">
        <f t="shared" si="0"/>
        <v>EgilRepvik</v>
      </c>
      <c r="F32" s="192">
        <f>YEAR(I$5)-_xlfn.XLOOKUP(E32,Deltakerliste!E$5:E$98,Deltakerliste!I$5:I$98)</f>
        <v>79</v>
      </c>
      <c r="G32" s="192">
        <f>_xlfn.XLOOKUP(E32,Deltakerliste!E$5:E$98,Deltakerliste!H$5:H$98)</f>
        <v>2</v>
      </c>
      <c r="H32" s="592">
        <f>VLOOKUP(F32,Deltakerliste!P$6:T$84,G32,FALSE)</f>
        <v>1.8050000000000002</v>
      </c>
      <c r="I32" s="132">
        <v>2.8715277777777777E-2</v>
      </c>
      <c r="J32" s="18"/>
      <c r="K32" s="18"/>
      <c r="L32" s="600">
        <f t="shared" si="1"/>
        <v>1.2484903381642513E-2</v>
      </c>
      <c r="M32" s="594">
        <f>IF(L32="Løype",Poengsammendrag!$F$2,IF(L32="Arr",Poengsammendrag!$F$3,IF(L32="Brutt",50,IF(L32="Disk",50,ROUND(MAXA(100*(MIN(L$10:L$84)/L32),50),0)))))</f>
        <v>56</v>
      </c>
      <c r="N32" s="724">
        <f t="shared" si="2"/>
        <v>6.916843978749314E-3</v>
      </c>
      <c r="O32" s="596">
        <f>IF(N32="Løype",Poengsammendrag!$F$2,IF(N32="Arr",Poengsammendrag!$F$3,IF(N32="Brutt",50,IF(N32="Disk",50,ROUND(MAXA(100*(MIN(N$10:N$84)/N32),50),0)))))</f>
        <v>68</v>
      </c>
      <c r="S32" s="803" t="s">
        <v>347</v>
      </c>
      <c r="T32" s="736">
        <v>1.2691223832528182E-2</v>
      </c>
      <c r="U32" s="752">
        <v>55</v>
      </c>
      <c r="V32" s="781"/>
      <c r="W32" s="776" t="s">
        <v>356</v>
      </c>
      <c r="X32" s="740">
        <v>68</v>
      </c>
      <c r="AB32" s="828">
        <f t="shared" si="4"/>
        <v>77</v>
      </c>
      <c r="AC32" s="829">
        <f t="shared" si="3"/>
        <v>3</v>
      </c>
    </row>
    <row r="33" spans="2:29" ht="21" customHeight="1" thickBot="1" x14ac:dyDescent="0.3">
      <c r="B33" s="16">
        <f t="shared" si="5"/>
        <v>22</v>
      </c>
      <c r="C33" s="106" t="s">
        <v>108</v>
      </c>
      <c r="D33" s="107" t="s">
        <v>109</v>
      </c>
      <c r="E33" s="599" t="str">
        <f t="shared" si="0"/>
        <v>Finn FayeKnudsen</v>
      </c>
      <c r="F33" s="192">
        <f>YEAR(I$5)-_xlfn.XLOOKUP(E33,Deltakerliste!E$5:E$98,Deltakerliste!I$5:I$98)</f>
        <v>83</v>
      </c>
      <c r="G33" s="192">
        <f>_xlfn.XLOOKUP(E33,Deltakerliste!E$5:E$98,Deltakerliste!H$5:H$98)</f>
        <v>2</v>
      </c>
      <c r="H33" s="592">
        <f>VLOOKUP(F33,Deltakerliste!P$6:T$84,G33,FALSE)</f>
        <v>2.077</v>
      </c>
      <c r="I33" s="86">
        <v>3.3645833333333333E-2</v>
      </c>
      <c r="J33" s="86"/>
      <c r="K33" s="13"/>
      <c r="L33" s="600">
        <f t="shared" si="1"/>
        <v>1.4628623188405798E-2</v>
      </c>
      <c r="M33" s="594">
        <f>IF(L33="Løype",Poengsammendrag!$F$2,IF(L33="Arr",Poengsammendrag!$F$3,IF(L33="Brutt",50,IF(L33="Disk",50,ROUND(MAXA(100*(MIN(L$10:L$84)/L33),50),0)))))</f>
        <v>50</v>
      </c>
      <c r="N33" s="724">
        <f t="shared" si="2"/>
        <v>7.0431503073691854E-3</v>
      </c>
      <c r="O33" s="596">
        <f>IF(N33="Løype",Poengsammendrag!$F$2,IF(N33="Arr",Poengsammendrag!$F$3,IF(N33="Brutt",50,IF(N33="Disk",50,ROUND(MAXA(100*(MIN(N$10:N$84)/N33),50),0)))))</f>
        <v>67</v>
      </c>
      <c r="S33" s="803" t="s">
        <v>72</v>
      </c>
      <c r="T33" s="736">
        <v>1.2727623456790122E-2</v>
      </c>
      <c r="U33" s="752">
        <v>55</v>
      </c>
      <c r="V33" s="781"/>
      <c r="W33" s="776" t="s">
        <v>108</v>
      </c>
      <c r="X33" s="740">
        <v>67</v>
      </c>
      <c r="AB33" s="828">
        <f t="shared" si="4"/>
        <v>78</v>
      </c>
      <c r="AC33" s="829">
        <f t="shared" si="3"/>
        <v>2</v>
      </c>
    </row>
    <row r="34" spans="2:29" ht="21" customHeight="1" thickBot="1" x14ac:dyDescent="0.3">
      <c r="B34" s="16">
        <f t="shared" si="5"/>
        <v>23</v>
      </c>
      <c r="C34" s="106" t="s">
        <v>309</v>
      </c>
      <c r="D34" s="107" t="s">
        <v>310</v>
      </c>
      <c r="E34" s="599" t="str">
        <f t="shared" si="0"/>
        <v>VigdisHeimly</v>
      </c>
      <c r="F34" s="192">
        <f>YEAR(I$5)-_xlfn.XLOOKUP(E34,Deltakerliste!E$5:E$98,Deltakerliste!I$5:I$98)</f>
        <v>66</v>
      </c>
      <c r="G34" s="192">
        <f>_xlfn.XLOOKUP(E34,Deltakerliste!E$5:E$98,Deltakerliste!H$5:H$98)</f>
        <v>4</v>
      </c>
      <c r="H34" s="592">
        <f>VLOOKUP(F34,Deltakerliste!P$6:T$84,G34,FALSE)</f>
        <v>1.8066000000000009</v>
      </c>
      <c r="I34" s="86">
        <v>2.9942129629629631E-2</v>
      </c>
      <c r="J34" s="86"/>
      <c r="K34" s="17"/>
      <c r="L34" s="600">
        <f t="shared" si="1"/>
        <v>1.3018317230273753E-2</v>
      </c>
      <c r="M34" s="594">
        <f>IF(L34="Løype",Poengsammendrag!$F$2,IF(L34="Arr",Poengsammendrag!$F$3,IF(L34="Brutt",50,IF(L34="Disk",50,ROUND(MAXA(100*(MIN(L$10:L$84)/L34),50),0)))))</f>
        <v>53</v>
      </c>
      <c r="N34" s="724">
        <f t="shared" si="2"/>
        <v>7.2059765472565849E-3</v>
      </c>
      <c r="O34" s="596">
        <f>IF(N34="Løype",Poengsammendrag!$F$2,IF(N34="Arr",Poengsammendrag!$F$3,IF(N34="Brutt",50,IF(N34="Disk",50,ROUND(MAXA(100*(MIN(N$10:N$84)/N34),50),0)))))</f>
        <v>65</v>
      </c>
      <c r="S34" s="803" t="s">
        <v>309</v>
      </c>
      <c r="T34" s="736">
        <v>1.3018317230273753E-2</v>
      </c>
      <c r="U34" s="752">
        <v>53</v>
      </c>
      <c r="V34" s="781"/>
      <c r="W34" s="776" t="s">
        <v>309</v>
      </c>
      <c r="X34" s="740">
        <v>65</v>
      </c>
      <c r="AB34" s="828">
        <f t="shared" si="4"/>
        <v>79</v>
      </c>
      <c r="AC34" s="829">
        <f t="shared" si="3"/>
        <v>1</v>
      </c>
    </row>
    <row r="35" spans="2:29" ht="21" customHeight="1" thickBot="1" x14ac:dyDescent="0.3">
      <c r="B35" s="16">
        <f t="shared" si="5"/>
        <v>24</v>
      </c>
      <c r="C35" s="106" t="s">
        <v>63</v>
      </c>
      <c r="D35" s="107" t="s">
        <v>336</v>
      </c>
      <c r="E35" s="599" t="str">
        <f t="shared" si="0"/>
        <v>ToreFornes</v>
      </c>
      <c r="F35" s="192">
        <f>YEAR(I$5)-_xlfn.XLOOKUP(E35,Deltakerliste!E$5:E$98,Deltakerliste!I$5:I$98)</f>
        <v>66</v>
      </c>
      <c r="G35" s="192">
        <f>_xlfn.XLOOKUP(E35,Deltakerliste!E$5:E$98,Deltakerliste!H$5:H$98)</f>
        <v>2</v>
      </c>
      <c r="H35" s="592">
        <f>VLOOKUP(F35,Deltakerliste!P$6:T$84,G35,FALSE)</f>
        <v>1.3209999999999997</v>
      </c>
      <c r="I35" s="86"/>
      <c r="J35" s="86">
        <v>2.8726851851851851E-2</v>
      </c>
      <c r="K35" s="13"/>
      <c r="L35" s="600">
        <f t="shared" si="1"/>
        <v>9.5756172839506163E-3</v>
      </c>
      <c r="M35" s="594">
        <f>IF(L35="Løype",Poengsammendrag!$F$2,IF(L35="Arr",Poengsammendrag!$F$3,IF(L35="Brutt",50,IF(L35="Disk",50,ROUND(MAXA(100*(MIN(L$10:L$84)/L35),50),0)))))</f>
        <v>73</v>
      </c>
      <c r="N35" s="724">
        <f t="shared" si="2"/>
        <v>7.2487640302427089E-3</v>
      </c>
      <c r="O35" s="596">
        <f>IF(N35="Løype",Poengsammendrag!$F$2,IF(N35="Arr",Poengsammendrag!$F$3,IF(N35="Brutt",50,IF(N35="Disk",50,ROUND(MAXA(100*(MIN(N$10:N$84)/N35),50),0)))))</f>
        <v>65</v>
      </c>
      <c r="S35" s="803" t="s">
        <v>251</v>
      </c>
      <c r="T35" s="736">
        <v>1.3715277777777778E-2</v>
      </c>
      <c r="U35" s="752">
        <v>51</v>
      </c>
      <c r="V35" s="781"/>
      <c r="W35" s="776" t="s">
        <v>346</v>
      </c>
      <c r="X35" s="740">
        <v>65</v>
      </c>
      <c r="AB35" s="828">
        <f t="shared" si="4"/>
        <v>80</v>
      </c>
      <c r="AC35" s="829">
        <f t="shared" si="3"/>
        <v>2</v>
      </c>
    </row>
    <row r="36" spans="2:29" ht="21" thickBot="1" x14ac:dyDescent="0.3">
      <c r="B36" s="16">
        <f t="shared" si="5"/>
        <v>25</v>
      </c>
      <c r="C36" s="106" t="s">
        <v>94</v>
      </c>
      <c r="D36" s="107" t="s">
        <v>95</v>
      </c>
      <c r="E36" s="599" t="str">
        <f t="shared" si="0"/>
        <v>TerjeHanssen</v>
      </c>
      <c r="F36" s="192">
        <f>YEAR(I$5)-_xlfn.XLOOKUP(E36,Deltakerliste!E$5:E$98,Deltakerliste!I$5:I$98)</f>
        <v>77</v>
      </c>
      <c r="G36" s="192">
        <f>_xlfn.XLOOKUP(E36,Deltakerliste!E$5:E$98,Deltakerliste!H$5:H$98)</f>
        <v>2</v>
      </c>
      <c r="H36" s="592">
        <f>VLOOKUP(F36,Deltakerliste!P$6:T$84,G36,FALSE)</f>
        <v>1.7050000000000001</v>
      </c>
      <c r="I36" s="86">
        <v>2.8680555555555556E-2</v>
      </c>
      <c r="J36" s="86"/>
      <c r="K36" s="17"/>
      <c r="L36" s="600">
        <f t="shared" si="1"/>
        <v>1.2469806763285025E-2</v>
      </c>
      <c r="M36" s="594">
        <f>IF(L36="Løype",Poengsammendrag!$F$2,IF(L36="Arr",Poengsammendrag!$F$3,IF(L36="Brutt",50,IF(L36="Disk",50,ROUND(MAXA(100*(MIN(L$10:L$84)/L36),50),0)))))</f>
        <v>56</v>
      </c>
      <c r="N36" s="724">
        <f t="shared" si="2"/>
        <v>7.3136696558856453E-3</v>
      </c>
      <c r="O36" s="596">
        <f>IF(N36="Løype",Poengsammendrag!$F$2,IF(N36="Arr",Poengsammendrag!$F$3,IF(N36="Brutt",50,IF(N36="Disk",50,ROUND(MAXA(100*(MIN(N$10:N$84)/N36),50),0)))))</f>
        <v>64</v>
      </c>
      <c r="S36" s="803" t="s">
        <v>263</v>
      </c>
      <c r="T36" s="736">
        <v>1.3742954911433172E-2</v>
      </c>
      <c r="U36" s="752">
        <v>51</v>
      </c>
      <c r="V36" s="781"/>
      <c r="W36" s="776" t="s">
        <v>94</v>
      </c>
      <c r="X36" s="740">
        <v>64</v>
      </c>
      <c r="AB36" s="828">
        <f t="shared" si="4"/>
        <v>81</v>
      </c>
      <c r="AC36" s="829">
        <f t="shared" si="3"/>
        <v>2</v>
      </c>
    </row>
    <row r="37" spans="2:29" ht="21" customHeight="1" thickBot="1" x14ac:dyDescent="0.3">
      <c r="B37" s="16">
        <f t="shared" si="5"/>
        <v>26</v>
      </c>
      <c r="C37" s="106" t="s">
        <v>147</v>
      </c>
      <c r="D37" s="107" t="s">
        <v>148</v>
      </c>
      <c r="E37" s="599" t="str">
        <f t="shared" si="0"/>
        <v>ViggoSchei</v>
      </c>
      <c r="F37" s="192">
        <f>YEAR(I$5)-_xlfn.XLOOKUP(E37,Deltakerliste!E$5:E$98,Deltakerliste!I$5:I$98)</f>
        <v>74</v>
      </c>
      <c r="G37" s="192">
        <f>_xlfn.XLOOKUP(E37,Deltakerliste!E$5:E$98,Deltakerliste!H$5:H$98)</f>
        <v>2</v>
      </c>
      <c r="H37" s="592">
        <f>VLOOKUP(F37,Deltakerliste!P$6:T$84,G37,FALSE)</f>
        <v>1.569</v>
      </c>
      <c r="I37" s="18"/>
      <c r="J37" s="132">
        <v>3.5138888888888886E-2</v>
      </c>
      <c r="K37" s="18"/>
      <c r="L37" s="600">
        <f t="shared" si="1"/>
        <v>1.1712962962962961E-2</v>
      </c>
      <c r="M37" s="594">
        <f>IF(L37="Løype",Poengsammendrag!$F$2,IF(L37="Arr",Poengsammendrag!$F$3,IF(L37="Brutt",50,IF(L37="Disk",50,ROUND(MAXA(100*(MIN(L$10:L$84)/L37),50),0)))))</f>
        <v>59</v>
      </c>
      <c r="N37" s="724">
        <f t="shared" si="2"/>
        <v>7.4652408941765216E-3</v>
      </c>
      <c r="O37" s="596">
        <f>IF(N37="Løype",Poengsammendrag!$F$2,IF(N37="Arr",Poengsammendrag!$F$3,IF(N37="Brutt",50,IF(N37="Disk",50,ROUND(MAXA(100*(MIN(N$10:N$84)/N37),50),0)))))</f>
        <v>63</v>
      </c>
      <c r="S37" s="803" t="s">
        <v>161</v>
      </c>
      <c r="T37" s="736">
        <v>1.3883856682769726E-2</v>
      </c>
      <c r="U37" s="752">
        <v>50</v>
      </c>
      <c r="V37" s="781"/>
      <c r="W37" s="776" t="s">
        <v>147</v>
      </c>
      <c r="X37" s="740">
        <v>63</v>
      </c>
      <c r="AB37" s="828">
        <f t="shared" si="4"/>
        <v>82</v>
      </c>
      <c r="AC37" s="829">
        <f t="shared" si="3"/>
        <v>2</v>
      </c>
    </row>
    <row r="38" spans="2:29" ht="21" customHeight="1" thickBot="1" x14ac:dyDescent="0.3">
      <c r="B38" s="16">
        <f t="shared" si="5"/>
        <v>27</v>
      </c>
      <c r="C38" s="106" t="s">
        <v>153</v>
      </c>
      <c r="D38" s="107" t="s">
        <v>154</v>
      </c>
      <c r="E38" s="599" t="str">
        <f t="shared" si="0"/>
        <v>ReidunSmaavik</v>
      </c>
      <c r="F38" s="192">
        <f>YEAR(I$5)-_xlfn.XLOOKUP(E38,Deltakerliste!E$5:E$98,Deltakerliste!I$5:I$98)</f>
        <v>70</v>
      </c>
      <c r="G38" s="192">
        <f>_xlfn.XLOOKUP(E38,Deltakerliste!E$5:E$98,Deltakerliste!H$5:H$98)</f>
        <v>4</v>
      </c>
      <c r="H38" s="592">
        <f>VLOOKUP(F38,Deltakerliste!P$6:T$84,G38,FALSE)</f>
        <v>1.9490000000000012</v>
      </c>
      <c r="I38" s="132">
        <v>3.5347222222222224E-2</v>
      </c>
      <c r="J38" s="18"/>
      <c r="K38" s="18"/>
      <c r="L38" s="600">
        <f t="shared" si="1"/>
        <v>1.5368357487922707E-2</v>
      </c>
      <c r="M38" s="594">
        <f>IF(L38="Løype",Poengsammendrag!$F$2,IF(L38="Arr",Poengsammendrag!$F$3,IF(L38="Brutt",50,IF(L38="Disk",50,ROUND(MAXA(100*(MIN(L$10:L$84)/L38),50),0)))))</f>
        <v>50</v>
      </c>
      <c r="N38" s="724">
        <f t="shared" si="2"/>
        <v>7.8852526874924056E-3</v>
      </c>
      <c r="O38" s="596">
        <f>IF(N38="Løype",Poengsammendrag!$F$2,IF(N38="Arr",Poengsammendrag!$F$3,IF(N38="Brutt",50,IF(N38="Disk",50,ROUND(MAXA(100*(MIN(N$10:N$84)/N38),50),0)))))</f>
        <v>60</v>
      </c>
      <c r="S38" s="803" t="s">
        <v>269</v>
      </c>
      <c r="T38" s="736">
        <v>1.3898953301127217E-2</v>
      </c>
      <c r="U38" s="752">
        <v>50</v>
      </c>
      <c r="V38" s="781"/>
      <c r="W38" s="776" t="s">
        <v>153</v>
      </c>
      <c r="X38" s="740">
        <v>60</v>
      </c>
      <c r="AB38" s="828">
        <f t="shared" si="4"/>
        <v>83</v>
      </c>
      <c r="AC38" s="829">
        <f t="shared" si="3"/>
        <v>1</v>
      </c>
    </row>
    <row r="39" spans="2:29" ht="21" customHeight="1" thickBot="1" x14ac:dyDescent="0.3">
      <c r="B39" s="16">
        <f t="shared" si="5"/>
        <v>28</v>
      </c>
      <c r="C39" s="106" t="s">
        <v>78</v>
      </c>
      <c r="D39" s="107" t="s">
        <v>146</v>
      </c>
      <c r="E39" s="599" t="str">
        <f t="shared" si="0"/>
        <v>LeifRøhjell</v>
      </c>
      <c r="F39" s="192">
        <f>YEAR(I$5)-_xlfn.XLOOKUP(E39,Deltakerliste!E$5:E$98,Deltakerliste!I$5:I$98)</f>
        <v>81</v>
      </c>
      <c r="G39" s="192">
        <f>_xlfn.XLOOKUP(E39,Deltakerliste!E$5:E$98,Deltakerliste!H$5:H$98)</f>
        <v>2</v>
      </c>
      <c r="H39" s="592">
        <f>VLOOKUP(F39,Deltakerliste!P$6:T$84,G39,FALSE)</f>
        <v>1.9290000000000003</v>
      </c>
      <c r="I39" s="132">
        <v>3.5266203703703702E-2</v>
      </c>
      <c r="J39" s="18"/>
      <c r="K39" s="18"/>
      <c r="L39" s="600">
        <f t="shared" si="1"/>
        <v>1.5333132045088568E-2</v>
      </c>
      <c r="M39" s="594">
        <f>IF(L39="Løype",Poengsammendrag!$F$2,IF(L39="Arr",Poengsammendrag!$F$3,IF(L39="Brutt",50,IF(L39="Disk",50,ROUND(MAXA(100*(MIN(L$10:L$84)/L39),50),0)))))</f>
        <v>50</v>
      </c>
      <c r="N39" s="724">
        <f t="shared" si="2"/>
        <v>7.9487465241516661E-3</v>
      </c>
      <c r="O39" s="596">
        <f>IF(N39="Løype",Poengsammendrag!$F$2,IF(N39="Arr",Poengsammendrag!$F$3,IF(N39="Brutt",50,IF(N39="Disk",50,ROUND(MAXA(100*(MIN(N$10:N$84)/N39),50),0)))))</f>
        <v>59</v>
      </c>
      <c r="S39" s="803" t="s">
        <v>357</v>
      </c>
      <c r="T39" s="736">
        <v>1.4387077294685992E-2</v>
      </c>
      <c r="U39" s="752">
        <v>50</v>
      </c>
      <c r="V39" s="781"/>
      <c r="W39" s="776" t="s">
        <v>337</v>
      </c>
      <c r="X39" s="740">
        <v>59</v>
      </c>
      <c r="AB39" s="828">
        <f t="shared" si="4"/>
        <v>84</v>
      </c>
      <c r="AC39" s="829">
        <f t="shared" si="3"/>
        <v>1</v>
      </c>
    </row>
    <row r="40" spans="2:29" ht="21" thickBot="1" x14ac:dyDescent="0.3">
      <c r="B40" s="16">
        <f t="shared" si="5"/>
        <v>29</v>
      </c>
      <c r="C40" s="106" t="s">
        <v>72</v>
      </c>
      <c r="D40" s="107" t="s">
        <v>73</v>
      </c>
      <c r="E40" s="599" t="str">
        <f t="shared" si="0"/>
        <v>KåreEggereide</v>
      </c>
      <c r="F40" s="192">
        <f>YEAR(I$5)-_xlfn.XLOOKUP(E40,Deltakerliste!E$5:E$98,Deltakerliste!I$5:I$98)</f>
        <v>74</v>
      </c>
      <c r="G40" s="192">
        <f>_xlfn.XLOOKUP(E40,Deltakerliste!E$5:E$98,Deltakerliste!H$5:H$98)</f>
        <v>2</v>
      </c>
      <c r="H40" s="592">
        <f>VLOOKUP(F40,Deltakerliste!P$6:T$84,G40,FALSE)</f>
        <v>1.569</v>
      </c>
      <c r="I40" s="593"/>
      <c r="J40" s="13">
        <v>3.8182870370370367E-2</v>
      </c>
      <c r="K40" s="13"/>
      <c r="L40" s="600">
        <f t="shared" si="1"/>
        <v>1.2727623456790122E-2</v>
      </c>
      <c r="M40" s="594">
        <f>IF(L40="Løype",Poengsammendrag!$F$2,IF(L40="Arr",Poengsammendrag!$F$3,IF(L40="Brutt",50,IF(L40="Disk",50,ROUND(MAXA(100*(MIN(L$10:L$84)/L40),50),0)))))</f>
        <v>55</v>
      </c>
      <c r="N40" s="724">
        <f t="shared" si="2"/>
        <v>8.1119333695284391E-3</v>
      </c>
      <c r="O40" s="596">
        <f>IF(N40="Løype",Poengsammendrag!$F$2,IF(N40="Arr",Poengsammendrag!$F$3,IF(N40="Brutt",50,IF(N40="Disk",50,ROUND(MAXA(100*(MIN(N$10:N$84)/N40),50),0)))))</f>
        <v>58</v>
      </c>
      <c r="S40" s="803" t="s">
        <v>108</v>
      </c>
      <c r="T40" s="736">
        <v>1.4628623188405798E-2</v>
      </c>
      <c r="U40" s="752">
        <v>50</v>
      </c>
      <c r="V40" s="781"/>
      <c r="W40" s="776" t="s">
        <v>72</v>
      </c>
      <c r="X40" s="740">
        <v>58</v>
      </c>
      <c r="AB40" s="828">
        <f t="shared" si="4"/>
        <v>85</v>
      </c>
      <c r="AC40" s="829">
        <f t="shared" si="3"/>
        <v>1</v>
      </c>
    </row>
    <row r="41" spans="2:29" ht="21" thickBot="1" x14ac:dyDescent="0.3">
      <c r="B41" s="16">
        <f t="shared" si="5"/>
        <v>30</v>
      </c>
      <c r="C41" s="106" t="s">
        <v>161</v>
      </c>
      <c r="D41" s="107" t="s">
        <v>162</v>
      </c>
      <c r="E41" s="599" t="str">
        <f t="shared" si="0"/>
        <v>Nils OlavVennevik</v>
      </c>
      <c r="F41" s="192">
        <f>YEAR(I$5)-_xlfn.XLOOKUP(E41,Deltakerliste!E$5:E$98,Deltakerliste!I$5:I$98)</f>
        <v>77</v>
      </c>
      <c r="G41" s="192">
        <f>_xlfn.XLOOKUP(E41,Deltakerliste!E$5:E$98,Deltakerliste!H$5:H$98)</f>
        <v>2</v>
      </c>
      <c r="H41" s="592">
        <f>VLOOKUP(F41,Deltakerliste!P$6:T$84,G41,FALSE)</f>
        <v>1.7050000000000001</v>
      </c>
      <c r="I41" s="132">
        <v>3.1932870370370368E-2</v>
      </c>
      <c r="J41" s="18"/>
      <c r="K41" s="18"/>
      <c r="L41" s="600">
        <f t="shared" si="1"/>
        <v>1.3883856682769726E-2</v>
      </c>
      <c r="M41" s="594">
        <f>IF(L41="Løype",Poengsammendrag!$F$2,IF(L41="Arr",Poengsammendrag!$F$3,IF(L41="Brutt",50,IF(L41="Disk",50,ROUND(MAXA(100*(MIN(L$10:L$84)/L41),50),0)))))</f>
        <v>50</v>
      </c>
      <c r="N41" s="724">
        <f t="shared" si="2"/>
        <v>8.1430244473722734E-3</v>
      </c>
      <c r="O41" s="596">
        <f>IF(N41="Løype",Poengsammendrag!$F$2,IF(N41="Arr",Poengsammendrag!$F$3,IF(N41="Brutt",50,IF(N41="Disk",50,ROUND(MAXA(100*(MIN(N$10:N$84)/N41),50),0)))))</f>
        <v>58</v>
      </c>
      <c r="S41" s="803" t="s">
        <v>248</v>
      </c>
      <c r="T41" s="736">
        <v>1.4663848631239939E-2</v>
      </c>
      <c r="U41" s="752">
        <v>50</v>
      </c>
      <c r="V41" s="781"/>
      <c r="W41" s="776" t="s">
        <v>161</v>
      </c>
      <c r="X41" s="740">
        <v>58</v>
      </c>
      <c r="AB41" s="828">
        <f t="shared" si="4"/>
        <v>86</v>
      </c>
      <c r="AC41" s="829">
        <f t="shared" si="3"/>
        <v>2</v>
      </c>
    </row>
    <row r="42" spans="2:29" ht="21" customHeight="1" thickBot="1" x14ac:dyDescent="0.3">
      <c r="B42" s="16">
        <f t="shared" si="5"/>
        <v>31</v>
      </c>
      <c r="C42" s="106" t="s">
        <v>251</v>
      </c>
      <c r="D42" s="107" t="s">
        <v>252</v>
      </c>
      <c r="E42" s="599" t="str">
        <f t="shared" ref="E42:E73" si="6">_xlfn.CONCAT(C42:D42)</f>
        <v>OttarKristiansen</v>
      </c>
      <c r="F42" s="192">
        <f>YEAR(I$5)-_xlfn.XLOOKUP(E42,Deltakerliste!E$5:E$98,Deltakerliste!I$5:I$98)</f>
        <v>76</v>
      </c>
      <c r="G42" s="192">
        <f>_xlfn.XLOOKUP(E42,Deltakerliste!E$5:E$98,Deltakerliste!H$5:H$98)</f>
        <v>2</v>
      </c>
      <c r="H42" s="592">
        <f>VLOOKUP(F42,Deltakerliste!P$6:T$84,G42,FALSE)</f>
        <v>1.655</v>
      </c>
      <c r="I42" s="86"/>
      <c r="J42" s="86">
        <v>4.1145833333333333E-2</v>
      </c>
      <c r="K42" s="17"/>
      <c r="L42" s="600">
        <f t="shared" si="1"/>
        <v>1.3715277777777778E-2</v>
      </c>
      <c r="M42" s="594">
        <f>IF(L42="Løype",Poengsammendrag!$F$2,IF(L42="Arr",Poengsammendrag!$F$3,IF(L42="Brutt",50,IF(L42="Disk",50,ROUND(MAXA(100*(MIN(L$10:L$84)/L42),50),0)))))</f>
        <v>51</v>
      </c>
      <c r="N42" s="724">
        <f t="shared" si="2"/>
        <v>8.287176905001678E-3</v>
      </c>
      <c r="O42" s="596">
        <f>IF(N42="Løype",Poengsammendrag!$F$2,IF(N42="Arr",Poengsammendrag!$F$3,IF(N42="Brutt",50,IF(N42="Disk",50,ROUND(MAXA(100*(MIN(N$10:N$84)/N42),50),0)))))</f>
        <v>57</v>
      </c>
      <c r="S42" s="803" t="s">
        <v>315</v>
      </c>
      <c r="T42" s="796">
        <v>1.5091586151368762E-2</v>
      </c>
      <c r="U42" s="765">
        <v>50</v>
      </c>
      <c r="V42" s="782"/>
      <c r="W42" s="777" t="s">
        <v>251</v>
      </c>
      <c r="X42" s="762">
        <v>57</v>
      </c>
      <c r="AB42" s="828">
        <f t="shared" si="4"/>
        <v>87</v>
      </c>
      <c r="AC42" s="829">
        <f t="shared" si="3"/>
        <v>0</v>
      </c>
    </row>
    <row r="43" spans="2:29" ht="21" thickBot="1" x14ac:dyDescent="0.3">
      <c r="B43" s="16">
        <f t="shared" si="5"/>
        <v>32</v>
      </c>
      <c r="C43" s="106" t="s">
        <v>248</v>
      </c>
      <c r="D43" s="107" t="s">
        <v>249</v>
      </c>
      <c r="E43" s="599" t="str">
        <f t="shared" si="6"/>
        <v>ErikLund</v>
      </c>
      <c r="F43" s="192">
        <f>YEAR(I$5)-_xlfn.XLOOKUP(E43,Deltakerliste!E$5:E$98,Deltakerliste!I$5:I$98)</f>
        <v>78</v>
      </c>
      <c r="G43" s="192">
        <f>_xlfn.XLOOKUP(E43,Deltakerliste!E$5:E$98,Deltakerliste!H$5:H$98)</f>
        <v>2</v>
      </c>
      <c r="H43" s="592">
        <f>VLOOKUP(F43,Deltakerliste!P$6:T$84,G43,FALSE)</f>
        <v>1.7550000000000001</v>
      </c>
      <c r="I43" s="13">
        <v>3.3726851851851855E-2</v>
      </c>
      <c r="J43" s="13"/>
      <c r="K43" s="17"/>
      <c r="L43" s="600">
        <f t="shared" si="1"/>
        <v>1.4663848631239939E-2</v>
      </c>
      <c r="M43" s="594">
        <f>IF(L43="Løype",Poengsammendrag!$F$2,IF(L43="Arr",Poengsammendrag!$F$3,IF(L43="Brutt",50,IF(L43="Disk",50,ROUND(MAXA(100*(MIN(L$10:L$84)/L43),50),0)))))</f>
        <v>50</v>
      </c>
      <c r="N43" s="724">
        <f t="shared" si="2"/>
        <v>8.3554693055498223E-3</v>
      </c>
      <c r="O43" s="596">
        <f>IF(N43="Løype",Poengsammendrag!$F$2,IF(N43="Arr",Poengsammendrag!$F$3,IF(N43="Brutt",50,IF(N43="Disk",50,ROUND(MAXA(100*(MIN(N$10:N$84)/N43),50),0)))))</f>
        <v>56</v>
      </c>
      <c r="S43" s="803" t="s">
        <v>96</v>
      </c>
      <c r="T43" s="797">
        <v>1.5096618357487924E-2</v>
      </c>
      <c r="U43" s="770">
        <v>50</v>
      </c>
      <c r="V43" s="778"/>
      <c r="W43" s="783" t="s">
        <v>248</v>
      </c>
      <c r="X43" s="740">
        <v>56</v>
      </c>
      <c r="AB43" s="828">
        <f t="shared" si="4"/>
        <v>88</v>
      </c>
      <c r="AC43" s="829">
        <f t="shared" si="3"/>
        <v>0</v>
      </c>
    </row>
    <row r="44" spans="2:29" ht="21" customHeight="1" thickBot="1" x14ac:dyDescent="0.3">
      <c r="B44" s="16">
        <f t="shared" si="5"/>
        <v>33</v>
      </c>
      <c r="C44" s="106" t="s">
        <v>263</v>
      </c>
      <c r="D44" s="107" t="s">
        <v>264</v>
      </c>
      <c r="E44" s="599" t="str">
        <f t="shared" si="6"/>
        <v>RuneHolt</v>
      </c>
      <c r="F44" s="192">
        <f>YEAR(I$5)-_xlfn.XLOOKUP(E44,Deltakerliste!E$5:E$98,Deltakerliste!I$5:I$98)</f>
        <v>72</v>
      </c>
      <c r="G44" s="192">
        <f>_xlfn.XLOOKUP(E44,Deltakerliste!E$5:E$98,Deltakerliste!H$5:H$98)</f>
        <v>2</v>
      </c>
      <c r="H44" s="592">
        <f>VLOOKUP(F44,Deltakerliste!P$6:T$84,G44,FALSE)</f>
        <v>1.4969999999999999</v>
      </c>
      <c r="I44" s="86">
        <v>3.1608796296296295E-2</v>
      </c>
      <c r="J44" s="86"/>
      <c r="K44" s="17"/>
      <c r="L44" s="600">
        <f t="shared" si="1"/>
        <v>1.3742954911433172E-2</v>
      </c>
      <c r="M44" s="594">
        <f>IF(L44="Løype",Poengsammendrag!$F$2,IF(L44="Arr",Poengsammendrag!$F$3,IF(L44="Brutt",50,IF(L44="Disk",50,ROUND(MAXA(100*(MIN(L$10:L$84)/L44),50),0)))))</f>
        <v>51</v>
      </c>
      <c r="N44" s="724">
        <f t="shared" si="2"/>
        <v>9.1803306021597687E-3</v>
      </c>
      <c r="O44" s="596">
        <f>IF(N44="Løype",Poengsammendrag!$F$2,IF(N44="Arr",Poengsammendrag!$F$3,IF(N44="Brutt",50,IF(N44="Disk",50,ROUND(MAXA(100*(MIN(N$10:N$84)/N44),50),0)))))</f>
        <v>51</v>
      </c>
      <c r="S44" s="803" t="s">
        <v>337</v>
      </c>
      <c r="T44" s="797">
        <v>1.5333132045088568E-2</v>
      </c>
      <c r="U44" s="770">
        <v>50</v>
      </c>
      <c r="V44" s="772"/>
      <c r="W44" s="783" t="s">
        <v>263</v>
      </c>
      <c r="X44" s="740">
        <v>51</v>
      </c>
      <c r="AB44" s="828">
        <f t="shared" si="4"/>
        <v>89</v>
      </c>
      <c r="AC44" s="829">
        <f t="shared" si="3"/>
        <v>0</v>
      </c>
    </row>
    <row r="45" spans="2:29" ht="21" thickBot="1" x14ac:dyDescent="0.3">
      <c r="B45" s="16">
        <f t="shared" ref="B45:B76" si="7">B44+1</f>
        <v>34</v>
      </c>
      <c r="C45" s="106" t="s">
        <v>90</v>
      </c>
      <c r="D45" s="107" t="s">
        <v>91</v>
      </c>
      <c r="E45" s="599" t="str">
        <f t="shared" si="6"/>
        <v>TorGjermstad</v>
      </c>
      <c r="F45" s="192">
        <f>YEAR(I$5)-_xlfn.XLOOKUP(E45,Deltakerliste!E$5:E$98,Deltakerliste!I$5:I$98)</f>
        <v>75</v>
      </c>
      <c r="G45" s="192">
        <f>_xlfn.XLOOKUP(E45,Deltakerliste!E$5:E$98,Deltakerliste!H$5:H$98)</f>
        <v>2</v>
      </c>
      <c r="H45" s="592">
        <f>VLOOKUP(F45,Deltakerliste!P$6:T$84,G45,FALSE)</f>
        <v>1.605</v>
      </c>
      <c r="I45" s="86">
        <v>3.709490740740741E-2</v>
      </c>
      <c r="J45" s="86"/>
      <c r="K45" s="13"/>
      <c r="L45" s="600">
        <f t="shared" si="1"/>
        <v>1.6128220611916266E-2</v>
      </c>
      <c r="M45" s="594">
        <f>IF(L45="Løype",Poengsammendrag!$F$2,IF(L45="Arr",Poengsammendrag!$F$3,IF(L45="Brutt",50,IF(L45="Disk",50,ROUND(MAXA(100*(MIN(L$10:L$84)/L45),50),0)))))</f>
        <v>50</v>
      </c>
      <c r="N45" s="724">
        <f t="shared" si="2"/>
        <v>1.0048735583748452E-2</v>
      </c>
      <c r="O45" s="596">
        <f>IF(N45="Løype",Poengsammendrag!$F$2,IF(N45="Arr",Poengsammendrag!$F$3,IF(N45="Brutt",50,IF(N45="Disk",50,ROUND(MAXA(100*(MIN(N$10:N$84)/N45),50),0)))))</f>
        <v>50</v>
      </c>
      <c r="S45" s="803" t="s">
        <v>153</v>
      </c>
      <c r="T45" s="797">
        <v>1.5368357487922707E-2</v>
      </c>
      <c r="U45" s="770">
        <v>50</v>
      </c>
      <c r="V45" s="772"/>
      <c r="W45" s="783" t="s">
        <v>90</v>
      </c>
      <c r="X45" s="740">
        <v>50</v>
      </c>
      <c r="AB45" s="828">
        <f t="shared" si="4"/>
        <v>90</v>
      </c>
      <c r="AC45" s="829">
        <f t="shared" si="3"/>
        <v>0</v>
      </c>
    </row>
    <row r="46" spans="2:29" ht="21" thickBot="1" x14ac:dyDescent="0.3">
      <c r="B46" s="16">
        <f t="shared" si="7"/>
        <v>35</v>
      </c>
      <c r="C46" s="106" t="s">
        <v>130</v>
      </c>
      <c r="D46" s="107" t="s">
        <v>131</v>
      </c>
      <c r="E46" s="599" t="str">
        <f t="shared" si="6"/>
        <v>AtleMørk</v>
      </c>
      <c r="F46" s="192">
        <f>YEAR(I$5)-_xlfn.XLOOKUP(E46,Deltakerliste!E$5:E$98,Deltakerliste!I$5:I$98)</f>
        <v>76</v>
      </c>
      <c r="G46" s="192">
        <f>_xlfn.XLOOKUP(E46,Deltakerliste!E$5:E$98,Deltakerliste!H$5:H$98)</f>
        <v>2</v>
      </c>
      <c r="H46" s="592">
        <f>VLOOKUP(F46,Deltakerliste!P$6:T$84,G46,FALSE)</f>
        <v>1.655</v>
      </c>
      <c r="I46" s="132">
        <v>3.9004629629629632E-2</v>
      </c>
      <c r="J46" s="132"/>
      <c r="K46" s="132"/>
      <c r="L46" s="600">
        <f t="shared" si="1"/>
        <v>1.6958534621578102E-2</v>
      </c>
      <c r="M46" s="594">
        <f>IF(L46="Løype",Poengsammendrag!$F$2,IF(L46="Arr",Poengsammendrag!$F$3,IF(L46="Brutt",50,IF(L46="Disk",50,ROUND(MAXA(100*(MIN(L$10:L$84)/L46),50),0)))))</f>
        <v>50</v>
      </c>
      <c r="N46" s="724">
        <f t="shared" si="2"/>
        <v>1.0246848713944472E-2</v>
      </c>
      <c r="O46" s="596">
        <f>IF(N46="Løype",Poengsammendrag!$F$2,IF(N46="Arr",Poengsammendrag!$F$3,IF(N46="Brutt",50,IF(N46="Disk",50,ROUND(MAXA(100*(MIN(N$10:N$84)/N46),50),0)))))</f>
        <v>50</v>
      </c>
      <c r="S46" s="803" t="s">
        <v>90</v>
      </c>
      <c r="T46" s="797">
        <v>1.6128220611916266E-2</v>
      </c>
      <c r="U46" s="770">
        <v>50</v>
      </c>
      <c r="V46" s="772"/>
      <c r="W46" s="783" t="s">
        <v>130</v>
      </c>
      <c r="X46" s="740">
        <v>50</v>
      </c>
      <c r="AB46" s="828">
        <f t="shared" si="4"/>
        <v>91</v>
      </c>
      <c r="AC46" s="829">
        <f t="shared" si="3"/>
        <v>0</v>
      </c>
    </row>
    <row r="47" spans="2:29" ht="21" customHeight="1" thickBot="1" x14ac:dyDescent="0.3">
      <c r="B47" s="16">
        <f t="shared" si="7"/>
        <v>36</v>
      </c>
      <c r="C47" s="106" t="s">
        <v>269</v>
      </c>
      <c r="D47" s="107" t="s">
        <v>270</v>
      </c>
      <c r="E47" s="599" t="str">
        <f t="shared" si="6"/>
        <v>Per OlavJohansen</v>
      </c>
      <c r="F47" s="192">
        <f>YEAR(I$5)-_xlfn.XLOOKUP(E47,Deltakerliste!E$5:E$98,Deltakerliste!I$5:I$98)</f>
        <v>67</v>
      </c>
      <c r="G47" s="192">
        <f>_xlfn.XLOOKUP(E47,Deltakerliste!E$5:E$98,Deltakerliste!H$5:H$98)</f>
        <v>2</v>
      </c>
      <c r="H47" s="592">
        <f>VLOOKUP(F47,Deltakerliste!P$6:T$84,G47,FALSE)</f>
        <v>1.3469999999999998</v>
      </c>
      <c r="I47" s="132">
        <v>3.1967592592592596E-2</v>
      </c>
      <c r="J47" s="132"/>
      <c r="K47" s="134"/>
      <c r="L47" s="600">
        <f t="shared" si="1"/>
        <v>1.3898953301127217E-2</v>
      </c>
      <c r="M47" s="594">
        <f>IF(L47="Løype",Poengsammendrag!$F$2,IF(L47="Arr",Poengsammendrag!$F$3,IF(L47="Brutt",50,IF(L47="Disk",50,ROUND(MAXA(100*(MIN(L$10:L$84)/L47),50),0)))))</f>
        <v>50</v>
      </c>
      <c r="N47" s="724">
        <f t="shared" si="2"/>
        <v>1.0318450854585909E-2</v>
      </c>
      <c r="O47" s="596">
        <f>IF(N47="Løype",Poengsammendrag!$F$2,IF(N47="Arr",Poengsammendrag!$F$3,IF(N47="Brutt",50,IF(N47="Disk",50,ROUND(MAXA(100*(MIN(N$10:N$84)/N47),50),0)))))</f>
        <v>50</v>
      </c>
      <c r="S47" s="803" t="s">
        <v>130</v>
      </c>
      <c r="T47" s="797">
        <v>1.6958534621578102E-2</v>
      </c>
      <c r="U47" s="770">
        <v>50</v>
      </c>
      <c r="V47" s="772"/>
      <c r="W47" s="783" t="s">
        <v>269</v>
      </c>
      <c r="X47" s="740">
        <v>50</v>
      </c>
      <c r="AB47" s="828">
        <f t="shared" si="4"/>
        <v>92</v>
      </c>
      <c r="AC47" s="829">
        <f t="shared" si="3"/>
        <v>0</v>
      </c>
    </row>
    <row r="48" spans="2:29" ht="21" customHeight="1" thickBot="1" x14ac:dyDescent="0.3">
      <c r="B48" s="16">
        <f t="shared" si="7"/>
        <v>37</v>
      </c>
      <c r="C48" s="106" t="s">
        <v>63</v>
      </c>
      <c r="D48" s="107" t="s">
        <v>98</v>
      </c>
      <c r="E48" s="599" t="str">
        <f t="shared" si="6"/>
        <v>ToreHeggem</v>
      </c>
      <c r="F48" s="192">
        <f>YEAR(I$5)-_xlfn.XLOOKUP(E48,Deltakerliste!E$5:E$98,Deltakerliste!I$5:I$98)</f>
        <v>72</v>
      </c>
      <c r="G48" s="192">
        <f>_xlfn.XLOOKUP(E48,Deltakerliste!E$5:E$98,Deltakerliste!H$5:H$98)</f>
        <v>2</v>
      </c>
      <c r="H48" s="592">
        <f>VLOOKUP(F48,Deltakerliste!P$6:T$84,G48,FALSE)</f>
        <v>1.4969999999999999</v>
      </c>
      <c r="I48" s="86"/>
      <c r="J48" s="86" t="s">
        <v>7</v>
      </c>
      <c r="K48" s="13"/>
      <c r="L48" s="600" t="str">
        <f t="shared" si="1"/>
        <v>Arr</v>
      </c>
      <c r="M48" s="594">
        <f>IF(L48="Løype",Poengsammendrag!$F$2,IF(L48="Arr",Poengsammendrag!$F$3,IF(L48="Brutt",50,IF(L48="Disk",50,ROUND(MAXA(100*(MIN(L$10:L$84)/L48),50),0)))))</f>
        <v>94</v>
      </c>
      <c r="N48" s="724" t="str">
        <f t="shared" si="2"/>
        <v>Arr</v>
      </c>
      <c r="O48" s="596">
        <f>IF(N48="Løype",Poengsammendrag!$F$2,IF(N48="Arr",Poengsammendrag!$F$3,IF(N48="Brutt",50,IF(N48="Disk",50,ROUND(MAXA(100*(MIN(N$10:N$84)/N48),50),0)))))</f>
        <v>94</v>
      </c>
      <c r="S48" s="803" t="s">
        <v>340</v>
      </c>
      <c r="T48" s="798" t="s">
        <v>7</v>
      </c>
      <c r="U48" s="770">
        <v>94</v>
      </c>
      <c r="V48" s="772"/>
      <c r="W48" s="783" t="s">
        <v>340</v>
      </c>
      <c r="X48" s="740">
        <v>94</v>
      </c>
      <c r="AB48" s="828">
        <f t="shared" si="4"/>
        <v>93</v>
      </c>
      <c r="AC48" s="829">
        <f t="shared" si="3"/>
        <v>0</v>
      </c>
    </row>
    <row r="49" spans="2:29" ht="21" customHeight="1" thickBot="1" x14ac:dyDescent="0.3">
      <c r="B49" s="16">
        <f t="shared" si="7"/>
        <v>38</v>
      </c>
      <c r="C49" s="106" t="s">
        <v>101</v>
      </c>
      <c r="D49" s="107" t="s">
        <v>102</v>
      </c>
      <c r="E49" s="599" t="str">
        <f t="shared" si="6"/>
        <v>EvenHofstad</v>
      </c>
      <c r="F49" s="192">
        <f>YEAR(I$5)-_xlfn.XLOOKUP(E49,Deltakerliste!E$5:E$98,Deltakerliste!I$5:I$98)</f>
        <v>71</v>
      </c>
      <c r="G49" s="192">
        <f>_xlfn.XLOOKUP(E49,Deltakerliste!E$5:E$98,Deltakerliste!H$5:H$98)</f>
        <v>2</v>
      </c>
      <c r="H49" s="592">
        <f>VLOOKUP(F49,Deltakerliste!P$6:T$84,G49,FALSE)</f>
        <v>1.4609999999999999</v>
      </c>
      <c r="I49" s="86"/>
      <c r="J49" s="86" t="s">
        <v>7</v>
      </c>
      <c r="K49" s="13"/>
      <c r="L49" s="600" t="str">
        <f t="shared" si="1"/>
        <v>Arr</v>
      </c>
      <c r="M49" s="594">
        <f>IF(L49="Løype",Poengsammendrag!$F$2,IF(L49="Arr",Poengsammendrag!$F$3,IF(L49="Brutt",50,IF(L49="Disk",50,ROUND(MAXA(100*(MIN(L$10:L$84)/L49),50),0)))))</f>
        <v>94</v>
      </c>
      <c r="N49" s="724" t="str">
        <f t="shared" si="2"/>
        <v>Arr</v>
      </c>
      <c r="O49" s="596">
        <f>IF(N49="Løype",Poengsammendrag!$F$2,IF(N49="Arr",Poengsammendrag!$F$3,IF(N49="Brutt",50,IF(N49="Disk",50,ROUND(MAXA(100*(MIN(N$10:N$84)/N49),50),0)))))</f>
        <v>94</v>
      </c>
      <c r="S49" s="803" t="s">
        <v>101</v>
      </c>
      <c r="T49" s="799" t="s">
        <v>7</v>
      </c>
      <c r="U49" s="793">
        <v>94</v>
      </c>
      <c r="V49" s="794"/>
      <c r="W49" s="795" t="s">
        <v>101</v>
      </c>
      <c r="X49" s="762">
        <v>94</v>
      </c>
      <c r="AB49" s="828">
        <f t="shared" si="4"/>
        <v>94</v>
      </c>
      <c r="AC49" s="829">
        <f t="shared" si="3"/>
        <v>0</v>
      </c>
    </row>
    <row r="50" spans="2:29" ht="21" thickBot="1" x14ac:dyDescent="0.3">
      <c r="B50" s="16">
        <f t="shared" si="7"/>
        <v>39</v>
      </c>
      <c r="C50" s="106" t="s">
        <v>82</v>
      </c>
      <c r="D50" s="107" t="s">
        <v>83</v>
      </c>
      <c r="E50" s="599" t="str">
        <f t="shared" si="6"/>
        <v>RoarForbord</v>
      </c>
      <c r="F50" s="192">
        <f>YEAR(I$5)-_xlfn.XLOOKUP(E50,Deltakerliste!E$5:E$98,Deltakerliste!I$5:I$98)</f>
        <v>82</v>
      </c>
      <c r="G50" s="192">
        <f>_xlfn.XLOOKUP(E50,Deltakerliste!E$5:E$98,Deltakerliste!H$5:H$98)</f>
        <v>2</v>
      </c>
      <c r="H50" s="592">
        <f>VLOOKUP(F50,Deltakerliste!P$6:T$84,G50,FALSE)</f>
        <v>2.0030000000000001</v>
      </c>
      <c r="I50" s="86" t="s">
        <v>306</v>
      </c>
      <c r="J50" s="86"/>
      <c r="K50" s="13"/>
      <c r="L50" s="600" t="str">
        <f t="shared" si="1"/>
        <v>Brutt</v>
      </c>
      <c r="M50" s="594">
        <f>IF(L50="Løype",Poengsammendrag!$F$2,IF(L50="Arr",Poengsammendrag!$F$3,IF(L50="Brutt",50,IF(L50="Disk",50,ROUND(MAXA(100*(MIN(L$10:L$84)/L50),50),0)))))</f>
        <v>50</v>
      </c>
      <c r="N50" s="724" t="str">
        <f t="shared" si="2"/>
        <v>Brutt</v>
      </c>
      <c r="O50" s="596">
        <f>IF(N50="Løype",Poengsammendrag!$F$2,IF(N50="Arr",Poengsammendrag!$F$3,IF(N50="Brutt",50,IF(N50="Disk",50,ROUND(MAXA(100*(MIN(N$10:N$84)/N50),50),0)))))</f>
        <v>50</v>
      </c>
      <c r="S50" s="803" t="s">
        <v>82</v>
      </c>
      <c r="T50" s="800" t="s">
        <v>306</v>
      </c>
      <c r="U50" s="770">
        <v>50</v>
      </c>
      <c r="V50" s="772"/>
      <c r="W50" s="783" t="s">
        <v>82</v>
      </c>
      <c r="X50" s="740">
        <v>50</v>
      </c>
      <c r="AB50" s="830">
        <f t="shared" si="4"/>
        <v>95</v>
      </c>
      <c r="AC50" s="831">
        <f t="shared" si="3"/>
        <v>0</v>
      </c>
    </row>
    <row r="51" spans="2:29" ht="21" customHeight="1" thickBot="1" x14ac:dyDescent="0.3">
      <c r="B51" s="16">
        <f t="shared" si="7"/>
        <v>40</v>
      </c>
      <c r="C51" s="106" t="s">
        <v>64</v>
      </c>
      <c r="D51" s="107" t="s">
        <v>267</v>
      </c>
      <c r="E51" s="599" t="str">
        <f t="shared" si="6"/>
        <v>BjørnBrenne</v>
      </c>
      <c r="F51" s="192">
        <f>YEAR(I$5)-_xlfn.XLOOKUP(E51,Deltakerliste!E$5:E$98,Deltakerliste!I$5:I$98)</f>
        <v>80</v>
      </c>
      <c r="G51" s="192">
        <f>_xlfn.XLOOKUP(E51,Deltakerliste!E$5:E$98,Deltakerliste!H$5:H$98)</f>
        <v>2</v>
      </c>
      <c r="H51" s="592">
        <f>VLOOKUP(F51,Deltakerliste!P$6:T$84,G51,FALSE)</f>
        <v>1.8550000000000002</v>
      </c>
      <c r="I51" s="86"/>
      <c r="J51" s="86" t="s">
        <v>306</v>
      </c>
      <c r="K51" s="13"/>
      <c r="L51" s="600" t="str">
        <f t="shared" si="1"/>
        <v>Brutt</v>
      </c>
      <c r="M51" s="594">
        <f>IF(L51="Løype",Poengsammendrag!$F$2,IF(L51="Arr",Poengsammendrag!$F$3,IF(L51="Brutt",50,IF(L51="Disk",50,ROUND(MAXA(100*(MIN(L$10:L$84)/L51),50),0)))))</f>
        <v>50</v>
      </c>
      <c r="N51" s="724" t="str">
        <f t="shared" si="2"/>
        <v>Brutt</v>
      </c>
      <c r="O51" s="596">
        <f>IF(N51="Løype",Poengsammendrag!$F$2,IF(N51="Arr",Poengsammendrag!$F$3,IF(N51="Brutt",50,IF(N51="Disk",50,ROUND(MAXA(100*(MIN(N$10:N$84)/N51),50),0)))))</f>
        <v>50</v>
      </c>
      <c r="S51" s="803" t="s">
        <v>358</v>
      </c>
      <c r="T51" s="798" t="s">
        <v>306</v>
      </c>
      <c r="U51" s="770">
        <v>50</v>
      </c>
      <c r="V51" s="772"/>
      <c r="W51" s="783" t="s">
        <v>358</v>
      </c>
      <c r="X51" s="740">
        <v>50</v>
      </c>
    </row>
    <row r="52" spans="2:29" ht="21" thickBot="1" x14ac:dyDescent="0.3">
      <c r="B52" s="16">
        <f t="shared" si="7"/>
        <v>41</v>
      </c>
      <c r="C52" s="106" t="s">
        <v>116</v>
      </c>
      <c r="D52" s="107" t="s">
        <v>165</v>
      </c>
      <c r="E52" s="599" t="str">
        <f t="shared" si="6"/>
        <v>AndersWaage</v>
      </c>
      <c r="F52" s="192">
        <f>YEAR(I$5)-_xlfn.XLOOKUP(E52,Deltakerliste!E$5:E$98,Deltakerliste!I$5:I$98)</f>
        <v>77</v>
      </c>
      <c r="G52" s="192">
        <f>_xlfn.XLOOKUP(E52,Deltakerliste!E$5:E$98,Deltakerliste!H$5:H$98)</f>
        <v>2</v>
      </c>
      <c r="H52" s="592">
        <f>VLOOKUP(F52,Deltakerliste!P$6:T$84,G52,FALSE)</f>
        <v>1.7050000000000001</v>
      </c>
      <c r="I52" s="18"/>
      <c r="J52" s="18" t="s">
        <v>306</v>
      </c>
      <c r="K52" s="18"/>
      <c r="L52" s="600" t="str">
        <f t="shared" si="1"/>
        <v>Brutt</v>
      </c>
      <c r="M52" s="594">
        <f>IF(L52="Løype",Poengsammendrag!$F$2,IF(L52="Arr",Poengsammendrag!$F$3,IF(L52="Brutt",50,IF(L52="Disk",50,ROUND(MAXA(100*(MIN(L$10:L$84)/L52),50),0)))))</f>
        <v>50</v>
      </c>
      <c r="N52" s="724" t="str">
        <f t="shared" si="2"/>
        <v>Brutt</v>
      </c>
      <c r="O52" s="596">
        <f>IF(N52="Løype",Poengsammendrag!$F$2,IF(N52="Arr",Poengsammendrag!$F$3,IF(N52="Brutt",50,IF(N52="Disk",50,ROUND(MAXA(100*(MIN(N$10:N$84)/N52),50),0)))))</f>
        <v>50</v>
      </c>
      <c r="S52" s="803" t="s">
        <v>314</v>
      </c>
      <c r="T52" s="798" t="s">
        <v>306</v>
      </c>
      <c r="U52" s="770">
        <v>50</v>
      </c>
      <c r="V52" s="772"/>
      <c r="W52" s="783" t="s">
        <v>314</v>
      </c>
      <c r="X52" s="740">
        <v>50</v>
      </c>
    </row>
    <row r="53" spans="2:29" ht="21" thickBot="1" x14ac:dyDescent="0.3">
      <c r="B53" s="16">
        <f t="shared" si="7"/>
        <v>42</v>
      </c>
      <c r="C53" s="106" t="s">
        <v>120</v>
      </c>
      <c r="D53" s="107" t="s">
        <v>121</v>
      </c>
      <c r="E53" s="599" t="str">
        <f t="shared" si="6"/>
        <v>KlausLivik</v>
      </c>
      <c r="F53" s="192">
        <f>YEAR(I$5)-_xlfn.XLOOKUP(E53,Deltakerliste!E$5:E$98,Deltakerliste!I$5:I$98)</f>
        <v>71</v>
      </c>
      <c r="G53" s="192">
        <f>_xlfn.XLOOKUP(E53,Deltakerliste!E$5:E$98,Deltakerliste!H$5:H$98)</f>
        <v>2</v>
      </c>
      <c r="H53" s="592">
        <f>VLOOKUP(F53,Deltakerliste!P$6:T$84,G53,FALSE)</f>
        <v>1.4609999999999999</v>
      </c>
      <c r="I53" s="13"/>
      <c r="J53" s="13" t="s">
        <v>62</v>
      </c>
      <c r="K53" s="17"/>
      <c r="L53" s="600" t="str">
        <f t="shared" si="1"/>
        <v>Løype</v>
      </c>
      <c r="M53" s="594">
        <f>IF(L53="Løype",Poengsammendrag!$F$2,IF(L53="Arr",Poengsammendrag!$F$3,IF(L53="Brutt",50,IF(L53="Disk",50,ROUND(MAXA(100*(MIN(L$10:L$84)/L53),50),0)))))</f>
        <v>100</v>
      </c>
      <c r="N53" s="724" t="str">
        <f t="shared" si="2"/>
        <v>Løype</v>
      </c>
      <c r="O53" s="596">
        <f>IF(N53="Løype",Poengsammendrag!$F$2,IF(N53="Arr",Poengsammendrag!$F$3,IF(N53="Brutt",50,IF(N53="Disk",50,ROUND(MAXA(100*(MIN(N$10:N$84)/N53),50),0)))))</f>
        <v>100</v>
      </c>
      <c r="S53" s="804" t="s">
        <v>120</v>
      </c>
      <c r="T53" s="801" t="s">
        <v>62</v>
      </c>
      <c r="U53" s="771">
        <v>100</v>
      </c>
      <c r="V53" s="773"/>
      <c r="W53" s="784" t="s">
        <v>120</v>
      </c>
      <c r="X53" s="741">
        <v>100</v>
      </c>
    </row>
    <row r="54" spans="2:29" ht="21" thickBot="1" x14ac:dyDescent="0.3">
      <c r="B54" s="16">
        <f t="shared" si="7"/>
        <v>43</v>
      </c>
      <c r="C54" s="106" t="s">
        <v>60</v>
      </c>
      <c r="D54" s="107" t="s">
        <v>61</v>
      </c>
      <c r="E54" s="599" t="str">
        <f t="shared" si="6"/>
        <v>JosteinAlvestad</v>
      </c>
      <c r="F54" s="192">
        <f>YEAR(I$5)-_xlfn.XLOOKUP(E54,Deltakerliste!E$5:E$98,Deltakerliste!I$5:I$98)</f>
        <v>70</v>
      </c>
      <c r="G54" s="192">
        <f>_xlfn.XLOOKUP(E54,Deltakerliste!E$5:E$98,Deltakerliste!H$5:H$98)</f>
        <v>2</v>
      </c>
      <c r="H54" s="592">
        <f>VLOOKUP(F54,Deltakerliste!P$6:T$84,G54,FALSE)</f>
        <v>1.4249999999999998</v>
      </c>
      <c r="I54" s="13"/>
      <c r="J54" s="13"/>
      <c r="K54" s="17"/>
      <c r="L54" s="600"/>
      <c r="M54" s="594"/>
      <c r="N54" s="724"/>
      <c r="O54" s="596"/>
    </row>
    <row r="55" spans="2:29" ht="21" customHeight="1" thickBot="1" x14ac:dyDescent="0.3">
      <c r="B55" s="16">
        <f t="shared" si="7"/>
        <v>44</v>
      </c>
      <c r="C55" s="106" t="s">
        <v>66</v>
      </c>
      <c r="D55" s="107" t="s">
        <v>67</v>
      </c>
      <c r="E55" s="599" t="str">
        <f t="shared" si="6"/>
        <v>FrankBjarkø</v>
      </c>
      <c r="F55" s="192">
        <f>YEAR(I$5)-_xlfn.XLOOKUP(E55,Deltakerliste!E$5:E$98,Deltakerliste!I$5:I$98)</f>
        <v>73</v>
      </c>
      <c r="G55" s="192">
        <f>_xlfn.XLOOKUP(E55,Deltakerliste!E$5:E$98,Deltakerliste!H$5:H$98)</f>
        <v>2</v>
      </c>
      <c r="H55" s="592">
        <f>VLOOKUP(F55,Deltakerliste!P$6:T$84,G55,FALSE)</f>
        <v>1.5329999999999999</v>
      </c>
      <c r="I55" s="13"/>
      <c r="J55" s="13"/>
      <c r="K55" s="13"/>
      <c r="L55" s="600"/>
      <c r="M55" s="594"/>
      <c r="N55" s="724"/>
      <c r="O55" s="596"/>
    </row>
    <row r="56" spans="2:29" ht="21" thickBot="1" x14ac:dyDescent="0.3">
      <c r="B56" s="16">
        <f t="shared" si="7"/>
        <v>45</v>
      </c>
      <c r="C56" s="106" t="s">
        <v>68</v>
      </c>
      <c r="D56" s="107" t="s">
        <v>69</v>
      </c>
      <c r="E56" s="599" t="str">
        <f t="shared" si="6"/>
        <v>JanBøhle</v>
      </c>
      <c r="F56" s="192">
        <f>YEAR(I$5)-_xlfn.XLOOKUP(E56,Deltakerliste!E$5:E$98,Deltakerliste!I$5:I$98)</f>
        <v>73</v>
      </c>
      <c r="G56" s="192">
        <f>_xlfn.XLOOKUP(E56,Deltakerliste!E$5:E$98,Deltakerliste!H$5:H$98)</f>
        <v>2</v>
      </c>
      <c r="H56" s="592">
        <f>VLOOKUP(F56,Deltakerliste!P$6:T$84,G56,FALSE)</f>
        <v>1.5329999999999999</v>
      </c>
      <c r="I56" s="86"/>
      <c r="J56" s="86"/>
      <c r="K56" s="13"/>
      <c r="L56" s="600"/>
      <c r="M56" s="594"/>
      <c r="N56" s="724"/>
      <c r="O56" s="596"/>
    </row>
    <row r="57" spans="2:29" ht="21" thickBot="1" x14ac:dyDescent="0.3">
      <c r="B57" s="16">
        <f t="shared" si="7"/>
        <v>46</v>
      </c>
      <c r="C57" s="106" t="s">
        <v>70</v>
      </c>
      <c r="D57" s="107" t="s">
        <v>71</v>
      </c>
      <c r="E57" s="599" t="str">
        <f t="shared" si="6"/>
        <v>TrondDamås</v>
      </c>
      <c r="F57" s="192">
        <f>YEAR(I$5)-_xlfn.XLOOKUP(E57,Deltakerliste!E$5:E$98,Deltakerliste!I$5:I$98)</f>
        <v>75</v>
      </c>
      <c r="G57" s="192">
        <f>_xlfn.XLOOKUP(E57,Deltakerliste!E$5:E$98,Deltakerliste!H$5:H$98)</f>
        <v>2</v>
      </c>
      <c r="H57" s="592">
        <f>VLOOKUP(F57,Deltakerliste!P$6:T$84,G57,FALSE)</f>
        <v>1.605</v>
      </c>
      <c r="I57" s="13"/>
      <c r="J57" s="13"/>
      <c r="K57" s="13"/>
      <c r="L57" s="600"/>
      <c r="M57" s="594"/>
      <c r="N57" s="724"/>
      <c r="O57" s="596"/>
    </row>
    <row r="58" spans="2:29" ht="20" customHeight="1" thickBot="1" x14ac:dyDescent="0.3">
      <c r="B58" s="16">
        <f t="shared" si="7"/>
        <v>47</v>
      </c>
      <c r="C58" s="106" t="s">
        <v>74</v>
      </c>
      <c r="D58" s="107" t="s">
        <v>75</v>
      </c>
      <c r="E58" s="599" t="str">
        <f t="shared" si="6"/>
        <v>StinaElfving</v>
      </c>
      <c r="F58" s="192">
        <f>YEAR(I$5)-_xlfn.XLOOKUP(E58,Deltakerliste!E$5:E$98,Deltakerliste!I$5:I$98)</f>
        <v>75</v>
      </c>
      <c r="G58" s="192">
        <f>_xlfn.XLOOKUP(E58,Deltakerliste!E$5:E$98,Deltakerliste!H$5:H$98)</f>
        <v>4</v>
      </c>
      <c r="H58" s="592">
        <f>VLOOKUP(F58,Deltakerliste!P$6:T$84,G58,FALSE)</f>
        <v>2.1670000000000016</v>
      </c>
      <c r="I58" s="13"/>
      <c r="J58" s="13"/>
      <c r="K58" s="17"/>
      <c r="L58" s="600"/>
      <c r="M58" s="594"/>
      <c r="N58" s="724"/>
      <c r="O58" s="596"/>
    </row>
    <row r="59" spans="2:29" ht="21" thickBot="1" x14ac:dyDescent="0.3">
      <c r="B59" s="16">
        <f t="shared" si="7"/>
        <v>48</v>
      </c>
      <c r="C59" s="106" t="s">
        <v>216</v>
      </c>
      <c r="D59" s="107" t="s">
        <v>77</v>
      </c>
      <c r="E59" s="599" t="str">
        <f t="shared" si="6"/>
        <v>Åse RitaEllingsen</v>
      </c>
      <c r="F59" s="192">
        <f>YEAR(I$5)-_xlfn.XLOOKUP(E59,Deltakerliste!E$5:E$98,Deltakerliste!I$5:I$98)</f>
        <v>61</v>
      </c>
      <c r="G59" s="192">
        <f>_xlfn.XLOOKUP(E59,Deltakerliste!E$5:E$98,Deltakerliste!H$5:H$98)</f>
        <v>4</v>
      </c>
      <c r="H59" s="592">
        <f>VLOOKUP(F59,Deltakerliste!P$6:T$84,G59,FALSE)</f>
        <v>1.6542000000000003</v>
      </c>
      <c r="I59" s="593"/>
      <c r="J59" s="14"/>
      <c r="K59" s="13"/>
      <c r="L59" s="600"/>
      <c r="M59" s="594"/>
      <c r="N59" s="724"/>
      <c r="O59" s="596"/>
    </row>
    <row r="60" spans="2:29" ht="21" customHeight="1" thickBot="1" x14ac:dyDescent="0.3">
      <c r="B60" s="16">
        <f t="shared" si="7"/>
        <v>49</v>
      </c>
      <c r="C60" s="106" t="s">
        <v>80</v>
      </c>
      <c r="D60" s="107" t="s">
        <v>81</v>
      </c>
      <c r="E60" s="599" t="str">
        <f t="shared" si="6"/>
        <v>HalvorFlatberg</v>
      </c>
      <c r="F60" s="192">
        <f>YEAR(I$5)-_xlfn.XLOOKUP(E60,Deltakerliste!E$5:E$98,Deltakerliste!I$5:I$98)</f>
        <v>79</v>
      </c>
      <c r="G60" s="192">
        <f>_xlfn.XLOOKUP(E60,Deltakerliste!E$5:E$98,Deltakerliste!H$5:H$98)</f>
        <v>2</v>
      </c>
      <c r="H60" s="592">
        <f>VLOOKUP(F60,Deltakerliste!P$6:T$84,G60,FALSE)</f>
        <v>1.8050000000000002</v>
      </c>
      <c r="I60" s="86"/>
      <c r="J60" s="86"/>
      <c r="K60" s="13"/>
      <c r="L60" s="600"/>
      <c r="M60" s="594"/>
      <c r="N60" s="724"/>
      <c r="O60" s="596"/>
    </row>
    <row r="61" spans="2:29" ht="21" customHeight="1" thickBot="1" x14ac:dyDescent="0.3">
      <c r="B61" s="16">
        <f t="shared" si="7"/>
        <v>50</v>
      </c>
      <c r="C61" s="106" t="s">
        <v>271</v>
      </c>
      <c r="D61" s="107" t="s">
        <v>272</v>
      </c>
      <c r="E61" s="599" t="str">
        <f t="shared" si="6"/>
        <v>Arne KjellFoldvik</v>
      </c>
      <c r="F61" s="192">
        <f>YEAR(I$5)-_xlfn.XLOOKUP(E61,Deltakerliste!E$5:E$98,Deltakerliste!I$5:I$98)</f>
        <v>91</v>
      </c>
      <c r="G61" s="192">
        <f>_xlfn.XLOOKUP(E61,Deltakerliste!E$5:E$98,Deltakerliste!H$5:H$98)</f>
        <v>2</v>
      </c>
      <c r="H61" s="592">
        <f>VLOOKUP(F61,Deltakerliste!P$6:T$84,G61,FALSE)</f>
        <v>2.7290000000000001</v>
      </c>
      <c r="I61" s="14"/>
      <c r="J61" s="14"/>
      <c r="K61" s="13"/>
      <c r="L61" s="600"/>
      <c r="M61" s="594"/>
      <c r="N61" s="724"/>
      <c r="O61" s="596"/>
    </row>
    <row r="62" spans="2:29" ht="21" customHeight="1" thickBot="1" x14ac:dyDescent="0.3">
      <c r="B62" s="16">
        <f t="shared" si="7"/>
        <v>51</v>
      </c>
      <c r="C62" s="106" t="s">
        <v>84</v>
      </c>
      <c r="D62" s="107" t="s">
        <v>85</v>
      </c>
      <c r="E62" s="599" t="str">
        <f t="shared" si="6"/>
        <v>PaulForseth</v>
      </c>
      <c r="F62" s="192">
        <f>YEAR(I$5)-_xlfn.XLOOKUP(E62,Deltakerliste!E$5:E$98,Deltakerliste!I$5:I$98)</f>
        <v>93</v>
      </c>
      <c r="G62" s="192">
        <f>_xlfn.XLOOKUP(E62,Deltakerliste!E$5:E$98,Deltakerliste!H$5:H$98)</f>
        <v>2</v>
      </c>
      <c r="H62" s="592">
        <f>VLOOKUP(F62,Deltakerliste!P$6:T$84,G62,FALSE)</f>
        <v>2.8970000000000002</v>
      </c>
      <c r="I62" s="86"/>
      <c r="J62" s="86"/>
      <c r="K62" s="17"/>
      <c r="L62" s="600"/>
      <c r="M62" s="594"/>
      <c r="N62" s="724"/>
      <c r="O62" s="596"/>
    </row>
    <row r="63" spans="2:29" ht="21" thickBot="1" x14ac:dyDescent="0.3">
      <c r="B63" s="16">
        <f t="shared" si="7"/>
        <v>52</v>
      </c>
      <c r="C63" s="106" t="s">
        <v>86</v>
      </c>
      <c r="D63" s="107" t="s">
        <v>87</v>
      </c>
      <c r="E63" s="599" t="str">
        <f t="shared" si="6"/>
        <v>KristianFougner</v>
      </c>
      <c r="F63" s="192">
        <f>YEAR(I$5)-_xlfn.XLOOKUP(E63,Deltakerliste!E$5:E$98,Deltakerliste!I$5:I$98)</f>
        <v>75</v>
      </c>
      <c r="G63" s="192">
        <f>_xlfn.XLOOKUP(E63,Deltakerliste!E$5:E$98,Deltakerliste!H$5:H$98)</f>
        <v>2</v>
      </c>
      <c r="H63" s="592">
        <f>VLOOKUP(F63,Deltakerliste!P$6:T$84,G63,FALSE)</f>
        <v>1.605</v>
      </c>
      <c r="I63" s="86"/>
      <c r="J63" s="86"/>
      <c r="K63" s="13"/>
      <c r="L63" s="600"/>
      <c r="M63" s="594"/>
      <c r="N63" s="724"/>
      <c r="O63" s="596"/>
    </row>
    <row r="64" spans="2:29" ht="21" thickBot="1" x14ac:dyDescent="0.3">
      <c r="B64" s="16">
        <f t="shared" si="7"/>
        <v>53</v>
      </c>
      <c r="C64" s="106" t="s">
        <v>207</v>
      </c>
      <c r="D64" s="107" t="s">
        <v>89</v>
      </c>
      <c r="E64" s="599" t="str">
        <f t="shared" si="6"/>
        <v>AnneFuruholt</v>
      </c>
      <c r="F64" s="192">
        <f>YEAR(I$5)-_xlfn.XLOOKUP(E64,Deltakerliste!E$5:E$98,Deltakerliste!I$5:I$98)</f>
        <v>78</v>
      </c>
      <c r="G64" s="192">
        <f>_xlfn.XLOOKUP(E64,Deltakerliste!E$5:E$98,Deltakerliste!H$5:H$98)</f>
        <v>4</v>
      </c>
      <c r="H64" s="592">
        <f>VLOOKUP(F64,Deltakerliste!P$6:T$84,G64,FALSE)</f>
        <v>2.3398000000000012</v>
      </c>
      <c r="I64" s="13"/>
      <c r="J64" s="13"/>
      <c r="K64" s="13"/>
      <c r="L64" s="600"/>
      <c r="M64" s="594"/>
      <c r="N64" s="724"/>
      <c r="O64" s="596"/>
    </row>
    <row r="65" spans="2:17" ht="21" thickBot="1" x14ac:dyDescent="0.3">
      <c r="B65" s="16">
        <f t="shared" si="7"/>
        <v>54</v>
      </c>
      <c r="C65" s="106" t="s">
        <v>92</v>
      </c>
      <c r="D65" s="107" t="s">
        <v>93</v>
      </c>
      <c r="E65" s="599" t="str">
        <f t="shared" si="6"/>
        <v>Jens ØysteinGjersvold</v>
      </c>
      <c r="F65" s="192">
        <f>YEAR(I$5)-_xlfn.XLOOKUP(E65,Deltakerliste!E$5:E$98,Deltakerliste!I$5:I$98)</f>
        <v>73</v>
      </c>
      <c r="G65" s="192">
        <f>_xlfn.XLOOKUP(E65,Deltakerliste!E$5:E$98,Deltakerliste!H$5:H$98)</f>
        <v>2</v>
      </c>
      <c r="H65" s="592">
        <f>VLOOKUP(F65,Deltakerliste!P$6:T$84,G65,FALSE)</f>
        <v>1.5329999999999999</v>
      </c>
      <c r="I65" s="14"/>
      <c r="J65" s="14"/>
      <c r="K65" s="18"/>
      <c r="L65" s="600"/>
      <c r="M65" s="594"/>
      <c r="N65" s="724"/>
      <c r="O65" s="596"/>
    </row>
    <row r="66" spans="2:17" ht="21" thickBot="1" x14ac:dyDescent="0.3">
      <c r="B66" s="16">
        <f t="shared" si="7"/>
        <v>55</v>
      </c>
      <c r="C66" s="106" t="s">
        <v>99</v>
      </c>
      <c r="D66" s="107" t="s">
        <v>100</v>
      </c>
      <c r="E66" s="599" t="str">
        <f t="shared" si="6"/>
        <v>RobertHirsch</v>
      </c>
      <c r="F66" s="192">
        <f>YEAR(I$5)-_xlfn.XLOOKUP(E66,Deltakerliste!E$5:E$98,Deltakerliste!I$5:I$98)</f>
        <v>68</v>
      </c>
      <c r="G66" s="192">
        <f>_xlfn.XLOOKUP(E66,Deltakerliste!E$5:E$98,Deltakerliste!H$5:H$98)</f>
        <v>2</v>
      </c>
      <c r="H66" s="592">
        <f>VLOOKUP(F66,Deltakerliste!P$6:T$84,G66,FALSE)</f>
        <v>1.3729999999999998</v>
      </c>
      <c r="I66" s="86"/>
      <c r="J66" s="86"/>
      <c r="K66" s="13"/>
      <c r="L66" s="600"/>
      <c r="M66" s="594"/>
      <c r="N66" s="724"/>
      <c r="O66" s="596"/>
    </row>
    <row r="67" spans="2:17" ht="21" thickBot="1" x14ac:dyDescent="0.3">
      <c r="B67" s="16">
        <f t="shared" si="7"/>
        <v>56</v>
      </c>
      <c r="C67" s="106" t="s">
        <v>103</v>
      </c>
      <c r="D67" s="107" t="s">
        <v>104</v>
      </c>
      <c r="E67" s="599" t="str">
        <f t="shared" si="6"/>
        <v>SveinHove</v>
      </c>
      <c r="F67" s="192">
        <f>YEAR(I$5)-_xlfn.XLOOKUP(E67,Deltakerliste!E$5:E$98,Deltakerliste!I$5:I$98)</f>
        <v>78</v>
      </c>
      <c r="G67" s="192">
        <f>_xlfn.XLOOKUP(E67,Deltakerliste!E$5:E$98,Deltakerliste!H$5:H$98)</f>
        <v>2</v>
      </c>
      <c r="H67" s="592">
        <f>VLOOKUP(F67,Deltakerliste!P$6:T$84,G67,FALSE)</f>
        <v>1.7550000000000001</v>
      </c>
      <c r="I67" s="86"/>
      <c r="J67" s="86"/>
      <c r="K67" s="17"/>
      <c r="L67" s="600"/>
      <c r="M67" s="594"/>
      <c r="N67" s="724"/>
      <c r="O67" s="596"/>
    </row>
    <row r="68" spans="2:17" ht="21" thickBot="1" x14ac:dyDescent="0.3">
      <c r="B68" s="16">
        <f t="shared" si="7"/>
        <v>57</v>
      </c>
      <c r="C68" s="106" t="s">
        <v>63</v>
      </c>
      <c r="D68" s="107" t="s">
        <v>105</v>
      </c>
      <c r="E68" s="599" t="str">
        <f t="shared" si="6"/>
        <v>ToreKiste</v>
      </c>
      <c r="F68" s="192">
        <f>YEAR(I$5)-_xlfn.XLOOKUP(E68,Deltakerliste!E$5:E$98,Deltakerliste!I$5:I$98)</f>
        <v>80</v>
      </c>
      <c r="G68" s="192">
        <f>_xlfn.XLOOKUP(E68,Deltakerliste!E$5:E$98,Deltakerliste!H$5:H$98)</f>
        <v>2</v>
      </c>
      <c r="H68" s="592">
        <f>VLOOKUP(F68,Deltakerliste!P$6:T$84,G68,FALSE)</f>
        <v>1.8550000000000002</v>
      </c>
      <c r="I68" s="86"/>
      <c r="J68" s="86"/>
      <c r="K68" s="13"/>
      <c r="L68" s="600"/>
      <c r="M68" s="594"/>
      <c r="N68" s="724"/>
      <c r="O68" s="596"/>
    </row>
    <row r="69" spans="2:17" ht="21" thickBot="1" x14ac:dyDescent="0.3">
      <c r="B69" s="16">
        <f t="shared" si="7"/>
        <v>58</v>
      </c>
      <c r="C69" s="106" t="s">
        <v>110</v>
      </c>
      <c r="D69" s="107" t="s">
        <v>111</v>
      </c>
      <c r="E69" s="599" t="str">
        <f t="shared" si="6"/>
        <v>Jan ErikKofoed</v>
      </c>
      <c r="F69" s="192">
        <f>YEAR(I$5)-_xlfn.XLOOKUP(E69,Deltakerliste!E$5:E$98,Deltakerliste!I$5:I$98)</f>
        <v>71</v>
      </c>
      <c r="G69" s="192">
        <f>_xlfn.XLOOKUP(E69,Deltakerliste!E$5:E$98,Deltakerliste!H$5:H$98)</f>
        <v>2</v>
      </c>
      <c r="H69" s="592">
        <f>VLOOKUP(F69,Deltakerliste!P$6:T$84,G69,FALSE)</f>
        <v>1.4609999999999999</v>
      </c>
      <c r="I69" s="86"/>
      <c r="J69" s="86"/>
      <c r="K69" s="13"/>
      <c r="L69" s="600"/>
      <c r="M69" s="594"/>
      <c r="N69" s="724"/>
      <c r="O69" s="596"/>
    </row>
    <row r="70" spans="2:17" ht="21" thickBot="1" x14ac:dyDescent="0.3">
      <c r="B70" s="16">
        <f t="shared" si="7"/>
        <v>59</v>
      </c>
      <c r="C70" s="106" t="s">
        <v>299</v>
      </c>
      <c r="D70" s="107" t="s">
        <v>300</v>
      </c>
      <c r="E70" s="599" t="str">
        <f t="shared" si="6"/>
        <v>OlavKvittem</v>
      </c>
      <c r="F70" s="192">
        <f>YEAR(I$5)-_xlfn.XLOOKUP(E70,Deltakerliste!E$5:E$98,Deltakerliste!I$5:I$98)</f>
        <v>70</v>
      </c>
      <c r="G70" s="192">
        <f>_xlfn.XLOOKUP(E70,Deltakerliste!E$5:E$98,Deltakerliste!H$5:H$98)</f>
        <v>2</v>
      </c>
      <c r="H70" s="592">
        <f>VLOOKUP(F70,Deltakerliste!P$6:T$84,G70,FALSE)</f>
        <v>1.4249999999999998</v>
      </c>
      <c r="I70" s="86"/>
      <c r="J70" s="86"/>
      <c r="K70" s="13"/>
      <c r="L70" s="600"/>
      <c r="M70" s="594"/>
      <c r="N70" s="724"/>
      <c r="O70" s="596"/>
    </row>
    <row r="71" spans="2:17" ht="21" thickBot="1" x14ac:dyDescent="0.3">
      <c r="B71" s="16">
        <f t="shared" si="7"/>
        <v>60</v>
      </c>
      <c r="C71" s="106" t="s">
        <v>112</v>
      </c>
      <c r="D71" s="107" t="s">
        <v>113</v>
      </c>
      <c r="E71" s="599" t="str">
        <f t="shared" si="6"/>
        <v>ToridKvaal</v>
      </c>
      <c r="F71" s="192">
        <f>YEAR(I$5)-_xlfn.XLOOKUP(E71,Deltakerliste!E$5:E$98,Deltakerliste!I$5:I$98)</f>
        <v>83</v>
      </c>
      <c r="G71" s="192">
        <f>_xlfn.XLOOKUP(E71,Deltakerliste!E$5:E$98,Deltakerliste!H$5:H$98)</f>
        <v>4</v>
      </c>
      <c r="H71" s="592">
        <f>VLOOKUP(F71,Deltakerliste!P$6:T$84,G71,FALSE)</f>
        <v>2.6998000000000006</v>
      </c>
      <c r="I71" s="86"/>
      <c r="J71" s="86"/>
      <c r="K71" s="13"/>
      <c r="L71" s="600"/>
      <c r="M71" s="594"/>
      <c r="N71" s="724"/>
      <c r="O71" s="596"/>
    </row>
    <row r="72" spans="2:17" ht="21" thickBot="1" x14ac:dyDescent="0.3">
      <c r="B72" s="16">
        <f t="shared" si="7"/>
        <v>61</v>
      </c>
      <c r="C72" s="106" t="s">
        <v>254</v>
      </c>
      <c r="D72" s="107" t="s">
        <v>255</v>
      </c>
      <c r="E72" s="599" t="str">
        <f t="shared" si="6"/>
        <v>ArnfinnLangeland</v>
      </c>
      <c r="F72" s="192">
        <f>YEAR(I$5)-_xlfn.XLOOKUP(E72,Deltakerliste!E$5:E$98,Deltakerliste!I$5:I$98)</f>
        <v>89</v>
      </c>
      <c r="G72" s="192">
        <f>_xlfn.XLOOKUP(E72,Deltakerliste!E$5:E$98,Deltakerliste!H$5:H$98)</f>
        <v>2</v>
      </c>
      <c r="H72" s="592">
        <f>VLOOKUP(F72,Deltakerliste!P$6:T$84,G72,FALSE)</f>
        <v>2.5609999999999999</v>
      </c>
      <c r="I72" s="86"/>
      <c r="J72" s="86"/>
      <c r="K72" s="13"/>
      <c r="L72" s="600"/>
      <c r="M72" s="594"/>
      <c r="N72" s="724"/>
      <c r="O72" s="596"/>
    </row>
    <row r="73" spans="2:17" ht="21" thickBot="1" x14ac:dyDescent="0.3">
      <c r="B73" s="16">
        <f t="shared" si="7"/>
        <v>62</v>
      </c>
      <c r="C73" s="106" t="s">
        <v>222</v>
      </c>
      <c r="D73" s="107" t="s">
        <v>221</v>
      </c>
      <c r="E73" s="599" t="str">
        <f t="shared" si="6"/>
        <v>Kjell Maroni</v>
      </c>
      <c r="F73" s="192">
        <f>YEAR(I$5)-_xlfn.XLOOKUP(E73,Deltakerliste!E$5:E$98,Deltakerliste!I$5:I$98)</f>
        <v>69</v>
      </c>
      <c r="G73" s="192">
        <f>_xlfn.XLOOKUP(E73,Deltakerliste!E$5:E$98,Deltakerliste!H$5:H$98)</f>
        <v>2</v>
      </c>
      <c r="H73" s="592">
        <f>VLOOKUP(F73,Deltakerliste!P$6:T$84,G73,FALSE)</f>
        <v>1.3989999999999998</v>
      </c>
      <c r="I73" s="13"/>
      <c r="J73" s="13"/>
      <c r="K73" s="13"/>
      <c r="L73" s="600"/>
      <c r="M73" s="594"/>
      <c r="N73" s="724"/>
      <c r="O73" s="596"/>
    </row>
    <row r="74" spans="2:17" ht="21" thickBot="1" x14ac:dyDescent="0.3">
      <c r="B74" s="16">
        <f t="shared" si="7"/>
        <v>63</v>
      </c>
      <c r="C74" s="106" t="s">
        <v>124</v>
      </c>
      <c r="D74" s="107" t="s">
        <v>125</v>
      </c>
      <c r="E74" s="599" t="str">
        <f t="shared" ref="E74:E86" si="8">_xlfn.CONCAT(C74:D74)</f>
        <v>Heidi Midttun</v>
      </c>
      <c r="F74" s="192">
        <f>YEAR(I$5)-_xlfn.XLOOKUP(E74,Deltakerliste!E$5:E$98,Deltakerliste!I$5:I$98)</f>
        <v>70</v>
      </c>
      <c r="G74" s="192">
        <f>_xlfn.XLOOKUP(E74,Deltakerliste!E$5:E$98,Deltakerliste!H$5:H$98)</f>
        <v>4</v>
      </c>
      <c r="H74" s="592">
        <f>VLOOKUP(F74,Deltakerliste!P$6:T$84,G74,FALSE)</f>
        <v>1.9490000000000012</v>
      </c>
      <c r="I74" s="13"/>
      <c r="J74" s="13"/>
      <c r="K74" s="13"/>
      <c r="L74" s="600"/>
      <c r="M74" s="594"/>
      <c r="N74" s="724"/>
      <c r="O74" s="596"/>
    </row>
    <row r="75" spans="2:17" ht="21" thickBot="1" x14ac:dyDescent="0.3">
      <c r="B75" s="16">
        <f t="shared" si="7"/>
        <v>64</v>
      </c>
      <c r="C75" s="111" t="s">
        <v>128</v>
      </c>
      <c r="D75" s="193" t="s">
        <v>129</v>
      </c>
      <c r="E75" s="599" t="str">
        <f t="shared" si="8"/>
        <v>OddMusum</v>
      </c>
      <c r="F75" s="192">
        <f>YEAR(I$5)-_xlfn.XLOOKUP(E75,Deltakerliste!E$5:E$98,Deltakerliste!I$5:I$98)</f>
        <v>83</v>
      </c>
      <c r="G75" s="192">
        <f>_xlfn.XLOOKUP(E75,Deltakerliste!E$5:E$98,Deltakerliste!H$5:H$98)</f>
        <v>2</v>
      </c>
      <c r="H75" s="592">
        <f>VLOOKUP(F75,Deltakerliste!P$6:T$84,G75,FALSE)</f>
        <v>2.077</v>
      </c>
      <c r="I75" s="13"/>
      <c r="J75" s="13"/>
      <c r="K75" s="13"/>
      <c r="L75" s="600"/>
      <c r="M75" s="594"/>
      <c r="N75" s="724"/>
      <c r="O75" s="596"/>
      <c r="Q75" s="112"/>
    </row>
    <row r="76" spans="2:17" ht="21" thickBot="1" x14ac:dyDescent="0.3">
      <c r="B76" s="16">
        <f t="shared" si="7"/>
        <v>65</v>
      </c>
      <c r="C76" s="111" t="s">
        <v>132</v>
      </c>
      <c r="D76" s="193" t="s">
        <v>133</v>
      </c>
      <c r="E76" s="599" t="str">
        <f t="shared" si="8"/>
        <v>JarleNestvold</v>
      </c>
      <c r="F76" s="192">
        <f>YEAR(I$5)-_xlfn.XLOOKUP(E76,Deltakerliste!E$5:E$98,Deltakerliste!I$5:I$98)</f>
        <v>88</v>
      </c>
      <c r="G76" s="192">
        <f>_xlfn.XLOOKUP(E76,Deltakerliste!E$5:E$98,Deltakerliste!H$5:H$98)</f>
        <v>2</v>
      </c>
      <c r="H76" s="592">
        <f>VLOOKUP(F76,Deltakerliste!P$6:T$84,G76,FALSE)</f>
        <v>2.4769999999999999</v>
      </c>
      <c r="I76" s="132"/>
      <c r="J76" s="18"/>
      <c r="K76" s="18"/>
      <c r="L76" s="600"/>
      <c r="M76" s="594"/>
      <c r="N76" s="724"/>
      <c r="O76" s="596"/>
    </row>
    <row r="77" spans="2:17" ht="21" thickBot="1" x14ac:dyDescent="0.3">
      <c r="B77" s="16">
        <f t="shared" ref="B77:B86" si="9">B76+1</f>
        <v>66</v>
      </c>
      <c r="C77" s="111" t="s">
        <v>72</v>
      </c>
      <c r="D77" s="108" t="s">
        <v>139</v>
      </c>
      <c r="E77" s="599" t="str">
        <f t="shared" si="8"/>
        <v>KåreOnsøyen</v>
      </c>
      <c r="F77" s="192">
        <f>YEAR(I$5)-_xlfn.XLOOKUP(E77,Deltakerliste!E$5:E$98,Deltakerliste!I$5:I$98)</f>
        <v>77</v>
      </c>
      <c r="G77" s="192">
        <f>_xlfn.XLOOKUP(E77,Deltakerliste!E$5:E$98,Deltakerliste!H$5:H$98)</f>
        <v>2</v>
      </c>
      <c r="H77" s="592">
        <f>VLOOKUP(F77,Deltakerliste!P$6:T$84,G77,FALSE)</f>
        <v>1.7050000000000001</v>
      </c>
      <c r="I77" s="13"/>
      <c r="J77" s="13"/>
      <c r="K77" s="13"/>
      <c r="L77" s="600"/>
      <c r="M77" s="594"/>
      <c r="N77" s="724"/>
      <c r="O77" s="596"/>
    </row>
    <row r="78" spans="2:17" ht="21" thickBot="1" x14ac:dyDescent="0.3">
      <c r="B78" s="16">
        <f t="shared" si="9"/>
        <v>67</v>
      </c>
      <c r="C78" s="111" t="s">
        <v>140</v>
      </c>
      <c r="D78" s="193" t="s">
        <v>141</v>
      </c>
      <c r="E78" s="599" t="str">
        <f t="shared" si="8"/>
        <v>Grete BergeOwren</v>
      </c>
      <c r="F78" s="192">
        <f>YEAR(I$5)-_xlfn.XLOOKUP(E78,Deltakerliste!E$5:E$98,Deltakerliste!I$5:I$98)</f>
        <v>67</v>
      </c>
      <c r="G78" s="192">
        <f>_xlfn.XLOOKUP(E78,Deltakerliste!E$5:E$98,Deltakerliste!H$5:H$98)</f>
        <v>4</v>
      </c>
      <c r="H78" s="592">
        <f>VLOOKUP(F78,Deltakerliste!P$6:T$84,G78,FALSE)</f>
        <v>1.8422000000000009</v>
      </c>
      <c r="I78" s="18"/>
      <c r="J78" s="18"/>
      <c r="K78" s="18"/>
      <c r="L78" s="600"/>
      <c r="M78" s="594"/>
      <c r="N78" s="724"/>
      <c r="O78" s="596"/>
    </row>
    <row r="79" spans="2:17" ht="21" thickBot="1" x14ac:dyDescent="0.3">
      <c r="B79" s="16">
        <f t="shared" si="9"/>
        <v>68</v>
      </c>
      <c r="C79" s="111" t="s">
        <v>144</v>
      </c>
      <c r="D79" s="193" t="s">
        <v>145</v>
      </c>
      <c r="E79" s="599" t="str">
        <f t="shared" si="8"/>
        <v>Bjørn Rindstad</v>
      </c>
      <c r="F79" s="192">
        <f>YEAR(I$5)-_xlfn.XLOOKUP(E79,Deltakerliste!E$5:E$98,Deltakerliste!I$5:I$98)</f>
        <v>74</v>
      </c>
      <c r="G79" s="192">
        <f>_xlfn.XLOOKUP(E79,Deltakerliste!E$5:E$98,Deltakerliste!H$5:H$98)</f>
        <v>2</v>
      </c>
      <c r="H79" s="592">
        <f>VLOOKUP(F79,Deltakerliste!P$6:T$84,G79,FALSE)</f>
        <v>1.569</v>
      </c>
      <c r="I79" s="18"/>
      <c r="J79" s="18"/>
      <c r="K79" s="18"/>
      <c r="L79" s="600"/>
      <c r="M79" s="594"/>
      <c r="N79" s="724"/>
      <c r="O79" s="596"/>
    </row>
    <row r="80" spans="2:17" ht="21" thickBot="1" x14ac:dyDescent="0.3">
      <c r="B80" s="16">
        <f t="shared" si="9"/>
        <v>69</v>
      </c>
      <c r="C80" s="111" t="s">
        <v>228</v>
      </c>
      <c r="D80" s="108" t="s">
        <v>229</v>
      </c>
      <c r="E80" s="599" t="str">
        <f t="shared" si="8"/>
        <v>May-LisRønning</v>
      </c>
      <c r="F80" s="192">
        <f>YEAR(I$5)-_xlfn.XLOOKUP(E80,Deltakerliste!E$5:E$98,Deltakerliste!I$5:I$98)</f>
        <v>55</v>
      </c>
      <c r="G80" s="192">
        <f>_xlfn.XLOOKUP(E80,Deltakerliste!E$5:E$98,Deltakerliste!H$5:H$98)</f>
        <v>4</v>
      </c>
      <c r="H80" s="592">
        <f>VLOOKUP(F80,Deltakerliste!P$6:T$84,G80,FALSE)</f>
        <v>1.5099999999999996</v>
      </c>
      <c r="I80" s="18"/>
      <c r="J80" s="18"/>
      <c r="K80" s="18"/>
      <c r="L80" s="600"/>
      <c r="M80" s="594"/>
      <c r="N80" s="724"/>
      <c r="O80" s="596"/>
    </row>
    <row r="81" spans="2:15" ht="21" thickBot="1" x14ac:dyDescent="0.3">
      <c r="B81" s="16">
        <f t="shared" si="9"/>
        <v>70</v>
      </c>
      <c r="C81" s="111" t="s">
        <v>298</v>
      </c>
      <c r="D81" s="108" t="s">
        <v>297</v>
      </c>
      <c r="E81" s="599" t="str">
        <f t="shared" si="8"/>
        <v>ØyvindSchjelderup</v>
      </c>
      <c r="F81" s="192">
        <f>YEAR(I$5)-_xlfn.XLOOKUP(E81,Deltakerliste!E$5:E$98,Deltakerliste!I$5:I$98)</f>
        <v>60</v>
      </c>
      <c r="G81" s="192">
        <f>_xlfn.XLOOKUP(E81,Deltakerliste!E$5:E$98,Deltakerliste!H$5:H$98)</f>
        <v>2</v>
      </c>
      <c r="H81" s="592">
        <f>VLOOKUP(F81,Deltakerliste!P$6:T$84,G81,FALSE)</f>
        <v>1.2000000000000002</v>
      </c>
      <c r="I81" s="18"/>
      <c r="J81" s="18"/>
      <c r="K81" s="18"/>
      <c r="L81" s="600"/>
      <c r="M81" s="594"/>
      <c r="N81" s="724"/>
      <c r="O81" s="596"/>
    </row>
    <row r="82" spans="2:15" ht="21" thickBot="1" x14ac:dyDescent="0.3">
      <c r="B82" s="16">
        <f t="shared" si="9"/>
        <v>71</v>
      </c>
      <c r="C82" s="193" t="s">
        <v>155</v>
      </c>
      <c r="D82" s="108" t="s">
        <v>156</v>
      </c>
      <c r="E82" s="599" t="str">
        <f t="shared" si="8"/>
        <v>KjellrunSporild</v>
      </c>
      <c r="F82" s="192">
        <f>YEAR(I$5)-_xlfn.XLOOKUP(E82,Deltakerliste!E$5:E$98,Deltakerliste!I$5:I$98)</f>
        <v>70</v>
      </c>
      <c r="G82" s="192">
        <f>_xlfn.XLOOKUP(E82,Deltakerliste!E$5:E$98,Deltakerliste!H$5:H$98)</f>
        <v>4</v>
      </c>
      <c r="H82" s="592">
        <f>VLOOKUP(F82,Deltakerliste!P$6:T$84,G82,FALSE)</f>
        <v>1.9490000000000012</v>
      </c>
      <c r="I82" s="18"/>
      <c r="J82" s="18"/>
      <c r="K82" s="18"/>
      <c r="L82" s="600"/>
      <c r="M82" s="594"/>
      <c r="N82" s="724"/>
      <c r="O82" s="596"/>
    </row>
    <row r="83" spans="2:15" ht="21" thickBot="1" x14ac:dyDescent="0.3">
      <c r="B83" s="16">
        <f t="shared" si="9"/>
        <v>72</v>
      </c>
      <c r="C83" s="193" t="s">
        <v>232</v>
      </c>
      <c r="D83" s="133" t="s">
        <v>231</v>
      </c>
      <c r="E83" s="599" t="str">
        <f t="shared" si="8"/>
        <v>BeritSunnset</v>
      </c>
      <c r="F83" s="192">
        <f>YEAR(I$5)-_xlfn.XLOOKUP(E83,Deltakerliste!E$5:E$98,Deltakerliste!I$5:I$98)</f>
        <v>62</v>
      </c>
      <c r="G83" s="192">
        <f>_xlfn.XLOOKUP(E83,Deltakerliste!E$5:E$98,Deltakerliste!H$5:H$98)</f>
        <v>4</v>
      </c>
      <c r="H83" s="592">
        <f>VLOOKUP(F83,Deltakerliste!P$6:T$84,G83,FALSE)</f>
        <v>1.6834000000000005</v>
      </c>
      <c r="I83" s="18"/>
      <c r="J83" s="18"/>
      <c r="K83" s="18"/>
      <c r="L83" s="600"/>
      <c r="M83" s="594"/>
      <c r="N83" s="724"/>
      <c r="O83" s="596"/>
    </row>
    <row r="84" spans="2:15" ht="21" thickBot="1" x14ac:dyDescent="0.3">
      <c r="B84" s="16">
        <f t="shared" si="9"/>
        <v>73</v>
      </c>
      <c r="C84" s="193" t="s">
        <v>230</v>
      </c>
      <c r="D84" s="108" t="s">
        <v>231</v>
      </c>
      <c r="E84" s="599" t="str">
        <f t="shared" si="8"/>
        <v>TrineSunnset</v>
      </c>
      <c r="F84" s="192">
        <f>YEAR(I$5)-_xlfn.XLOOKUP(E84,Deltakerliste!E$5:E$98,Deltakerliste!I$5:I$98)</f>
        <v>62</v>
      </c>
      <c r="G84" s="192">
        <f>_xlfn.XLOOKUP(E84,Deltakerliste!E$5:E$98,Deltakerliste!H$5:H$98)</f>
        <v>4</v>
      </c>
      <c r="H84" s="592">
        <f>VLOOKUP(F84,Deltakerliste!P$6:T$84,G84,FALSE)</f>
        <v>1.6834000000000005</v>
      </c>
      <c r="I84" s="18"/>
      <c r="J84" s="18"/>
      <c r="K84" s="18"/>
      <c r="L84" s="790"/>
      <c r="M84" s="594"/>
      <c r="N84" s="724"/>
      <c r="O84" s="596"/>
    </row>
    <row r="85" spans="2:15" ht="21" thickBot="1" x14ac:dyDescent="0.3">
      <c r="B85" s="16">
        <f t="shared" si="9"/>
        <v>74</v>
      </c>
      <c r="C85" s="193" t="s">
        <v>265</v>
      </c>
      <c r="D85" s="108" t="s">
        <v>266</v>
      </c>
      <c r="E85" s="599" t="str">
        <f t="shared" si="8"/>
        <v>ØysteinWiggen</v>
      </c>
      <c r="F85" s="192">
        <f>YEAR(I$5)-_xlfn.XLOOKUP(E85,Deltakerliste!E$5:E$98,Deltakerliste!I$5:I$98)</f>
        <v>59</v>
      </c>
      <c r="G85" s="192">
        <f>_xlfn.XLOOKUP(E85,Deltakerliste!E$5:E$98,Deltakerliste!H$5:H$98)</f>
        <v>2</v>
      </c>
      <c r="H85" s="592">
        <f>VLOOKUP(F85,Deltakerliste!P$6:T$84,G85,FALSE)</f>
        <v>1.1860000000000002</v>
      </c>
      <c r="I85" s="18"/>
      <c r="J85" s="18"/>
      <c r="K85" s="18"/>
      <c r="L85" s="791"/>
      <c r="M85" s="594"/>
      <c r="N85" s="792"/>
      <c r="O85" s="596"/>
    </row>
    <row r="86" spans="2:15" ht="21" thickBot="1" x14ac:dyDescent="0.3">
      <c r="B86" s="16">
        <f t="shared" si="9"/>
        <v>75</v>
      </c>
      <c r="C86" s="193" t="s">
        <v>166</v>
      </c>
      <c r="D86" s="108" t="s">
        <v>167</v>
      </c>
      <c r="E86" s="599" t="str">
        <f t="shared" si="8"/>
        <v>GunnarØsterbø</v>
      </c>
      <c r="F86" s="192">
        <f>YEAR(I$5)-_xlfn.XLOOKUP(E86,Deltakerliste!E$5:E$98,Deltakerliste!I$5:I$98)</f>
        <v>86</v>
      </c>
      <c r="G86" s="192">
        <f>_xlfn.XLOOKUP(E86,Deltakerliste!E$5:E$98,Deltakerliste!H$5:H$98)</f>
        <v>2</v>
      </c>
      <c r="H86" s="592">
        <f>VLOOKUP(F86,Deltakerliste!P$6:T$84,G86,FALSE)</f>
        <v>2.3089999999999997</v>
      </c>
      <c r="I86" s="18"/>
      <c r="J86" s="132"/>
      <c r="K86" s="18"/>
      <c r="L86" s="725"/>
      <c r="M86" s="717"/>
      <c r="N86" s="726"/>
      <c r="O86" s="719"/>
    </row>
    <row r="100" spans="4:11" ht="17" thickBot="1" x14ac:dyDescent="0.25"/>
    <row r="101" spans="4:11" ht="21" thickTop="1" thickBot="1" x14ac:dyDescent="0.3">
      <c r="D101" s="646" t="s">
        <v>288</v>
      </c>
      <c r="E101" s="647"/>
      <c r="F101" s="666"/>
      <c r="G101" s="666"/>
      <c r="H101" s="666"/>
      <c r="I101" s="648" t="s">
        <v>195</v>
      </c>
      <c r="J101" s="648" t="s">
        <v>196</v>
      </c>
      <c r="K101" s="649" t="s">
        <v>197</v>
      </c>
    </row>
    <row r="102" spans="4:11" ht="20" x14ac:dyDescent="0.25">
      <c r="D102" s="634" t="s">
        <v>172</v>
      </c>
      <c r="E102" s="320"/>
      <c r="F102" s="208"/>
      <c r="G102" s="208"/>
      <c r="H102" s="208"/>
      <c r="I102" s="635">
        <f>COUNT(I10:I92)+COUNTIF(I10:I92,"Brutt")+COUNTIF(I10:I92,"(*)")</f>
        <v>19</v>
      </c>
      <c r="J102" s="635">
        <f>COUNT(J10:J92)+COUNTIF(J10:J92,"Brutt")+COUNTIF(J10:J92,"(*)")</f>
        <v>22</v>
      </c>
      <c r="K102" s="636">
        <f>I102+J102</f>
        <v>41</v>
      </c>
    </row>
    <row r="103" spans="4:11" ht="19" x14ac:dyDescent="0.25">
      <c r="D103" s="637" t="s">
        <v>174</v>
      </c>
      <c r="E103" s="320"/>
      <c r="F103" s="208"/>
      <c r="G103" s="208"/>
      <c r="H103" s="208"/>
      <c r="I103" s="635">
        <f>COUNT(I10:I92)</f>
        <v>18</v>
      </c>
      <c r="J103" s="635">
        <f>COUNT(J10:J92)</f>
        <v>20</v>
      </c>
      <c r="K103" s="636">
        <f t="shared" ref="K103" si="10">I103+J103</f>
        <v>38</v>
      </c>
    </row>
    <row r="104" spans="4:11" ht="19" x14ac:dyDescent="0.25">
      <c r="D104" s="637" t="s">
        <v>173</v>
      </c>
      <c r="E104" s="320"/>
      <c r="F104" s="208"/>
      <c r="G104" s="208"/>
      <c r="H104" s="208"/>
      <c r="I104" s="208"/>
      <c r="J104" s="208"/>
      <c r="K104" s="636">
        <f>K102+COUNTIF(L10:L92,"Arr")+COUNTIF(L10:L92,"Løype")</f>
        <v>44</v>
      </c>
    </row>
    <row r="105" spans="4:11" ht="19" x14ac:dyDescent="0.25">
      <c r="D105" s="637" t="s">
        <v>341</v>
      </c>
      <c r="E105" s="320"/>
      <c r="F105" s="208"/>
      <c r="G105" s="208"/>
      <c r="H105" s="208"/>
      <c r="I105" s="208"/>
      <c r="J105" s="208"/>
      <c r="K105" s="638">
        <f>AVERAGEIF(M10:M84,"&gt;0",F10:F84)</f>
        <v>75.227272727272734</v>
      </c>
    </row>
    <row r="106" spans="4:11" ht="19" x14ac:dyDescent="0.25">
      <c r="D106" s="637" t="s">
        <v>296</v>
      </c>
      <c r="E106" s="320"/>
      <c r="F106" s="208"/>
      <c r="G106" s="208"/>
      <c r="H106" s="208"/>
      <c r="I106" s="208"/>
      <c r="J106" s="208"/>
      <c r="K106" s="638">
        <f>AVERAGE(I8:J8)</f>
        <v>2.65</v>
      </c>
    </row>
    <row r="107" spans="4:11" ht="19" x14ac:dyDescent="0.25">
      <c r="D107" s="637" t="s">
        <v>176</v>
      </c>
      <c r="E107" s="320"/>
      <c r="F107" s="208"/>
      <c r="G107" s="208"/>
      <c r="H107" s="208"/>
      <c r="I107" s="112">
        <f>I8*I103</f>
        <v>41.4</v>
      </c>
      <c r="J107" s="112">
        <f>J8*J103</f>
        <v>60</v>
      </c>
      <c r="K107" s="638">
        <f>I107+J107</f>
        <v>101.4</v>
      </c>
    </row>
    <row r="108" spans="4:11" ht="19" x14ac:dyDescent="0.25">
      <c r="D108" s="639" t="s">
        <v>286</v>
      </c>
      <c r="E108" s="320"/>
      <c r="F108" s="208"/>
      <c r="G108" s="208"/>
      <c r="H108" s="208"/>
      <c r="I108" s="103">
        <f>IF(SUM(I10:I92)=0," ",AVERAGE(I10:I92))</f>
        <v>3.2405478395061728E-2</v>
      </c>
      <c r="J108" s="103">
        <f>IF(SUM(J10:J92)=0," ",AVERAGE(J10:J92))</f>
        <v>2.8845486111111106E-2</v>
      </c>
      <c r="K108" s="640">
        <f>IF(SUM(I10:J92)=0," ",AVERAGE(I10:J92))</f>
        <v>3.0531798245614038E-2</v>
      </c>
    </row>
    <row r="109" spans="4:11" ht="20" thickBot="1" x14ac:dyDescent="0.3">
      <c r="D109" s="641" t="s">
        <v>287</v>
      </c>
      <c r="E109" s="642"/>
      <c r="F109" s="644"/>
      <c r="G109" s="644"/>
      <c r="H109" s="644"/>
      <c r="I109" s="643"/>
      <c r="J109" s="644"/>
      <c r="K109" s="645">
        <f>MIN(L10:L92)</f>
        <v>6.9444444444444441E-3</v>
      </c>
    </row>
    <row r="110" spans="4:11" ht="17" thickTop="1" x14ac:dyDescent="0.2"/>
  </sheetData>
  <autoFilter ref="B9:O86" xr:uid="{891560B5-BFF2-A84B-94A7-A36BE356CB83}">
    <sortState xmlns:xlrd2="http://schemas.microsoft.com/office/spreadsheetml/2017/richdata2" ref="B10:O86">
      <sortCondition ref="N9:N86"/>
    </sortState>
  </autoFilter>
  <sortState xmlns:xlrd2="http://schemas.microsoft.com/office/spreadsheetml/2017/richdata2" ref="AB21:AB64">
    <sortCondition ref="AB21:AB64"/>
  </sortState>
  <mergeCells count="3">
    <mergeCell ref="W7:X7"/>
    <mergeCell ref="S8:U8"/>
    <mergeCell ref="W8:X8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34</vt:i4>
      </vt:variant>
      <vt:variant>
        <vt:lpstr>Navngitte områder</vt:lpstr>
      </vt:variant>
      <vt:variant>
        <vt:i4>1</vt:i4>
      </vt:variant>
    </vt:vector>
  </HeadingPairs>
  <TitlesOfParts>
    <vt:vector size="35" baseType="lpstr">
      <vt:lpstr>Ranking</vt:lpstr>
      <vt:lpstr>Poengsammendrag</vt:lpstr>
      <vt:lpstr>Deltakerliste</vt:lpstr>
      <vt:lpstr>Liste for tidtaking</vt:lpstr>
      <vt:lpstr>Poengtabell</vt:lpstr>
      <vt:lpstr>Løp 1</vt:lpstr>
      <vt:lpstr>Løp 2</vt:lpstr>
      <vt:lpstr>Løp 3</vt:lpstr>
      <vt:lpstr>Løp 4</vt:lpstr>
      <vt:lpstr>Løp 5</vt:lpstr>
      <vt:lpstr>Løp 6</vt:lpstr>
      <vt:lpstr>Løp 7</vt:lpstr>
      <vt:lpstr>Løp 8</vt:lpstr>
      <vt:lpstr>Løp 9</vt:lpstr>
      <vt:lpstr>Løp 10</vt:lpstr>
      <vt:lpstr>Løp 11</vt:lpstr>
      <vt:lpstr>Løp 12</vt:lpstr>
      <vt:lpstr>Løp 13</vt:lpstr>
      <vt:lpstr>Løp 14</vt:lpstr>
      <vt:lpstr>Løp 15</vt:lpstr>
      <vt:lpstr>Løp 16</vt:lpstr>
      <vt:lpstr>Løp 17</vt:lpstr>
      <vt:lpstr>Løp 18</vt:lpstr>
      <vt:lpstr>Løp 19</vt:lpstr>
      <vt:lpstr>Løp 20</vt:lpstr>
      <vt:lpstr>Løp 21</vt:lpstr>
      <vt:lpstr>Løp 22</vt:lpstr>
      <vt:lpstr>Løp 23</vt:lpstr>
      <vt:lpstr>Løp 24</vt:lpstr>
      <vt:lpstr>Løp 25</vt:lpstr>
      <vt:lpstr>Løp 26</vt:lpstr>
      <vt:lpstr>Løp 27</vt:lpstr>
      <vt:lpstr>Løp 28</vt:lpstr>
      <vt:lpstr>Løp 29</vt:lpstr>
      <vt:lpstr>'Liste for tidtaking'!Utskriftsområde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Edgar Furuholt</dc:creator>
  <cp:keywords/>
  <dc:description/>
  <cp:lastModifiedBy>Edgar Furuholt</cp:lastModifiedBy>
  <cp:revision/>
  <cp:lastPrinted>2025-09-19T19:21:28Z</cp:lastPrinted>
  <dcterms:created xsi:type="dcterms:W3CDTF">2023-10-24T18:05:08Z</dcterms:created>
  <dcterms:modified xsi:type="dcterms:W3CDTF">2026-04-21T12:00:07Z</dcterms:modified>
  <cp:category/>
  <cp:contentStatus/>
</cp:coreProperties>
</file>